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CNE\"/>
    </mc:Choice>
  </mc:AlternateContent>
  <bookViews>
    <workbookView xWindow="0" yWindow="0" windowWidth="8505" windowHeight="2340" firstSheet="1" activeTab="3"/>
  </bookViews>
  <sheets>
    <sheet name="General" sheetId="11" r:id="rId1"/>
    <sheet name="activo" sheetId="20" r:id="rId2"/>
    <sheet name="actas" sheetId="21" r:id="rId3"/>
    <sheet name="Persona" sheetId="13" r:id="rId4"/>
    <sheet name="Marca" sheetId="3" r:id="rId5"/>
    <sheet name="Hoja3" sheetId="18" r:id="rId6"/>
    <sheet name="Categoria" sheetId="2" r:id="rId7"/>
    <sheet name="Color" sheetId="4" r:id="rId8"/>
    <sheet name="Estado" sheetId="5" r:id="rId9"/>
    <sheet name="Bodega" sheetId="6" r:id="rId10"/>
    <sheet name="Tipo" sheetId="10" r:id="rId11"/>
    <sheet name="Unidad" sheetId="12" r:id="rId12"/>
    <sheet name="Cargo" sheetId="9" r:id="rId13"/>
    <sheet name="Rol_Institucional" sheetId="15" r:id="rId14"/>
    <sheet name="Servidores" sheetId="14" r:id="rId15"/>
  </sheets>
  <calcPr calcId="162913"/>
</workbook>
</file>

<file path=xl/calcChain.xml><?xml version="1.0" encoding="utf-8"?>
<calcChain xmlns="http://schemas.openxmlformats.org/spreadsheetml/2006/main">
  <c r="L1297" i="20" l="1"/>
  <c r="L1296" i="20"/>
  <c r="L1295" i="20"/>
  <c r="L1294" i="20"/>
  <c r="L1293" i="20"/>
  <c r="L1292" i="20"/>
  <c r="L1291" i="20"/>
  <c r="L1290" i="20"/>
  <c r="L1289" i="20"/>
  <c r="L1288" i="20"/>
  <c r="L1287" i="20"/>
  <c r="L1286" i="20"/>
  <c r="L1285" i="20"/>
  <c r="L1284" i="20"/>
  <c r="L1283" i="20"/>
  <c r="L1282" i="20"/>
  <c r="L1281" i="20"/>
  <c r="L1280" i="20"/>
  <c r="L1279" i="20"/>
  <c r="L1278" i="20"/>
  <c r="L1277" i="20"/>
  <c r="L1276" i="20"/>
  <c r="L1275" i="20"/>
  <c r="L1274" i="20"/>
  <c r="L1273" i="20"/>
  <c r="L1272" i="20"/>
  <c r="L1271" i="20"/>
  <c r="L1270" i="20"/>
  <c r="L1269" i="20"/>
  <c r="L1268" i="20"/>
  <c r="L1267" i="20"/>
  <c r="L1266" i="20"/>
  <c r="L1265" i="20"/>
  <c r="L1264" i="20"/>
  <c r="L1263" i="20"/>
  <c r="L1262" i="20"/>
  <c r="L1261" i="20"/>
  <c r="L1260" i="20"/>
  <c r="L1259" i="20"/>
  <c r="L1258" i="20"/>
  <c r="L1257" i="20"/>
  <c r="L1256" i="20"/>
  <c r="L1255" i="20"/>
  <c r="L1254" i="20"/>
  <c r="L1253" i="20"/>
  <c r="L1252" i="20"/>
  <c r="L1251" i="20"/>
  <c r="L1250" i="20"/>
  <c r="L1249" i="20"/>
  <c r="L1248" i="20"/>
  <c r="L1247" i="20"/>
  <c r="L1246" i="20"/>
  <c r="L1245" i="20"/>
  <c r="L1244" i="20"/>
  <c r="L1243" i="20"/>
  <c r="L1242" i="20"/>
  <c r="L1241" i="20"/>
  <c r="L1240" i="20"/>
  <c r="L1239" i="20"/>
  <c r="L1238" i="20"/>
  <c r="L1237" i="20"/>
  <c r="L1236" i="20"/>
  <c r="L1235" i="20"/>
  <c r="L1234" i="20"/>
  <c r="L1233" i="20"/>
  <c r="L1232" i="20"/>
  <c r="L1231" i="20"/>
  <c r="L1230" i="20"/>
  <c r="L1229" i="20"/>
  <c r="L1228" i="20"/>
  <c r="L1227" i="20"/>
  <c r="L1226" i="20"/>
  <c r="L1225" i="20"/>
  <c r="L1224" i="20"/>
  <c r="L1223" i="20"/>
  <c r="L1222" i="20"/>
  <c r="L1221" i="20"/>
  <c r="L1220" i="20"/>
  <c r="L1219" i="20"/>
  <c r="L1218" i="20"/>
  <c r="L1217" i="20"/>
  <c r="L1216" i="20"/>
  <c r="L1215" i="20"/>
  <c r="L1214" i="20"/>
  <c r="L1213" i="20"/>
  <c r="L1212" i="20"/>
  <c r="L1211" i="20"/>
  <c r="L1210" i="20"/>
  <c r="L1209" i="20"/>
  <c r="L1208" i="20"/>
  <c r="L1207" i="20"/>
  <c r="L1206" i="20"/>
  <c r="L1205" i="20"/>
  <c r="L1204" i="20"/>
  <c r="L1203" i="20"/>
  <c r="L1202" i="20"/>
  <c r="L1201" i="20"/>
  <c r="L1200" i="20"/>
  <c r="L1199" i="20"/>
  <c r="L1198" i="20"/>
  <c r="L1197" i="20"/>
  <c r="L1196" i="20"/>
  <c r="L1195" i="20"/>
  <c r="L1194" i="20"/>
  <c r="L1193" i="20"/>
  <c r="L1192" i="20"/>
  <c r="L1191" i="20"/>
  <c r="L1190" i="20"/>
  <c r="L1189" i="20"/>
  <c r="L1188" i="20"/>
  <c r="L1187" i="20"/>
  <c r="L1186" i="20"/>
  <c r="L1185" i="20"/>
  <c r="L1184" i="20"/>
  <c r="L1183" i="20"/>
  <c r="L1182" i="20"/>
  <c r="L1181" i="20"/>
  <c r="L1180" i="20"/>
  <c r="L1179" i="20"/>
  <c r="L1178" i="20"/>
  <c r="L1177" i="20"/>
  <c r="L1176" i="20"/>
  <c r="L1175" i="20"/>
  <c r="L1174" i="20"/>
  <c r="L1173" i="20"/>
  <c r="L1172" i="20"/>
  <c r="L1171" i="20"/>
  <c r="L1170" i="20"/>
  <c r="L1169" i="20"/>
  <c r="L1168" i="20"/>
  <c r="L1167" i="20"/>
  <c r="L1166" i="20"/>
  <c r="L1165" i="20"/>
  <c r="L1164" i="20"/>
  <c r="L1163" i="20"/>
  <c r="L1162" i="20"/>
  <c r="L1161" i="20"/>
  <c r="L1160" i="20"/>
  <c r="L1159" i="20"/>
  <c r="L1158" i="20"/>
  <c r="L1157" i="20"/>
  <c r="L1156" i="20"/>
  <c r="L1155" i="20"/>
  <c r="L1154" i="20"/>
  <c r="L1153" i="20"/>
  <c r="L1152" i="20"/>
  <c r="L1151" i="20"/>
  <c r="L1150" i="20"/>
  <c r="L1149" i="20"/>
  <c r="L1148" i="20"/>
  <c r="L1147" i="20"/>
  <c r="L1146" i="20"/>
  <c r="L1145" i="20"/>
  <c r="L1144" i="20"/>
  <c r="L1143" i="20"/>
  <c r="L1142" i="20"/>
  <c r="L1141" i="20"/>
  <c r="L1140" i="20"/>
  <c r="L1139" i="20"/>
  <c r="L1138" i="20"/>
  <c r="L1137" i="20"/>
  <c r="L1136" i="20"/>
  <c r="L1135" i="20"/>
  <c r="L1134" i="20"/>
  <c r="L1133" i="20"/>
  <c r="L1132" i="20"/>
  <c r="L1131" i="20"/>
  <c r="L1130" i="20"/>
  <c r="L1129" i="20"/>
  <c r="L1128" i="20"/>
  <c r="L1127" i="20"/>
  <c r="L1126" i="20"/>
  <c r="L1125" i="20"/>
  <c r="L1124" i="20"/>
  <c r="L1123" i="20"/>
  <c r="L1122" i="20"/>
  <c r="L1121" i="20"/>
  <c r="L1120" i="20"/>
  <c r="L1119" i="20"/>
  <c r="L1118" i="20"/>
  <c r="L1117" i="20"/>
  <c r="L1116" i="20"/>
  <c r="L1115" i="20"/>
  <c r="L1114" i="20"/>
  <c r="L1113" i="20"/>
  <c r="L1112" i="20"/>
  <c r="L1111" i="20"/>
  <c r="L1110" i="20"/>
  <c r="L1109" i="20"/>
  <c r="L1108" i="20"/>
  <c r="L1107" i="20"/>
  <c r="L1106" i="20"/>
  <c r="L1105" i="20"/>
  <c r="L1104" i="20"/>
  <c r="L1103" i="20"/>
  <c r="L1102" i="20"/>
  <c r="L1101" i="20"/>
  <c r="L1100" i="20"/>
  <c r="L1099" i="20"/>
  <c r="L1098" i="20"/>
  <c r="L1097" i="20"/>
  <c r="L1096" i="20"/>
  <c r="L1095" i="20"/>
  <c r="L1094" i="20"/>
  <c r="L1093" i="20"/>
  <c r="L1092" i="20"/>
  <c r="L1091" i="20"/>
  <c r="L1090" i="20"/>
  <c r="L1089" i="20"/>
  <c r="L1088" i="20"/>
  <c r="L1087" i="20"/>
  <c r="L1086" i="20"/>
  <c r="L1085" i="20"/>
  <c r="L1084" i="20"/>
  <c r="L1083" i="20"/>
  <c r="L1082" i="20"/>
  <c r="L1081" i="20"/>
  <c r="L1080" i="20"/>
  <c r="L1079" i="20"/>
  <c r="L1078" i="20"/>
  <c r="L1077" i="20"/>
  <c r="L1076" i="20"/>
  <c r="L1075" i="20"/>
  <c r="L1074" i="20"/>
  <c r="L1073" i="20"/>
  <c r="L1072" i="20"/>
  <c r="L1071" i="20"/>
  <c r="L1070" i="20"/>
  <c r="L1069" i="20"/>
  <c r="L1068" i="20"/>
  <c r="L1067" i="20"/>
  <c r="L1066" i="20"/>
  <c r="L1065" i="20"/>
  <c r="L1064" i="20"/>
  <c r="L1063" i="20"/>
  <c r="L1062" i="20"/>
  <c r="L1061" i="20"/>
  <c r="L1060" i="20"/>
  <c r="L1059" i="20"/>
  <c r="L1058" i="20"/>
  <c r="L1057" i="20"/>
  <c r="L1056" i="20"/>
  <c r="L1055" i="20"/>
  <c r="L1054" i="20"/>
  <c r="L1053" i="20"/>
  <c r="L1052" i="20"/>
  <c r="L1051" i="20"/>
  <c r="L1050" i="20"/>
  <c r="L1049" i="20"/>
  <c r="L1048" i="20"/>
  <c r="L1047" i="20"/>
  <c r="L1046" i="20"/>
  <c r="L1045" i="20"/>
  <c r="L1044" i="20"/>
  <c r="L1043" i="20"/>
  <c r="L1042" i="20"/>
  <c r="L1041" i="20"/>
  <c r="L1040" i="20"/>
  <c r="L1039" i="20"/>
  <c r="L1038" i="20"/>
  <c r="L1037" i="20"/>
  <c r="L1036" i="20"/>
  <c r="L1035" i="20"/>
  <c r="L1034" i="20"/>
  <c r="L1033" i="20"/>
  <c r="L1032" i="20"/>
  <c r="L1031" i="20"/>
  <c r="L1030" i="20"/>
  <c r="L1029" i="20"/>
  <c r="L1028" i="20"/>
  <c r="L1027" i="20"/>
  <c r="L1026" i="20"/>
  <c r="L1025" i="20"/>
  <c r="L1024" i="20"/>
  <c r="L1023" i="20"/>
  <c r="L1022" i="20"/>
  <c r="L1021" i="20"/>
  <c r="L1020" i="20"/>
  <c r="L1019" i="20"/>
  <c r="L1018" i="20"/>
  <c r="L1017" i="20"/>
  <c r="L1016" i="20"/>
  <c r="L1015" i="20"/>
  <c r="L1014" i="20"/>
  <c r="L1013" i="20"/>
  <c r="L1012" i="20"/>
  <c r="L1011" i="20"/>
  <c r="L1010" i="20"/>
  <c r="L1009" i="20"/>
  <c r="L1008" i="20"/>
  <c r="L1007" i="20"/>
  <c r="L1006" i="20"/>
  <c r="L1005" i="20"/>
  <c r="L1004" i="20"/>
  <c r="L1003" i="20"/>
  <c r="L1002" i="20"/>
  <c r="L1001" i="20"/>
  <c r="L1000" i="20"/>
  <c r="L999" i="20"/>
  <c r="L998" i="20"/>
  <c r="L997" i="20"/>
  <c r="L996" i="20"/>
  <c r="L995" i="20"/>
  <c r="L994" i="20"/>
  <c r="L993" i="20"/>
  <c r="L992" i="20"/>
  <c r="L991" i="20"/>
  <c r="L990" i="20"/>
  <c r="L989" i="20"/>
  <c r="L988" i="20"/>
  <c r="L987" i="20"/>
  <c r="L986" i="20"/>
  <c r="L985" i="20"/>
  <c r="L984" i="20"/>
  <c r="L983" i="20"/>
  <c r="L982" i="20"/>
  <c r="L981" i="20"/>
  <c r="L980" i="20"/>
  <c r="L979" i="20"/>
  <c r="L978" i="20"/>
  <c r="L977" i="20"/>
  <c r="L976" i="20"/>
  <c r="L975" i="20"/>
  <c r="L974" i="20"/>
  <c r="L973" i="20"/>
  <c r="L972" i="20"/>
  <c r="L971" i="20"/>
  <c r="L970" i="20"/>
  <c r="L969" i="20"/>
  <c r="L968" i="20"/>
  <c r="L967" i="20"/>
  <c r="L966" i="20"/>
  <c r="L965" i="20"/>
  <c r="L964" i="20"/>
  <c r="L963" i="20"/>
  <c r="L962" i="20"/>
  <c r="L961" i="20"/>
  <c r="L960" i="20"/>
  <c r="L959" i="20"/>
  <c r="L958" i="20"/>
  <c r="L957" i="20"/>
  <c r="L956" i="20"/>
  <c r="L955" i="20"/>
  <c r="L954" i="20"/>
  <c r="L953" i="20"/>
  <c r="L952" i="20"/>
  <c r="L951" i="20"/>
  <c r="L950" i="20"/>
  <c r="L949" i="20"/>
  <c r="L948" i="20"/>
  <c r="L947" i="20"/>
  <c r="L946" i="20"/>
  <c r="L945" i="20"/>
  <c r="L944" i="20"/>
  <c r="L943" i="20"/>
  <c r="L942" i="20"/>
  <c r="L941" i="20"/>
  <c r="L940" i="20"/>
  <c r="L939" i="20"/>
  <c r="L938" i="20"/>
  <c r="L937" i="20"/>
  <c r="L936" i="20"/>
  <c r="L935" i="20"/>
  <c r="L934" i="20"/>
  <c r="L933" i="20"/>
  <c r="L932" i="20"/>
  <c r="L931" i="20"/>
  <c r="L930" i="20"/>
  <c r="L929" i="20"/>
  <c r="L928" i="20"/>
  <c r="L927" i="20"/>
  <c r="L926" i="20"/>
  <c r="L925" i="20"/>
  <c r="L924" i="20"/>
  <c r="L923" i="20"/>
  <c r="L922" i="20"/>
  <c r="L921" i="20"/>
  <c r="L920" i="20"/>
  <c r="L919" i="20"/>
  <c r="L918" i="20"/>
  <c r="L917" i="20"/>
  <c r="L916" i="20"/>
  <c r="L915" i="20"/>
  <c r="L914" i="20"/>
  <c r="L913" i="20"/>
  <c r="L912" i="20"/>
  <c r="L911" i="20"/>
  <c r="L910" i="20"/>
  <c r="L909" i="20"/>
  <c r="L908" i="20"/>
  <c r="L907" i="20"/>
  <c r="L906" i="20"/>
  <c r="L905" i="20"/>
  <c r="L904" i="20"/>
  <c r="L903" i="20"/>
  <c r="L902" i="20"/>
  <c r="L901" i="20"/>
  <c r="L900" i="20"/>
  <c r="L899" i="20"/>
  <c r="L898" i="20"/>
  <c r="L897" i="20"/>
  <c r="L896" i="20"/>
  <c r="L895" i="20"/>
  <c r="L894" i="20"/>
  <c r="L893" i="20"/>
  <c r="L892" i="20"/>
  <c r="L891" i="20"/>
  <c r="L890" i="20"/>
  <c r="L889" i="20"/>
  <c r="L888" i="20"/>
  <c r="L887" i="20"/>
  <c r="L886" i="20"/>
  <c r="L885" i="20"/>
  <c r="L884" i="20"/>
  <c r="L883" i="20"/>
  <c r="L882" i="20"/>
  <c r="L881" i="20"/>
  <c r="L880" i="20"/>
  <c r="L879" i="20"/>
  <c r="L878" i="20"/>
  <c r="L877" i="20"/>
  <c r="L876" i="20"/>
  <c r="L875" i="20"/>
  <c r="L874" i="20"/>
  <c r="L873" i="20"/>
  <c r="L872" i="20"/>
  <c r="L871" i="20"/>
  <c r="L870" i="20"/>
  <c r="L869" i="20"/>
  <c r="L868" i="20"/>
  <c r="L867" i="20"/>
  <c r="L866" i="20"/>
  <c r="L865" i="20"/>
  <c r="L864" i="20"/>
  <c r="L863" i="20"/>
  <c r="L862" i="20"/>
  <c r="L861" i="20"/>
  <c r="L860" i="20"/>
  <c r="L859" i="20"/>
  <c r="L858" i="20"/>
  <c r="L857" i="20"/>
  <c r="L856" i="20"/>
  <c r="L855" i="20"/>
  <c r="L854" i="20"/>
  <c r="L853" i="20"/>
  <c r="L852" i="20"/>
  <c r="L851" i="20"/>
  <c r="L850" i="20"/>
  <c r="L849" i="20"/>
  <c r="L848" i="20"/>
  <c r="L847" i="20"/>
  <c r="L846" i="20"/>
  <c r="L845" i="20"/>
  <c r="L844" i="20"/>
  <c r="L843" i="20"/>
  <c r="L842" i="20"/>
  <c r="L841" i="20"/>
  <c r="L840" i="20"/>
  <c r="L839" i="20"/>
  <c r="L838" i="20"/>
  <c r="L837" i="20"/>
  <c r="L836" i="20"/>
  <c r="L835" i="20"/>
  <c r="L834" i="20"/>
  <c r="L833" i="20"/>
  <c r="L832" i="20"/>
  <c r="L831" i="20"/>
  <c r="L830" i="20"/>
  <c r="L829" i="20"/>
  <c r="L828" i="20"/>
  <c r="L827" i="20"/>
  <c r="L826" i="20"/>
  <c r="L825" i="20"/>
  <c r="L824" i="20"/>
  <c r="L823" i="20"/>
  <c r="L822" i="20"/>
  <c r="L821" i="20"/>
  <c r="L820" i="20"/>
  <c r="L819" i="20"/>
  <c r="L818" i="20"/>
  <c r="L817" i="20"/>
  <c r="L816" i="20"/>
  <c r="L815" i="20"/>
  <c r="L814" i="20"/>
  <c r="L813" i="20"/>
  <c r="L812" i="20"/>
  <c r="L811" i="20"/>
  <c r="L810" i="20"/>
  <c r="L809" i="20"/>
  <c r="L808" i="20"/>
  <c r="L807" i="20"/>
  <c r="L806" i="20"/>
  <c r="L805" i="20"/>
  <c r="L804" i="20"/>
  <c r="L803" i="20"/>
  <c r="L802" i="20"/>
  <c r="L801" i="20"/>
  <c r="L800" i="20"/>
  <c r="L799" i="20"/>
  <c r="L798" i="20"/>
  <c r="L797" i="20"/>
  <c r="L796" i="20"/>
  <c r="L795" i="20"/>
  <c r="L794" i="20"/>
  <c r="L793" i="20"/>
  <c r="L792" i="20"/>
  <c r="L791" i="20"/>
  <c r="L790" i="20"/>
  <c r="L789" i="20"/>
  <c r="L788" i="20"/>
  <c r="L787" i="20"/>
  <c r="L786" i="20"/>
  <c r="L785" i="20"/>
  <c r="L784" i="20"/>
  <c r="L783" i="20"/>
  <c r="L782" i="20"/>
  <c r="L781" i="20"/>
  <c r="L780" i="20"/>
  <c r="L779" i="20"/>
  <c r="L778" i="20"/>
  <c r="L777" i="20"/>
  <c r="L776" i="20"/>
  <c r="L775" i="20"/>
  <c r="L774" i="20"/>
  <c r="L773" i="20"/>
  <c r="L772" i="20"/>
  <c r="L771" i="20"/>
  <c r="L770" i="20"/>
  <c r="L769" i="20"/>
  <c r="L768" i="20"/>
  <c r="L767" i="20"/>
  <c r="L766" i="20"/>
  <c r="L765" i="20"/>
  <c r="L764" i="20"/>
  <c r="L763" i="20"/>
  <c r="L762" i="20"/>
  <c r="L761" i="20"/>
  <c r="L760" i="20"/>
  <c r="L759" i="20"/>
  <c r="L758" i="20"/>
  <c r="L757" i="20"/>
  <c r="L756" i="20"/>
  <c r="L755" i="20"/>
  <c r="L754" i="20"/>
  <c r="L753" i="20"/>
  <c r="L752" i="20"/>
  <c r="L751" i="20"/>
  <c r="L750" i="20"/>
  <c r="L749" i="20"/>
  <c r="L748" i="20"/>
  <c r="L747" i="20"/>
  <c r="L746" i="20"/>
  <c r="L745" i="20"/>
  <c r="L744" i="20"/>
  <c r="L743" i="20"/>
  <c r="L742" i="20"/>
  <c r="L741" i="20"/>
  <c r="L740" i="20"/>
  <c r="L739" i="20"/>
  <c r="L738" i="20"/>
  <c r="L737" i="20"/>
  <c r="L736" i="20"/>
  <c r="L735" i="20"/>
  <c r="L734" i="20"/>
  <c r="L733" i="20"/>
  <c r="L732" i="20"/>
  <c r="L731" i="20"/>
  <c r="L730" i="20"/>
  <c r="L729" i="20"/>
  <c r="L728" i="20"/>
  <c r="L727" i="20"/>
  <c r="L726" i="20"/>
  <c r="L725" i="20"/>
  <c r="L724" i="20"/>
  <c r="L723" i="20"/>
  <c r="L722" i="20"/>
  <c r="L721" i="20"/>
  <c r="L720" i="20"/>
  <c r="L719" i="20"/>
  <c r="L718" i="20"/>
  <c r="L717" i="20"/>
  <c r="L716" i="20"/>
  <c r="L715" i="20"/>
  <c r="L714" i="20"/>
  <c r="L713" i="20"/>
  <c r="L712" i="20"/>
  <c r="L711" i="20"/>
  <c r="L710" i="20"/>
  <c r="L709" i="20"/>
  <c r="L708" i="20"/>
  <c r="L707" i="20"/>
  <c r="L706" i="20"/>
  <c r="L705" i="20"/>
  <c r="L704" i="20"/>
  <c r="L703" i="20"/>
  <c r="L702" i="20"/>
  <c r="L701" i="20"/>
  <c r="L700" i="20"/>
  <c r="L699" i="20"/>
  <c r="L698" i="20"/>
  <c r="L697" i="20"/>
  <c r="L696" i="20"/>
  <c r="L695" i="20"/>
  <c r="L694" i="20"/>
  <c r="L693" i="20"/>
  <c r="L692" i="20"/>
  <c r="L691" i="20"/>
  <c r="L690" i="20"/>
  <c r="L689" i="20"/>
  <c r="L688" i="20"/>
  <c r="L687" i="20"/>
  <c r="L686" i="20"/>
  <c r="L685" i="20"/>
  <c r="L684" i="20"/>
  <c r="L683" i="20"/>
  <c r="L682" i="20"/>
  <c r="L681" i="20"/>
  <c r="L680" i="20"/>
  <c r="L679" i="20"/>
  <c r="L678" i="20"/>
  <c r="L677" i="20"/>
  <c r="L676" i="20"/>
  <c r="L675" i="20"/>
  <c r="L674" i="20"/>
  <c r="L673" i="20"/>
  <c r="L672" i="20"/>
  <c r="L671" i="20"/>
  <c r="L670" i="20"/>
  <c r="L669" i="20"/>
  <c r="L668" i="20"/>
  <c r="L667" i="20"/>
  <c r="L666" i="20"/>
  <c r="L665" i="20"/>
  <c r="L664" i="20"/>
  <c r="L663" i="20"/>
  <c r="L662" i="20"/>
  <c r="L661" i="20"/>
  <c r="L660" i="20"/>
  <c r="L659" i="20"/>
  <c r="L658" i="20"/>
  <c r="L657" i="20"/>
  <c r="L656" i="20"/>
  <c r="L655" i="20"/>
  <c r="L654" i="20"/>
  <c r="L653" i="20"/>
  <c r="L652" i="20"/>
  <c r="L651" i="20"/>
  <c r="L650" i="20"/>
  <c r="L649" i="20"/>
  <c r="L648" i="20"/>
  <c r="L647" i="20"/>
  <c r="L646" i="20"/>
  <c r="L645" i="20"/>
  <c r="L644" i="20"/>
  <c r="L643" i="20"/>
  <c r="L642" i="20"/>
  <c r="L641" i="20"/>
  <c r="L640" i="20"/>
  <c r="L639" i="20"/>
  <c r="L638" i="20"/>
  <c r="L637" i="20"/>
  <c r="L636" i="20"/>
  <c r="L635" i="20"/>
  <c r="L634" i="20"/>
  <c r="L633" i="20"/>
  <c r="L632" i="20"/>
  <c r="L631" i="20"/>
  <c r="L630" i="20"/>
  <c r="L629" i="20"/>
  <c r="L628" i="20"/>
  <c r="L627" i="20"/>
  <c r="L626" i="20"/>
  <c r="L625" i="20"/>
  <c r="L624" i="20"/>
  <c r="L623" i="20"/>
  <c r="L622" i="20"/>
  <c r="L621" i="20"/>
  <c r="L620" i="20"/>
  <c r="L619" i="20"/>
  <c r="L618" i="20"/>
  <c r="L617" i="20"/>
  <c r="L616" i="20"/>
  <c r="L615" i="20"/>
  <c r="L614" i="20"/>
  <c r="L613" i="20"/>
  <c r="L612" i="20"/>
  <c r="L611" i="20"/>
  <c r="L610" i="20"/>
  <c r="L609" i="20"/>
  <c r="L608" i="20"/>
  <c r="L607" i="20"/>
  <c r="L606" i="20"/>
  <c r="L605" i="20"/>
  <c r="L604" i="20"/>
  <c r="L603" i="20"/>
  <c r="L602" i="20"/>
  <c r="L601" i="20"/>
  <c r="L600" i="20"/>
  <c r="L599" i="20"/>
  <c r="L598" i="20"/>
  <c r="L597" i="20"/>
  <c r="L596" i="20"/>
  <c r="L595" i="20"/>
  <c r="L594" i="20"/>
  <c r="L593" i="20"/>
  <c r="L592" i="20"/>
  <c r="L591" i="20"/>
  <c r="L590" i="20"/>
  <c r="L589" i="20"/>
  <c r="L588" i="20"/>
  <c r="L587" i="20"/>
  <c r="L586" i="20"/>
  <c r="L585" i="20"/>
  <c r="L584" i="20"/>
  <c r="L583" i="20"/>
  <c r="L582" i="20"/>
  <c r="L581" i="20"/>
  <c r="L580" i="20"/>
  <c r="L579" i="20"/>
  <c r="L578" i="20"/>
  <c r="L577" i="20"/>
  <c r="L576" i="20"/>
  <c r="L575" i="20"/>
  <c r="L574" i="20"/>
  <c r="L573" i="20"/>
  <c r="L572" i="20"/>
  <c r="L571" i="20"/>
  <c r="L570" i="20"/>
  <c r="L569" i="20"/>
  <c r="L568" i="20"/>
  <c r="L567" i="20"/>
  <c r="L566" i="20"/>
  <c r="L565" i="20"/>
  <c r="L564" i="20"/>
  <c r="L563" i="20"/>
  <c r="L562" i="20"/>
  <c r="L561" i="20"/>
  <c r="L560" i="20"/>
  <c r="L559" i="20"/>
  <c r="L558" i="20"/>
  <c r="L557" i="20"/>
  <c r="L556" i="20"/>
  <c r="L555" i="20"/>
  <c r="L554" i="20"/>
  <c r="L553" i="20"/>
  <c r="L552" i="20"/>
  <c r="L551" i="20"/>
  <c r="L550" i="20"/>
  <c r="L549" i="20"/>
  <c r="L548" i="20"/>
  <c r="L547" i="20"/>
  <c r="L546" i="20"/>
  <c r="L545" i="20"/>
  <c r="L544" i="20"/>
  <c r="L543" i="20"/>
  <c r="L542" i="20"/>
  <c r="L541" i="20"/>
  <c r="L540" i="20"/>
  <c r="L539" i="20"/>
  <c r="L538" i="20"/>
  <c r="L537" i="20"/>
  <c r="L536" i="20"/>
  <c r="L535" i="20"/>
  <c r="L534" i="20"/>
  <c r="L533" i="20"/>
  <c r="L532" i="20"/>
  <c r="L531" i="20"/>
  <c r="L530" i="20"/>
  <c r="L529" i="20"/>
  <c r="L528" i="20"/>
  <c r="L527" i="20"/>
  <c r="L526" i="20"/>
  <c r="L525" i="20"/>
  <c r="L524" i="20"/>
  <c r="L523" i="20"/>
  <c r="L522" i="20"/>
  <c r="L521" i="20"/>
  <c r="L520" i="20"/>
  <c r="L519" i="20"/>
  <c r="L518" i="20"/>
  <c r="L517" i="20"/>
  <c r="L516" i="20"/>
  <c r="L515" i="20"/>
  <c r="L514" i="20"/>
  <c r="L513" i="20"/>
  <c r="L512" i="20"/>
  <c r="L511" i="20"/>
  <c r="L510" i="20"/>
  <c r="L509" i="20"/>
  <c r="L508" i="20"/>
  <c r="L507" i="20"/>
  <c r="L506" i="20"/>
  <c r="L505" i="20"/>
  <c r="L504" i="20"/>
  <c r="L503" i="20"/>
  <c r="L502" i="20"/>
  <c r="L501" i="20"/>
  <c r="L500" i="20"/>
  <c r="L499" i="20"/>
  <c r="L498" i="20"/>
  <c r="L497" i="20"/>
  <c r="L496" i="20"/>
  <c r="L495" i="20"/>
  <c r="L494" i="20"/>
  <c r="L493" i="20"/>
  <c r="L492" i="20"/>
  <c r="L491" i="20"/>
  <c r="L490" i="20"/>
  <c r="L489" i="20"/>
  <c r="L488" i="20"/>
  <c r="L487" i="20"/>
  <c r="L486" i="20"/>
  <c r="L485" i="20"/>
  <c r="L484" i="20"/>
  <c r="L483" i="20"/>
  <c r="L482" i="20"/>
  <c r="L481" i="20"/>
  <c r="L480" i="20"/>
  <c r="L479" i="20"/>
  <c r="L478" i="20"/>
  <c r="L477" i="20"/>
  <c r="L476" i="20"/>
  <c r="L475" i="20"/>
  <c r="L474" i="20"/>
  <c r="L473" i="20"/>
  <c r="L472" i="20"/>
  <c r="L471" i="20"/>
  <c r="L470" i="20"/>
  <c r="L469" i="20"/>
  <c r="L468" i="20"/>
  <c r="L467" i="20"/>
  <c r="L466" i="20"/>
  <c r="L465" i="20"/>
  <c r="L464" i="20"/>
  <c r="L463" i="20"/>
  <c r="L462" i="20"/>
  <c r="L461" i="20"/>
  <c r="L460" i="20"/>
  <c r="L459" i="20"/>
  <c r="L458" i="20"/>
  <c r="L457" i="20"/>
  <c r="L456" i="20"/>
  <c r="L455" i="20"/>
  <c r="L454" i="20"/>
  <c r="L453" i="20"/>
  <c r="L452" i="20"/>
  <c r="L451" i="20"/>
  <c r="L450" i="20"/>
  <c r="L449" i="20"/>
  <c r="L448" i="20"/>
  <c r="L447" i="20"/>
  <c r="L446" i="20"/>
  <c r="L445" i="20"/>
  <c r="L444" i="20"/>
  <c r="L443" i="20"/>
  <c r="L442" i="20"/>
  <c r="L441" i="20"/>
  <c r="L440" i="20"/>
  <c r="L439" i="20"/>
  <c r="L438" i="20"/>
  <c r="L437" i="20"/>
  <c r="L436" i="20"/>
  <c r="L435" i="20"/>
  <c r="L434" i="20"/>
  <c r="L433" i="20"/>
  <c r="L432" i="20"/>
  <c r="L431" i="20"/>
  <c r="L430" i="20"/>
  <c r="L429" i="20"/>
  <c r="L428" i="20"/>
  <c r="L427" i="20"/>
  <c r="L426" i="20"/>
  <c r="L425" i="20"/>
  <c r="L424" i="20"/>
  <c r="L423" i="20"/>
  <c r="L422" i="20"/>
  <c r="L421" i="20"/>
  <c r="L420" i="20"/>
  <c r="L419" i="20"/>
  <c r="L418" i="20"/>
  <c r="L417" i="20"/>
  <c r="L416" i="20"/>
  <c r="L415" i="20"/>
  <c r="L414" i="20"/>
  <c r="L413" i="20"/>
  <c r="L412" i="20"/>
  <c r="L411" i="20"/>
  <c r="L410" i="20"/>
  <c r="L409" i="20"/>
  <c r="L408" i="20"/>
  <c r="L407" i="20"/>
  <c r="L406" i="20"/>
  <c r="L405" i="20"/>
  <c r="L404" i="20"/>
  <c r="L403" i="20"/>
  <c r="L402" i="20"/>
  <c r="L401" i="20"/>
  <c r="L400" i="20"/>
  <c r="L399" i="20"/>
  <c r="L398" i="20"/>
  <c r="L397" i="20"/>
  <c r="L396" i="20"/>
  <c r="L395" i="20"/>
  <c r="L394" i="20"/>
  <c r="L393" i="20"/>
  <c r="L392" i="20"/>
  <c r="L391" i="20"/>
  <c r="L390" i="20"/>
  <c r="L389" i="20"/>
  <c r="L388" i="20"/>
  <c r="L387" i="20"/>
  <c r="L386" i="20"/>
  <c r="L385" i="20"/>
  <c r="L384" i="20"/>
  <c r="L383" i="20"/>
  <c r="L382" i="20"/>
  <c r="L381" i="20"/>
  <c r="L380" i="20"/>
  <c r="L379" i="20"/>
  <c r="L378" i="20"/>
  <c r="L377" i="20"/>
  <c r="L376" i="20"/>
  <c r="L375" i="20"/>
  <c r="L374" i="20"/>
  <c r="L373" i="20"/>
  <c r="L372" i="20"/>
  <c r="L371" i="20"/>
  <c r="L370" i="20"/>
  <c r="L369" i="20"/>
  <c r="L368" i="20"/>
  <c r="L367" i="20"/>
  <c r="L366" i="20"/>
  <c r="L365" i="20"/>
  <c r="L364" i="20"/>
  <c r="L363" i="20"/>
  <c r="L362" i="20"/>
  <c r="L361" i="20"/>
  <c r="L360" i="20"/>
  <c r="L359" i="20"/>
  <c r="L358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L332" i="20"/>
  <c r="L331" i="20"/>
  <c r="L330" i="20"/>
  <c r="L329" i="20"/>
  <c r="L328" i="20"/>
  <c r="L327" i="20"/>
  <c r="L326" i="20"/>
  <c r="L325" i="20"/>
  <c r="L324" i="20"/>
  <c r="L323" i="20"/>
  <c r="L322" i="20"/>
  <c r="L321" i="20"/>
  <c r="L320" i="20"/>
  <c r="L319" i="20"/>
  <c r="L318" i="20"/>
  <c r="L317" i="20"/>
  <c r="L316" i="20"/>
  <c r="L315" i="20"/>
  <c r="L314" i="20"/>
  <c r="L313" i="20"/>
  <c r="L312" i="20"/>
  <c r="L311" i="20"/>
  <c r="L310" i="20"/>
  <c r="L309" i="20"/>
  <c r="L308" i="20"/>
  <c r="L307" i="20"/>
  <c r="L306" i="20"/>
  <c r="L305" i="20"/>
  <c r="L304" i="20"/>
  <c r="L303" i="20"/>
  <c r="L302" i="20"/>
  <c r="L301" i="20"/>
  <c r="L300" i="20"/>
  <c r="L299" i="20"/>
  <c r="L298" i="20"/>
  <c r="L297" i="20"/>
  <c r="L296" i="20"/>
  <c r="L295" i="20"/>
  <c r="L294" i="20"/>
  <c r="L293" i="20"/>
  <c r="L292" i="20"/>
  <c r="L291" i="20"/>
  <c r="L290" i="20"/>
  <c r="L289" i="20"/>
  <c r="L288" i="20"/>
  <c r="L287" i="20"/>
  <c r="L286" i="20"/>
  <c r="L285" i="20"/>
  <c r="L284" i="20"/>
  <c r="L283" i="20"/>
  <c r="L282" i="20"/>
  <c r="L281" i="20"/>
  <c r="L280" i="20"/>
  <c r="L279" i="20"/>
  <c r="L278" i="20"/>
  <c r="L277" i="20"/>
  <c r="L276" i="20"/>
  <c r="L275" i="20"/>
  <c r="L274" i="20"/>
  <c r="L273" i="20"/>
  <c r="L272" i="20"/>
  <c r="L271" i="20"/>
  <c r="L270" i="20"/>
  <c r="L269" i="20"/>
  <c r="L268" i="20"/>
  <c r="L267" i="20"/>
  <c r="L266" i="20"/>
  <c r="L265" i="20"/>
  <c r="L264" i="20"/>
  <c r="L263" i="20"/>
  <c r="L262" i="20"/>
  <c r="L261" i="20"/>
  <c r="L260" i="20"/>
  <c r="L259" i="20"/>
  <c r="L258" i="20"/>
  <c r="L257" i="20"/>
  <c r="L256" i="20"/>
  <c r="L255" i="20"/>
  <c r="L254" i="20"/>
  <c r="L253" i="20"/>
  <c r="L252" i="20"/>
  <c r="L251" i="20"/>
  <c r="L250" i="20"/>
  <c r="L249" i="20"/>
  <c r="L248" i="20"/>
  <c r="L247" i="20"/>
  <c r="L246" i="20"/>
  <c r="L245" i="20"/>
  <c r="L244" i="20"/>
  <c r="L243" i="20"/>
  <c r="L242" i="20"/>
  <c r="L241" i="20"/>
  <c r="L240" i="20"/>
  <c r="L239" i="20"/>
  <c r="L238" i="20"/>
  <c r="L237" i="20"/>
  <c r="L236" i="20"/>
  <c r="L235" i="20"/>
  <c r="L234" i="20"/>
  <c r="L233" i="20"/>
  <c r="L232" i="20"/>
  <c r="L231" i="20"/>
  <c r="L230" i="20"/>
  <c r="L229" i="20"/>
  <c r="L228" i="20"/>
  <c r="L227" i="20"/>
  <c r="L226" i="20"/>
  <c r="L225" i="20"/>
  <c r="L224" i="20"/>
  <c r="L223" i="20"/>
  <c r="L222" i="20"/>
  <c r="L221" i="20"/>
  <c r="L220" i="20"/>
  <c r="L219" i="20"/>
  <c r="L218" i="20"/>
  <c r="L217" i="20"/>
  <c r="L216" i="20"/>
  <c r="L215" i="20"/>
  <c r="L214" i="20"/>
  <c r="L213" i="20"/>
  <c r="L212" i="20"/>
  <c r="L211" i="20"/>
  <c r="L210" i="20"/>
  <c r="L209" i="20"/>
  <c r="L208" i="20"/>
  <c r="L207" i="20"/>
  <c r="L206" i="20"/>
  <c r="L205" i="20"/>
  <c r="L204" i="20"/>
  <c r="L203" i="20"/>
  <c r="L202" i="20"/>
  <c r="L201" i="20"/>
  <c r="L200" i="20"/>
  <c r="L199" i="20"/>
  <c r="L198" i="20"/>
  <c r="L197" i="20"/>
  <c r="L196" i="20"/>
  <c r="L195" i="20"/>
  <c r="L194" i="20"/>
  <c r="L193" i="20"/>
  <c r="L192" i="20"/>
  <c r="L191" i="20"/>
  <c r="L190" i="20"/>
  <c r="L189" i="20"/>
  <c r="L188" i="20"/>
  <c r="L187" i="20"/>
  <c r="L186" i="20"/>
  <c r="L185" i="20"/>
  <c r="L184" i="20"/>
  <c r="L183" i="20"/>
  <c r="L182" i="20"/>
  <c r="L181" i="20"/>
  <c r="L180" i="20"/>
  <c r="L179" i="20"/>
  <c r="L178" i="20"/>
  <c r="L177" i="20"/>
  <c r="L176" i="20"/>
  <c r="L175" i="20"/>
  <c r="L174" i="20"/>
  <c r="L173" i="20"/>
  <c r="L172" i="20"/>
  <c r="L171" i="20"/>
  <c r="L170" i="20"/>
  <c r="L169" i="20"/>
  <c r="L168" i="20"/>
  <c r="L167" i="20"/>
  <c r="L166" i="20"/>
  <c r="L165" i="20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L1" i="20"/>
  <c r="A72" i="3" l="1"/>
  <c r="A74" i="3"/>
  <c r="A20" i="3"/>
  <c r="B9" i="15" l="1"/>
  <c r="B1" i="15" l="1"/>
  <c r="C1" i="15"/>
  <c r="B2" i="15"/>
  <c r="C2" i="15"/>
  <c r="B3" i="15"/>
  <c r="C3" i="15"/>
  <c r="B4" i="15"/>
  <c r="C4" i="15"/>
  <c r="B5" i="15"/>
  <c r="C5" i="15"/>
  <c r="B6" i="15"/>
  <c r="C6" i="15"/>
  <c r="B7" i="15"/>
  <c r="C7" i="15"/>
  <c r="B8" i="15"/>
  <c r="C8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F1298" i="11" l="1"/>
  <c r="F1297" i="11"/>
  <c r="F1296" i="11"/>
  <c r="F1295" i="11"/>
  <c r="F1294" i="11"/>
  <c r="F1293" i="11"/>
  <c r="F1292" i="11"/>
  <c r="F1291" i="11"/>
  <c r="F1290" i="11"/>
  <c r="F1289" i="11"/>
  <c r="F1288" i="11"/>
  <c r="F1287" i="11"/>
  <c r="F1286" i="11"/>
  <c r="F1285" i="11"/>
  <c r="F1284" i="11"/>
  <c r="F1283" i="11"/>
  <c r="F1282" i="11"/>
  <c r="F1281" i="11"/>
  <c r="F1280" i="11"/>
  <c r="F1279" i="11"/>
  <c r="F1278" i="11"/>
  <c r="F1277" i="11"/>
  <c r="F1276" i="11"/>
  <c r="F1275" i="11"/>
  <c r="F1274" i="11"/>
  <c r="F1273" i="11"/>
  <c r="F1272" i="11"/>
  <c r="F1271" i="11"/>
  <c r="F1270" i="11"/>
  <c r="F1269" i="11"/>
  <c r="F1268" i="11"/>
  <c r="F1267" i="11"/>
  <c r="F1266" i="11"/>
  <c r="F1265" i="11"/>
  <c r="F1264" i="11"/>
  <c r="F1263" i="11"/>
  <c r="F1262" i="11"/>
  <c r="F1261" i="11"/>
  <c r="F1260" i="11"/>
  <c r="F1259" i="11"/>
  <c r="F1258" i="11"/>
  <c r="F1257" i="11"/>
  <c r="F1256" i="11"/>
  <c r="F1255" i="11"/>
  <c r="F1254" i="11"/>
  <c r="F1253" i="11"/>
  <c r="F1252" i="11"/>
  <c r="F1251" i="11"/>
  <c r="F1250" i="11"/>
  <c r="F1249" i="11"/>
  <c r="F1248" i="11"/>
  <c r="F1247" i="11"/>
  <c r="F1246" i="11"/>
  <c r="F1245" i="11"/>
  <c r="F1244" i="11"/>
  <c r="F1243" i="11"/>
  <c r="F1242" i="11"/>
  <c r="F1241" i="11"/>
  <c r="F1240" i="11"/>
  <c r="F1239" i="11"/>
  <c r="F1238" i="11"/>
  <c r="F1237" i="11"/>
  <c r="F1236" i="11"/>
  <c r="F1235" i="11"/>
  <c r="F1234" i="11"/>
  <c r="F1233" i="11"/>
  <c r="F1232" i="11"/>
  <c r="F1231" i="11"/>
  <c r="F1230" i="11"/>
  <c r="F1229" i="11"/>
  <c r="F1228" i="11"/>
  <c r="F1227" i="11"/>
  <c r="F1226" i="11"/>
  <c r="F1225" i="11"/>
  <c r="F1224" i="11"/>
  <c r="F1223" i="11"/>
  <c r="F1222" i="11"/>
  <c r="F1221" i="11"/>
  <c r="F1220" i="11"/>
  <c r="F1219" i="11"/>
  <c r="F1218" i="11"/>
  <c r="F1217" i="11"/>
  <c r="F1216" i="11"/>
  <c r="F1215" i="11"/>
  <c r="F1214" i="11"/>
  <c r="F1213" i="11"/>
  <c r="F1212" i="11"/>
  <c r="F1211" i="11"/>
  <c r="F1210" i="11"/>
  <c r="F1209" i="11"/>
  <c r="F1208" i="11"/>
  <c r="F1207" i="11"/>
  <c r="F1206" i="11"/>
  <c r="F1205" i="11"/>
  <c r="F1204" i="11"/>
  <c r="F1203" i="11"/>
  <c r="F1202" i="11"/>
  <c r="F1201" i="11"/>
  <c r="F1200" i="11"/>
  <c r="F1199" i="11"/>
  <c r="F1198" i="11"/>
  <c r="F1197" i="11"/>
  <c r="F1196" i="11"/>
  <c r="F1195" i="11"/>
  <c r="F1194" i="11"/>
  <c r="F1193" i="11"/>
  <c r="F1192" i="11"/>
  <c r="F1191" i="11"/>
  <c r="F1190" i="11"/>
  <c r="F1189" i="11"/>
  <c r="F1188" i="11"/>
  <c r="F1187" i="11"/>
  <c r="F1186" i="11"/>
  <c r="F1185" i="11"/>
  <c r="F1184" i="11"/>
  <c r="F1183" i="11"/>
  <c r="F1182" i="11"/>
  <c r="F1181" i="11"/>
  <c r="F1180" i="11"/>
  <c r="F1179" i="11"/>
  <c r="F1178" i="11"/>
  <c r="F1177" i="11"/>
  <c r="F1176" i="11"/>
  <c r="F1175" i="11"/>
  <c r="F1174" i="11"/>
  <c r="F1173" i="11"/>
  <c r="F1172" i="11"/>
  <c r="F1171" i="11"/>
  <c r="F1170" i="11"/>
  <c r="F1169" i="11"/>
  <c r="F1168" i="11"/>
  <c r="F1167" i="11"/>
  <c r="F1166" i="11"/>
  <c r="F1165" i="11"/>
  <c r="F1164" i="11"/>
  <c r="F1163" i="11"/>
  <c r="F1162" i="11"/>
  <c r="F1161" i="11"/>
  <c r="F1160" i="11"/>
  <c r="F1159" i="11"/>
  <c r="F1158" i="11"/>
  <c r="F1157" i="11"/>
  <c r="F1156" i="11"/>
  <c r="F1155" i="11"/>
  <c r="F1154" i="11"/>
  <c r="F1153" i="11"/>
  <c r="F1152" i="11"/>
  <c r="F1151" i="11"/>
  <c r="F1150" i="11"/>
  <c r="F1149" i="11"/>
  <c r="F1148" i="11"/>
  <c r="F1147" i="11"/>
  <c r="F1146" i="11"/>
  <c r="F1145" i="11"/>
  <c r="F1144" i="11"/>
  <c r="F1143" i="11"/>
  <c r="F1142" i="11"/>
  <c r="F1141" i="11"/>
  <c r="F1140" i="11"/>
  <c r="F1139" i="11"/>
  <c r="F1138" i="11"/>
  <c r="F1137" i="11"/>
  <c r="F1136" i="11"/>
  <c r="F1135" i="11"/>
  <c r="F1134" i="11"/>
  <c r="F1133" i="11"/>
  <c r="F1132" i="11"/>
  <c r="F1131" i="11"/>
  <c r="F1130" i="11"/>
  <c r="F1129" i="11"/>
  <c r="F1128" i="11"/>
  <c r="F1127" i="11"/>
  <c r="F1126" i="11"/>
  <c r="F1125" i="11"/>
  <c r="F1124" i="11"/>
  <c r="F1123" i="11"/>
  <c r="F1122" i="11"/>
  <c r="F1121" i="11"/>
  <c r="F1120" i="11"/>
  <c r="F1119" i="11"/>
  <c r="F1118" i="11"/>
  <c r="F1117" i="11"/>
  <c r="F1116" i="11"/>
  <c r="F1115" i="11"/>
  <c r="F1114" i="11"/>
  <c r="F1113" i="11"/>
  <c r="F1112" i="11"/>
  <c r="F1111" i="11"/>
  <c r="F1110" i="11"/>
  <c r="F1109" i="11"/>
  <c r="F1108" i="11"/>
  <c r="F1107" i="11"/>
  <c r="F1106" i="11"/>
  <c r="F1105" i="11"/>
  <c r="F1104" i="11"/>
  <c r="F1103" i="11"/>
  <c r="F1102" i="11"/>
  <c r="F1101" i="11"/>
  <c r="F1100" i="11"/>
  <c r="F1099" i="11"/>
  <c r="F1098" i="11"/>
  <c r="F1097" i="11"/>
  <c r="F1096" i="11"/>
  <c r="F1095" i="11"/>
  <c r="F1094" i="11"/>
  <c r="F1093" i="11"/>
  <c r="F1092" i="11"/>
  <c r="F1091" i="11"/>
  <c r="F1090" i="11"/>
  <c r="F1089" i="11"/>
  <c r="F1088" i="11"/>
  <c r="F1087" i="11"/>
  <c r="F1086" i="11"/>
  <c r="F1085" i="11"/>
  <c r="F1084" i="11"/>
  <c r="F1083" i="11"/>
  <c r="F1082" i="11"/>
  <c r="F1081" i="11"/>
  <c r="F1080" i="11"/>
  <c r="F1079" i="11"/>
  <c r="F1078" i="11"/>
  <c r="F1077" i="11"/>
  <c r="F1076" i="11"/>
  <c r="F1075" i="11"/>
  <c r="F1074" i="11"/>
  <c r="F1073" i="11"/>
  <c r="F1072" i="11"/>
  <c r="F1071" i="11"/>
  <c r="F1070" i="11"/>
  <c r="F1069" i="11"/>
  <c r="F1068" i="11"/>
  <c r="F1067" i="11"/>
  <c r="F1066" i="11"/>
  <c r="F1065" i="11"/>
  <c r="F1064" i="11"/>
  <c r="F1063" i="11"/>
  <c r="F1062" i="11"/>
  <c r="F1061" i="11"/>
  <c r="F1060" i="11"/>
  <c r="F1059" i="11"/>
  <c r="F1058" i="11"/>
  <c r="F1057" i="11"/>
  <c r="F1056" i="11"/>
  <c r="F1055" i="11"/>
  <c r="F1054" i="11"/>
  <c r="F1053" i="11"/>
  <c r="F1052" i="11"/>
  <c r="F1051" i="11"/>
  <c r="F1050" i="11"/>
  <c r="F1049" i="11"/>
  <c r="F1048" i="11"/>
  <c r="F1047" i="11"/>
  <c r="F1046" i="11"/>
  <c r="F1045" i="11"/>
  <c r="F1044" i="11"/>
  <c r="F1043" i="11"/>
  <c r="F1042" i="11"/>
  <c r="F1041" i="11"/>
  <c r="F1040" i="11"/>
  <c r="F1039" i="11"/>
  <c r="F1038" i="11"/>
  <c r="F1037" i="11"/>
  <c r="F1036" i="11"/>
  <c r="F1035" i="11"/>
  <c r="F1034" i="11"/>
  <c r="F1033" i="11"/>
  <c r="F1032" i="11"/>
  <c r="F1031" i="11"/>
  <c r="F1030" i="11"/>
  <c r="F1029" i="11"/>
  <c r="F1028" i="11"/>
  <c r="F1027" i="11"/>
  <c r="F1026" i="11"/>
  <c r="F1025" i="11"/>
  <c r="F1024" i="11"/>
  <c r="F1023" i="11"/>
  <c r="F1022" i="11"/>
  <c r="F1021" i="11"/>
  <c r="F1020" i="11"/>
  <c r="F1019" i="11"/>
  <c r="F1018" i="11"/>
  <c r="F1017" i="11"/>
  <c r="F1016" i="11"/>
  <c r="F1015" i="11"/>
  <c r="F1014" i="11"/>
  <c r="F1013" i="11"/>
  <c r="F1012" i="11"/>
  <c r="F1011" i="11"/>
  <c r="F1010" i="11"/>
  <c r="F1009" i="11"/>
  <c r="F1008" i="11"/>
  <c r="F1007" i="11"/>
  <c r="F1006" i="11"/>
  <c r="F1005" i="11"/>
  <c r="F1004" i="11"/>
  <c r="F1003" i="11"/>
  <c r="F1002" i="11"/>
  <c r="F1001" i="11"/>
  <c r="F1000" i="11"/>
  <c r="F999" i="11"/>
  <c r="F998" i="11"/>
  <c r="F997" i="11"/>
  <c r="F996" i="11"/>
  <c r="F995" i="11"/>
  <c r="F994" i="11"/>
  <c r="F993" i="11"/>
  <c r="F992" i="11"/>
  <c r="F991" i="11"/>
  <c r="F990" i="11"/>
  <c r="F989" i="11"/>
  <c r="F988" i="11"/>
  <c r="F987" i="11"/>
  <c r="F986" i="11"/>
  <c r="F985" i="11"/>
  <c r="F984" i="11"/>
  <c r="F983" i="11"/>
  <c r="F982" i="11"/>
  <c r="F981" i="11"/>
  <c r="F980" i="11"/>
  <c r="F979" i="11"/>
  <c r="F978" i="11"/>
  <c r="F977" i="11"/>
  <c r="F976" i="11"/>
  <c r="F975" i="11"/>
  <c r="F974" i="11"/>
  <c r="F973" i="11"/>
  <c r="F972" i="11"/>
  <c r="F971" i="11"/>
  <c r="F970" i="11"/>
  <c r="F969" i="11"/>
  <c r="F968" i="11"/>
  <c r="F967" i="11"/>
  <c r="F966" i="11"/>
  <c r="F965" i="11"/>
  <c r="F964" i="11"/>
  <c r="F963" i="11"/>
  <c r="F962" i="11"/>
  <c r="F961" i="11"/>
  <c r="F960" i="11"/>
  <c r="F959" i="11"/>
  <c r="F958" i="11"/>
  <c r="F957" i="11"/>
  <c r="F956" i="11"/>
  <c r="F955" i="11"/>
  <c r="F954" i="11"/>
  <c r="F953" i="11"/>
  <c r="F952" i="11"/>
  <c r="F951" i="11"/>
  <c r="F950" i="11"/>
  <c r="F949" i="11"/>
  <c r="F948" i="11"/>
  <c r="F947" i="11"/>
  <c r="F946" i="11"/>
  <c r="F945" i="11"/>
  <c r="F944" i="11"/>
  <c r="F943" i="11"/>
  <c r="F942" i="11"/>
  <c r="F941" i="11"/>
  <c r="F940" i="11"/>
  <c r="F939" i="11"/>
  <c r="F938" i="11"/>
  <c r="F937" i="11"/>
  <c r="F936" i="11"/>
  <c r="F935" i="11"/>
  <c r="F934" i="11"/>
  <c r="F933" i="11"/>
  <c r="F932" i="11"/>
  <c r="F931" i="11"/>
  <c r="F930" i="11"/>
  <c r="F929" i="11"/>
  <c r="F928" i="11"/>
  <c r="F927" i="11"/>
  <c r="F926" i="11"/>
  <c r="F925" i="11"/>
  <c r="F924" i="11"/>
  <c r="F923" i="11"/>
  <c r="F922" i="11"/>
  <c r="F921" i="11"/>
  <c r="F920" i="11"/>
  <c r="F919" i="11"/>
  <c r="F918" i="11"/>
  <c r="F917" i="11"/>
  <c r="F916" i="11"/>
  <c r="F915" i="11"/>
  <c r="F914" i="11"/>
  <c r="F913" i="11"/>
  <c r="F912" i="11"/>
  <c r="F911" i="11"/>
  <c r="F910" i="11"/>
  <c r="F909" i="11"/>
  <c r="F908" i="11"/>
  <c r="F907" i="11"/>
  <c r="F906" i="11"/>
  <c r="F905" i="11"/>
  <c r="F904" i="11"/>
  <c r="F903" i="11"/>
  <c r="F902" i="11"/>
  <c r="F901" i="11"/>
  <c r="F900" i="11"/>
  <c r="F899" i="11"/>
  <c r="F898" i="11"/>
  <c r="F897" i="11"/>
  <c r="F896" i="11"/>
  <c r="F895" i="11"/>
  <c r="F894" i="11"/>
  <c r="F893" i="11"/>
  <c r="F892" i="11"/>
  <c r="F891" i="11"/>
  <c r="F890" i="11"/>
  <c r="F889" i="11"/>
  <c r="F888" i="11"/>
  <c r="F887" i="11"/>
  <c r="F886" i="11"/>
  <c r="F885" i="11"/>
  <c r="F884" i="11"/>
  <c r="F883" i="11"/>
  <c r="F882" i="11"/>
  <c r="F881" i="11"/>
  <c r="F880" i="11"/>
  <c r="F879" i="11"/>
  <c r="F878" i="11"/>
  <c r="F877" i="11"/>
  <c r="F876" i="11"/>
  <c r="F875" i="11"/>
  <c r="F874" i="11"/>
  <c r="F873" i="11"/>
  <c r="F872" i="11"/>
  <c r="F871" i="11"/>
  <c r="F870" i="11"/>
  <c r="F869" i="11"/>
  <c r="F868" i="11"/>
  <c r="F867" i="11"/>
  <c r="F866" i="11"/>
  <c r="F865" i="11"/>
  <c r="F864" i="11"/>
  <c r="F863" i="11"/>
  <c r="F862" i="11"/>
  <c r="F861" i="11"/>
  <c r="F860" i="11"/>
  <c r="F859" i="11"/>
  <c r="F858" i="11"/>
  <c r="F857" i="11"/>
  <c r="F856" i="11"/>
  <c r="F855" i="11"/>
  <c r="F854" i="11"/>
  <c r="F853" i="11"/>
  <c r="F852" i="11"/>
  <c r="F851" i="11"/>
  <c r="F850" i="11"/>
  <c r="F849" i="11"/>
  <c r="F848" i="11"/>
  <c r="F847" i="11"/>
  <c r="F846" i="11"/>
  <c r="F845" i="11"/>
  <c r="F844" i="11"/>
  <c r="F843" i="11"/>
  <c r="F842" i="11"/>
  <c r="F841" i="11"/>
  <c r="F840" i="11"/>
  <c r="F839" i="11"/>
  <c r="F838" i="11"/>
  <c r="F837" i="11"/>
  <c r="F836" i="11"/>
  <c r="F835" i="11"/>
  <c r="F834" i="11"/>
  <c r="F833" i="11"/>
  <c r="F832" i="11"/>
  <c r="F831" i="11"/>
  <c r="F830" i="11"/>
  <c r="F829" i="11"/>
  <c r="F828" i="11"/>
  <c r="F827" i="11"/>
  <c r="F826" i="11"/>
  <c r="F825" i="11"/>
  <c r="F824" i="11"/>
  <c r="F823" i="11"/>
  <c r="F822" i="11"/>
  <c r="F821" i="11"/>
  <c r="F820" i="11"/>
  <c r="F819" i="11"/>
  <c r="F818" i="11"/>
  <c r="F817" i="11"/>
  <c r="F816" i="11"/>
  <c r="F815" i="11"/>
  <c r="F814" i="11"/>
  <c r="F813" i="11"/>
  <c r="F812" i="11"/>
  <c r="F811" i="11"/>
  <c r="F810" i="11"/>
  <c r="F809" i="11"/>
  <c r="F808" i="11"/>
  <c r="F807" i="11"/>
  <c r="F806" i="11"/>
  <c r="F805" i="11"/>
  <c r="F804" i="11"/>
  <c r="F803" i="11"/>
  <c r="F802" i="11"/>
  <c r="F801" i="11"/>
  <c r="F800" i="11"/>
  <c r="F799" i="11"/>
  <c r="F798" i="11"/>
  <c r="F797" i="11"/>
  <c r="F796" i="11"/>
  <c r="F795" i="11"/>
  <c r="F794" i="11"/>
  <c r="F793" i="11"/>
  <c r="F792" i="11"/>
  <c r="F791" i="11"/>
  <c r="F790" i="11"/>
  <c r="F789" i="11"/>
  <c r="F788" i="11"/>
  <c r="F787" i="11"/>
  <c r="F786" i="11"/>
  <c r="F785" i="11"/>
  <c r="F784" i="11"/>
  <c r="F783" i="11"/>
  <c r="F782" i="11"/>
  <c r="F781" i="11"/>
  <c r="F780" i="11"/>
  <c r="F779" i="11"/>
  <c r="F778" i="11"/>
  <c r="F777" i="11"/>
  <c r="F776" i="11"/>
  <c r="F775" i="11"/>
  <c r="F774" i="11"/>
  <c r="F773" i="11"/>
  <c r="F772" i="11"/>
  <c r="F771" i="11"/>
  <c r="F770" i="11"/>
  <c r="F769" i="11"/>
  <c r="F768" i="11"/>
  <c r="F767" i="11"/>
  <c r="F766" i="11"/>
  <c r="F765" i="11"/>
  <c r="F764" i="11"/>
  <c r="F763" i="11"/>
  <c r="F762" i="11"/>
  <c r="F761" i="11"/>
  <c r="F760" i="11"/>
  <c r="F759" i="11"/>
  <c r="F758" i="11"/>
  <c r="F757" i="11"/>
  <c r="F756" i="11"/>
  <c r="F755" i="11"/>
  <c r="F754" i="11"/>
  <c r="F753" i="11"/>
  <c r="F752" i="11"/>
  <c r="F751" i="11"/>
  <c r="F750" i="11"/>
  <c r="F749" i="11"/>
  <c r="F748" i="11"/>
  <c r="F747" i="11"/>
  <c r="F746" i="11"/>
  <c r="F745" i="11"/>
  <c r="F744" i="11"/>
  <c r="F743" i="11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8" i="11"/>
  <c r="F727" i="11"/>
  <c r="F726" i="11"/>
  <c r="F725" i="11"/>
  <c r="F724" i="11"/>
  <c r="F723" i="11"/>
  <c r="F722" i="11"/>
  <c r="F721" i="11"/>
  <c r="F720" i="11"/>
  <c r="F719" i="11"/>
  <c r="F718" i="11"/>
  <c r="F717" i="11"/>
  <c r="F716" i="11"/>
  <c r="F715" i="11"/>
  <c r="F714" i="11"/>
  <c r="F713" i="11"/>
  <c r="F712" i="11"/>
  <c r="F711" i="11"/>
  <c r="F710" i="11"/>
  <c r="F709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G1298" i="11"/>
  <c r="G1297" i="11"/>
  <c r="G1296" i="11"/>
  <c r="G1295" i="11"/>
  <c r="G1294" i="11"/>
  <c r="G1293" i="11"/>
  <c r="G1292" i="11"/>
  <c r="G1291" i="11"/>
  <c r="G1290" i="11"/>
  <c r="G1289" i="11"/>
  <c r="G1288" i="11"/>
  <c r="G1287" i="11"/>
  <c r="G1286" i="11"/>
  <c r="G1285" i="11"/>
  <c r="G1284" i="11"/>
  <c r="G1283" i="11"/>
  <c r="G1282" i="11"/>
  <c r="G1281" i="11"/>
  <c r="G1280" i="11"/>
  <c r="G1279" i="11"/>
  <c r="G1278" i="11"/>
  <c r="G1277" i="11"/>
  <c r="G1276" i="11"/>
  <c r="G1275" i="11"/>
  <c r="G1274" i="11"/>
  <c r="G1273" i="11"/>
  <c r="G1272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1247" i="11"/>
  <c r="G1246" i="11"/>
  <c r="G1245" i="11"/>
  <c r="G1244" i="11"/>
  <c r="G1243" i="11"/>
  <c r="G1242" i="11"/>
  <c r="G1241" i="11"/>
  <c r="G124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</calcChain>
</file>

<file path=xl/sharedStrings.xml><?xml version="1.0" encoding="utf-8"?>
<sst xmlns="http://schemas.openxmlformats.org/spreadsheetml/2006/main" count="7815" uniqueCount="757">
  <si>
    <t>CAFE</t>
  </si>
  <si>
    <t>BODEGA PRINCIPAL DE BIENES</t>
  </si>
  <si>
    <t>MATRIZ1</t>
  </si>
  <si>
    <t>UNIDAD PROVINCIAL ADMINISTRATIVA</t>
  </si>
  <si>
    <t>UNIDAD PROVINCIAL FINANCIERA</t>
  </si>
  <si>
    <t>MARRON</t>
  </si>
  <si>
    <t>PLOMO</t>
  </si>
  <si>
    <t>BLANCO</t>
  </si>
  <si>
    <t>NO APLICA</t>
  </si>
  <si>
    <t>NEGRO</t>
  </si>
  <si>
    <t>VINO</t>
  </si>
  <si>
    <t>HABANO</t>
  </si>
  <si>
    <t>CAOBA</t>
  </si>
  <si>
    <t>ROSADO</t>
  </si>
  <si>
    <t>VERDE</t>
  </si>
  <si>
    <t>CEREZO</t>
  </si>
  <si>
    <t>MIEL</t>
  </si>
  <si>
    <t>FLOREADO</t>
  </si>
  <si>
    <t>AZUL</t>
  </si>
  <si>
    <t>TRICOLOR</t>
  </si>
  <si>
    <t>GRIS</t>
  </si>
  <si>
    <t>PLATA</t>
  </si>
  <si>
    <t>MARFIL</t>
  </si>
  <si>
    <t>UNIDAD PROVINCIAL DE ASESORÍA JURÍDICA</t>
  </si>
  <si>
    <t>TURQUESA</t>
  </si>
  <si>
    <t>CELESTE</t>
  </si>
  <si>
    <t>AMARILLO</t>
  </si>
  <si>
    <t>ROJO</t>
  </si>
  <si>
    <t>TOMATE</t>
  </si>
  <si>
    <t>CREMA</t>
  </si>
  <si>
    <t>BICOLOR</t>
  </si>
  <si>
    <t>COMPRA</t>
  </si>
  <si>
    <t>BEIGE</t>
  </si>
  <si>
    <t>REPOSICION</t>
  </si>
  <si>
    <t>BLANCO Y NEGRO</t>
  </si>
  <si>
    <t>COMPCONTR</t>
  </si>
  <si>
    <t>HUESO CLARO</t>
  </si>
  <si>
    <t>GRIS HIERRO</t>
  </si>
  <si>
    <t>TRASP_BLD</t>
  </si>
  <si>
    <t>Bien Inmueble</t>
  </si>
  <si>
    <t>Equipos electronicos y informaticos</t>
  </si>
  <si>
    <t>Bienes inmuebles</t>
  </si>
  <si>
    <t>Id</t>
  </si>
  <si>
    <t>OURSKY</t>
  </si>
  <si>
    <t>PANASONIC</t>
  </si>
  <si>
    <t>PERKINS</t>
  </si>
  <si>
    <t>PHILIPS</t>
  </si>
  <si>
    <t>PICA</t>
  </si>
  <si>
    <t>PIONEER</t>
  </si>
  <si>
    <t>POLYCOM</t>
  </si>
  <si>
    <t>PORTEN</t>
  </si>
  <si>
    <t>POWER</t>
  </si>
  <si>
    <t>POWER GUARD</t>
  </si>
  <si>
    <t>POWERCOM</t>
  </si>
  <si>
    <t>PRO</t>
  </si>
  <si>
    <t>QBEX</t>
  </si>
  <si>
    <t>QUASAD</t>
  </si>
  <si>
    <t>QUILOTOA</t>
  </si>
  <si>
    <t>RICOH</t>
  </si>
  <si>
    <t>SANYO</t>
  </si>
  <si>
    <t>SIN MARCA</t>
  </si>
  <si>
    <t>SONY</t>
  </si>
  <si>
    <t>SPEEDMIND</t>
  </si>
  <si>
    <t>STAINLESS</t>
  </si>
  <si>
    <t>SYLVANIA</t>
  </si>
  <si>
    <t>SYMBOL</t>
  </si>
  <si>
    <t>TOSHIBA</t>
  </si>
  <si>
    <t>TRENDNET</t>
  </si>
  <si>
    <t>VARTA</t>
  </si>
  <si>
    <t>VIRDI</t>
  </si>
  <si>
    <t>WENGER</t>
  </si>
  <si>
    <t>WHARFEDALE PRO</t>
  </si>
  <si>
    <t>YOLLY</t>
  </si>
  <si>
    <t>ZEBRA</t>
  </si>
  <si>
    <t>3COM</t>
  </si>
  <si>
    <t>ACE</t>
  </si>
  <si>
    <t>ADATA</t>
  </si>
  <si>
    <t>AKG</t>
  </si>
  <si>
    <t>ALTEK</t>
  </si>
  <si>
    <t>APPLE</t>
  </si>
  <si>
    <t>ARMEND SAFE</t>
  </si>
  <si>
    <t>ATU</t>
  </si>
  <si>
    <t>AUDIO TECH</t>
  </si>
  <si>
    <t>CANON</t>
  </si>
  <si>
    <t>CASSIO</t>
  </si>
  <si>
    <t>CDP</t>
  </si>
  <si>
    <t>CHAUVET</t>
  </si>
  <si>
    <t>CISCO</t>
  </si>
  <si>
    <t>CLON</t>
  </si>
  <si>
    <t>COLEMAN</t>
  </si>
  <si>
    <t>COMPAC</t>
  </si>
  <si>
    <t>COMPUTER POWER</t>
  </si>
  <si>
    <t xml:space="preserve">COOPER </t>
  </si>
  <si>
    <t>DELUX</t>
  </si>
  <si>
    <t>DELUXE</t>
  </si>
  <si>
    <t>DEWALT</t>
  </si>
  <si>
    <t>DINON</t>
  </si>
  <si>
    <t>DLINK</t>
  </si>
  <si>
    <t>E 7 N</t>
  </si>
  <si>
    <t>EAGLE</t>
  </si>
  <si>
    <t>ECLIPSE</t>
  </si>
  <si>
    <t>ELECTROLUX</t>
  </si>
  <si>
    <t>ENERGIZER</t>
  </si>
  <si>
    <t>EPSON</t>
  </si>
  <si>
    <t>FIRMESA</t>
  </si>
  <si>
    <t>FORZA</t>
  </si>
  <si>
    <t>FUJITSU</t>
  </si>
  <si>
    <t>GARMIN</t>
  </si>
  <si>
    <t>GENERAL ELECTRIC</t>
  </si>
  <si>
    <t>GENERICO</t>
  </si>
  <si>
    <t>GENIUS</t>
  </si>
  <si>
    <t>GEXX</t>
  </si>
  <si>
    <t>GRANDSTREAM</t>
  </si>
  <si>
    <t>HAND PUNCH</t>
  </si>
  <si>
    <t>HP</t>
  </si>
  <si>
    <t>IBM</t>
  </si>
  <si>
    <t>INFOCUS</t>
  </si>
  <si>
    <t>INNOVAIR</t>
  </si>
  <si>
    <t>KEHUA</t>
  </si>
  <si>
    <t>KW TRIO</t>
  </si>
  <si>
    <t>LENOVO</t>
  </si>
  <si>
    <t>LEXMARK</t>
  </si>
  <si>
    <t>LG</t>
  </si>
  <si>
    <t>LOGITECH</t>
  </si>
  <si>
    <t>MACKIE</t>
  </si>
  <si>
    <t>MAGELLAN</t>
  </si>
  <si>
    <t>MASTER PUNCH</t>
  </si>
  <si>
    <t>MICROSOFT</t>
  </si>
  <si>
    <t>MIKROTIK</t>
  </si>
  <si>
    <t>Bueno</t>
  </si>
  <si>
    <t>Regular</t>
  </si>
  <si>
    <t>Malo</t>
  </si>
  <si>
    <t>CNE DELEGACIÓN PASTAZA</t>
  </si>
  <si>
    <t>ASISTENTE ADMINISTRATIVO ELECTORAL PROVINCIAL</t>
  </si>
  <si>
    <t>ANALISTA PROVINCIAL FINANCIERO 2</t>
  </si>
  <si>
    <t>ASISTENTE ELECTORAL 2</t>
  </si>
  <si>
    <t>CHOFER</t>
  </si>
  <si>
    <t>ASISTENTE ELECTORAL TRANSVERSAL</t>
  </si>
  <si>
    <t>DIRECTOR PROVINCIAL</t>
  </si>
  <si>
    <t>SECRETARIA PROVINCIAL</t>
  </si>
  <si>
    <t>VOCAL</t>
  </si>
  <si>
    <t>ANALISTA PROVINCIAL DE PROCESOS ELECTORALES 1</t>
  </si>
  <si>
    <t>ESPECIALISTA ELECTORAL</t>
  </si>
  <si>
    <t>ANALISTA PROVINCIAL DE PROCESOS ELECTORALES 2</t>
  </si>
  <si>
    <t>ANALISTA PROVINCIAL DE TALENTO HUMANO 2</t>
  </si>
  <si>
    <t>CPU</t>
  </si>
  <si>
    <t>OTROS</t>
  </si>
  <si>
    <t xml:space="preserve">UNIDAD PROVINCIAL DE TALENTO HUMANO </t>
  </si>
  <si>
    <t xml:space="preserve">UNIDAD TÉCNICA PROVINCIAL DE PROCESOS ELECTORALES </t>
  </si>
  <si>
    <t>DIRECCION PROVINCIAL</t>
  </si>
  <si>
    <t>UNIDAD PROVINCIAL DE DESARROLLO DE PRODUCTOS Y SERVICIOS INFORMATIVOS ELECTORALES</t>
  </si>
  <si>
    <t>UNIDAD TECNICA PROVINCIAL DE PARTICIPACION POLITICA</t>
  </si>
  <si>
    <t>JUNTA ELECTORAL TERRITORIAL</t>
  </si>
  <si>
    <t>UNIDAD PROVINCIAL DE SEGURIDAD INFORMÁTICA Y PROYECTOS TECNOLÓGICOS ELECTORALES</t>
  </si>
  <si>
    <t>UNIDAD PROVINCIAL DE GESTION ESTRATEGICA Y PLANIFICACION</t>
  </si>
  <si>
    <t>UNIDAD PROVINCIAL DE SECRETARIA GENERAL</t>
  </si>
  <si>
    <t>codigo</t>
  </si>
  <si>
    <t>nombre</t>
  </si>
  <si>
    <t>id_marca</t>
  </si>
  <si>
    <t>modelo</t>
  </si>
  <si>
    <t>serie</t>
  </si>
  <si>
    <t>id_caracteristicas</t>
  </si>
  <si>
    <t>id_color</t>
  </si>
  <si>
    <t>id_estado</t>
  </si>
  <si>
    <t>origen_ingreso</t>
  </si>
  <si>
    <t>fecha_ingreso</t>
  </si>
  <si>
    <t>valor_compra</t>
  </si>
  <si>
    <t>comentario</t>
  </si>
  <si>
    <t>id_custodio</t>
  </si>
  <si>
    <t>VENTILADOR</t>
  </si>
  <si>
    <t>ARCHIVADOR MIXTO</t>
  </si>
  <si>
    <t>ARCHIVADOR METAL</t>
  </si>
  <si>
    <t>BIBLIOTECA METAL</t>
  </si>
  <si>
    <t>MESA AUXILIAR</t>
  </si>
  <si>
    <t>PAPELERA METAL</t>
  </si>
  <si>
    <t>VITRINA MADERA</t>
  </si>
  <si>
    <t>MESA MADERA</t>
  </si>
  <si>
    <t>SILLA ESTATICA</t>
  </si>
  <si>
    <t>ARCHIVADOR MADERA</t>
  </si>
  <si>
    <t>CASILLERO</t>
  </si>
  <si>
    <t>RADIO GRABADORA</t>
  </si>
  <si>
    <t>CORTAPICOS</t>
  </si>
  <si>
    <t>ESCRITORIO MADERA</t>
  </si>
  <si>
    <t>SILLA GIRATORIA</t>
  </si>
  <si>
    <t>ARCHIVADOR MELAMINICO</t>
  </si>
  <si>
    <t>ESTACION DE TRABAJO MIXTO</t>
  </si>
  <si>
    <t>MESA DE COMPUTADORA</t>
  </si>
  <si>
    <t>JUEGOS DE SALA</t>
  </si>
  <si>
    <t>ESCRITORIO MIXTO</t>
  </si>
  <si>
    <t>SILLON GIRATORIO</t>
  </si>
  <si>
    <t>ESTANTERIA METAL</t>
  </si>
  <si>
    <t>ESCUDO</t>
  </si>
  <si>
    <t>IMPRESORA LASER</t>
  </si>
  <si>
    <t>LECTOR CODIGO DE BARRAS</t>
  </si>
  <si>
    <t>GPS</t>
  </si>
  <si>
    <t>MONITOR</t>
  </si>
  <si>
    <t>LAPTOP</t>
  </si>
  <si>
    <t>MOUSE</t>
  </si>
  <si>
    <t>TECLADO</t>
  </si>
  <si>
    <t>TANQUE DE RESERVA</t>
  </si>
  <si>
    <t>JUEGO DE SALA</t>
  </si>
  <si>
    <t>SWITCH</t>
  </si>
  <si>
    <t>CALCULADORA</t>
  </si>
  <si>
    <t>TELEFONO</t>
  </si>
  <si>
    <t>IMPRESORA MATRICIAL</t>
  </si>
  <si>
    <t>TELEVISOR</t>
  </si>
  <si>
    <t>REFRIGERADOR</t>
  </si>
  <si>
    <t>REGULADOR DE VOLTAJE</t>
  </si>
  <si>
    <t>PROYECTOR</t>
  </si>
  <si>
    <t>UPS</t>
  </si>
  <si>
    <t>AMPLIFICADOR</t>
  </si>
  <si>
    <t>CONSOLA</t>
  </si>
  <si>
    <t>COMPACTERA</t>
  </si>
  <si>
    <t xml:space="preserve"> DISTRIBUIDOR DE MICROFONOS</t>
  </si>
  <si>
    <t>MICROFONO DE DIADEMA</t>
  </si>
  <si>
    <t>PARLANTE - ALTOPARLANTE</t>
  </si>
  <si>
    <t>SERVIDOR</t>
  </si>
  <si>
    <t>PORTA GAVETA</t>
  </si>
  <si>
    <t>MICROFONO</t>
  </si>
  <si>
    <t>GENERADOR ELECTRICO</t>
  </si>
  <si>
    <t>TELEFONO IP</t>
  </si>
  <si>
    <t>MALETA</t>
  </si>
  <si>
    <t>CARPA</t>
  </si>
  <si>
    <t>COLCHONETA</t>
  </si>
  <si>
    <t>NAVAJA PARA INJERTAR</t>
  </si>
  <si>
    <t>CABLE</t>
  </si>
  <si>
    <t>LINTERNA</t>
  </si>
  <si>
    <t>SELLO SECO</t>
  </si>
  <si>
    <t>CARTELERA</t>
  </si>
  <si>
    <t>EXTINTOR PQS</t>
  </si>
  <si>
    <t>EXTINTOR CO2</t>
  </si>
  <si>
    <t>GRAPADORA SEMI-INDUSTRIAL</t>
  </si>
  <si>
    <t>CARRO DE LIMPIEZA</t>
  </si>
  <si>
    <t>APUNTADOR LASER</t>
  </si>
  <si>
    <t>EXTENSION</t>
  </si>
  <si>
    <t>PONCHADORA</t>
  </si>
  <si>
    <t>SOPLETE</t>
  </si>
  <si>
    <t>ESCALERA</t>
  </si>
  <si>
    <t>ALARMA SENSOR DE MOVIMIENTO</t>
  </si>
  <si>
    <t>ALCOHOLIMETRO</t>
  </si>
  <si>
    <t>PANTALLA PARA PROYECTOR</t>
  </si>
  <si>
    <t>CAMARA FOTOGRAFICA</t>
  </si>
  <si>
    <t>IMPRESORA MULTIFUNCIONES</t>
  </si>
  <si>
    <t>ESPIRALADORA</t>
  </si>
  <si>
    <t>GUILLOTINA</t>
  </si>
  <si>
    <t>CAJA FUERTE</t>
  </si>
  <si>
    <t>TANDEM 3 PUESTOS</t>
  </si>
  <si>
    <t>IPAD</t>
  </si>
  <si>
    <t>TALADRO ELECTRICO</t>
  </si>
  <si>
    <t>SCANNER</t>
  </si>
  <si>
    <t>AIRE ACONDICIONADO</t>
  </si>
  <si>
    <t>RUTEADOR</t>
  </si>
  <si>
    <t>RACK</t>
  </si>
  <si>
    <t>IMPRESORA PARA CREDENCIALES</t>
  </si>
  <si>
    <t>WEBCAM</t>
  </si>
  <si>
    <t>LECTOR BIOMETRICO</t>
  </si>
  <si>
    <t>TRIPODE PARA CAMARA</t>
  </si>
  <si>
    <t>UPS 3 KVA</t>
  </si>
  <si>
    <t>AUDIFONO</t>
  </si>
  <si>
    <t>SISTEMA DE VIDEO CONFERENCIA</t>
  </si>
  <si>
    <t>COPIADORA</t>
  </si>
  <si>
    <t>FUENTE DE PODER</t>
  </si>
  <si>
    <t>RADIO PARA VEHICULO</t>
  </si>
  <si>
    <t>ASPIRADORA</t>
  </si>
  <si>
    <t>DISCO DURO EXTERNO</t>
  </si>
  <si>
    <t>AGUZADOR (SACAPUNTA)</t>
  </si>
  <si>
    <t>BANDERA</t>
  </si>
  <si>
    <t>MEGAFONO</t>
  </si>
  <si>
    <t>GRABADORA</t>
  </si>
  <si>
    <t>UPS 6 KVA</t>
  </si>
  <si>
    <t>AIRE ACONDICIONADO PARED 18000 BTU</t>
  </si>
  <si>
    <t>RELOJ BIOMETRICO</t>
  </si>
  <si>
    <t>FILMADORA</t>
  </si>
  <si>
    <t>MESA DE REUNION MADERA</t>
  </si>
  <si>
    <t>PIZARRON DE TIZA LIQUIDA</t>
  </si>
  <si>
    <t>SILLA TANDEM 3 PUESTOS</t>
  </si>
  <si>
    <t>ARMARIO MELAMINICO</t>
  </si>
  <si>
    <t>MESA DE COMEDOR MIXTO</t>
  </si>
  <si>
    <t>MESA RECTANGULAR MIXTO</t>
  </si>
  <si>
    <t>MESA MIXTA</t>
  </si>
  <si>
    <t>ARCHIVADOR DE METAL</t>
  </si>
  <si>
    <t>ESCRITORIO DE MADERA</t>
  </si>
  <si>
    <t>MESA DE MADERA</t>
  </si>
  <si>
    <t>ESTANTERIA DE METAL</t>
  </si>
  <si>
    <t>VITRINA MIXTA</t>
  </si>
  <si>
    <t>MESA CUADRADA DE PLASTICO</t>
  </si>
  <si>
    <t>SILLA DE PLASTICO</t>
  </si>
  <si>
    <t>MESA RECTANGULAR DE PLASTICO</t>
  </si>
  <si>
    <t>Equipo informático</t>
  </si>
  <si>
    <t>STALIN JOUSEPH BARRIGA CHAVEZ</t>
  </si>
  <si>
    <t>KETY MARIBEL BEDON VASCO</t>
  </si>
  <si>
    <t>HOMERO BUDDY CABRERA MEZA</t>
  </si>
  <si>
    <t>NELSON RICARDO CARDENAS HERMOZA</t>
  </si>
  <si>
    <t>TECNICO ELECTORAL 2</t>
  </si>
  <si>
    <t>UNIDAD PROVINCIAL DE SEGURIDAD INFORMATICA Y PROYECTOS TECNOLOGICOS ELECTORALES</t>
  </si>
  <si>
    <t>DANIEL FERNANDO CARDENAS OLMEDO</t>
  </si>
  <si>
    <t>HUMBERTO MESIAS CHUGCHO VALVERDE</t>
  </si>
  <si>
    <t>BILMA EDITH COBOS CASTRO</t>
  </si>
  <si>
    <t>MARTHA BEATRIZ COX DAVALOS</t>
  </si>
  <si>
    <t>MARIA JOSE FERNANDEZ SANCHEZ</t>
  </si>
  <si>
    <t>ANALISTA PROVINCIAL DE COMUNICACION 1</t>
  </si>
  <si>
    <t>MARITZA ALEXANDRA FLORES PILLAJO</t>
  </si>
  <si>
    <t>JONATHAN ANDRES FLORES SANCHEZ</t>
  </si>
  <si>
    <t xml:space="preserve">UNIDAD PROVINCIAL DE DESARROLLO DE PRODUCTOS Y SERVICIOS INFORMATIVOS ELECTORALES </t>
  </si>
  <si>
    <t>BRYAN ANDRES GALARZA FIGUEROA</t>
  </si>
  <si>
    <t>CLAUDIA VALERIA GALARZA GARCIA</t>
  </si>
  <si>
    <t>CRISTIAN FABIAN GONZALEZ VELIN</t>
  </si>
  <si>
    <t>ASISTENTE ADMISNISTRATIVO ELECTORAL PROVINCIAL</t>
  </si>
  <si>
    <t>JESSICA PATRICIA GUAMAN CARRANZA</t>
  </si>
  <si>
    <t>ANALISTA PROVINCIAL DE PARTICIPACION POLITICA 2</t>
  </si>
  <si>
    <t>SLENDY MISHELL GUANOPATIN CEVALLOS</t>
  </si>
  <si>
    <t>CLAUDIA SILVANA HEREDIA ORTIZ</t>
  </si>
  <si>
    <t>ROSA MERCY HERNANDEZ CARVAJAL</t>
  </si>
  <si>
    <t>JULIZA JOHANNA HERRERA SOSA</t>
  </si>
  <si>
    <t>DIEGO FERNANDO ILLANES CHIQUIN</t>
  </si>
  <si>
    <t>MONICA GABRIELA JARAMILLO JARAMILLO</t>
  </si>
  <si>
    <t>ANGEL MIGUEL LOOR MANZANO</t>
  </si>
  <si>
    <t>YAJAIRA CLARIBEL LOPEZ AGUIRRE</t>
  </si>
  <si>
    <t>UNIDAD TECNICA PROVINCIAL DE PROCESOS ELECTORALES</t>
  </si>
  <si>
    <t>MARLON ALEJANDRO MEZA CEDEÑO</t>
  </si>
  <si>
    <t>MIRYAM LILIANA NANGO GUIQUITA</t>
  </si>
  <si>
    <t>ANALISTA PROVINCIAL DE GESTION ESTRATEGICA Y PLANIFICACION 2</t>
  </si>
  <si>
    <t>PETER OLIVER NUÑEZ CHAVEZ</t>
  </si>
  <si>
    <t>DEYYDRA SOLANGE ORTEGA UBILLUZ</t>
  </si>
  <si>
    <t>JOSE BELISARIO PALACIOS PAZ</t>
  </si>
  <si>
    <t>DIANA FERNANDA PIZANAN CANDO</t>
  </si>
  <si>
    <t>ANALISTA PROVINCIAL DE ASESORIA JURIDICA 2</t>
  </si>
  <si>
    <t>UNIDAD PROVINCIAL DE ASESORIA JURIDICA</t>
  </si>
  <si>
    <t>DIEGO MAURICIO ROBALINO JIMENEZ</t>
  </si>
  <si>
    <t>CARLOS JULIO SANTACRUZ ALVARRACIN</t>
  </si>
  <si>
    <t>SICHAK SLENDY SANTI SANTI</t>
  </si>
  <si>
    <t>UNIDAD TÉCNICA PROVINCIAL DE PARTICIPACIÓN POLÍTICA</t>
  </si>
  <si>
    <t>LISETH CAROLINA SEGURA GAMBOA</t>
  </si>
  <si>
    <t>ANALISTA DE ASESORIA JURIDICA 1</t>
  </si>
  <si>
    <t>VALERIA CRISTINA SOLORZANO PADILLA</t>
  </si>
  <si>
    <t>TECNICO PROVINCIAL DE PARTICIPACION POLITICA</t>
  </si>
  <si>
    <t>PAULINA ALEJANDRA TOASA COBO</t>
  </si>
  <si>
    <t>PANGA SHIRAM VARGAS GREFA</t>
  </si>
  <si>
    <t>NICOLE KATHERINE VARGAS LOPEZ</t>
  </si>
  <si>
    <t>UNIDAD PROVINCIAL DE TALENTO HUMANO</t>
  </si>
  <si>
    <t>ANGEL VICENTE VELASCO PAZMIÑO</t>
  </si>
  <si>
    <t>LADY MABEL VINCES MONTENEGRO</t>
  </si>
  <si>
    <t>TECNICO ELECTORAL 1</t>
  </si>
  <si>
    <t>CESAR ANIBAL ZURITA FLORES</t>
  </si>
  <si>
    <t>categoria_id</t>
  </si>
  <si>
    <t>marca_id</t>
  </si>
  <si>
    <t>id_categoria</t>
  </si>
  <si>
    <t>custodio_id</t>
  </si>
  <si>
    <t>BIBLIOTECA</t>
  </si>
  <si>
    <t>0.64</t>
  </si>
  <si>
    <t>SIN MODELO</t>
  </si>
  <si>
    <t>0.76</t>
  </si>
  <si>
    <t>0.69</t>
  </si>
  <si>
    <t>MECANOGRAFICA</t>
  </si>
  <si>
    <t>0.09</t>
  </si>
  <si>
    <t>0.3</t>
  </si>
  <si>
    <t>DOS SERVICIOS</t>
  </si>
  <si>
    <t>0.04</t>
  </si>
  <si>
    <t>PORTA BANDERAS</t>
  </si>
  <si>
    <t>21.75</t>
  </si>
  <si>
    <t>TUMBADO</t>
  </si>
  <si>
    <t>4.76</t>
  </si>
  <si>
    <t>4.44</t>
  </si>
  <si>
    <t>8.51</t>
  </si>
  <si>
    <t>APILABLE</t>
  </si>
  <si>
    <t>6.13</t>
  </si>
  <si>
    <t>AUXILIAR</t>
  </si>
  <si>
    <t>5.91</t>
  </si>
  <si>
    <t>8.73</t>
  </si>
  <si>
    <t>ELECTORAL</t>
  </si>
  <si>
    <t>60.84</t>
  </si>
  <si>
    <t>BF 8FL</t>
  </si>
  <si>
    <t>0.13</t>
  </si>
  <si>
    <t>CFM 145S</t>
  </si>
  <si>
    <t>6.82</t>
  </si>
  <si>
    <t>CFS200S</t>
  </si>
  <si>
    <t>7.7</t>
  </si>
  <si>
    <t>8PGB</t>
  </si>
  <si>
    <t>0.53</t>
  </si>
  <si>
    <t>AEREO</t>
  </si>
  <si>
    <t>80.11</t>
  </si>
  <si>
    <t>GERENTE</t>
  </si>
  <si>
    <t>64.09</t>
  </si>
  <si>
    <t>MILANO</t>
  </si>
  <si>
    <t>52.99</t>
  </si>
  <si>
    <t>OC DECANO</t>
  </si>
  <si>
    <t>28.18</t>
  </si>
  <si>
    <t>SECRETARIA</t>
  </si>
  <si>
    <t>49.52</t>
  </si>
  <si>
    <t>136.8</t>
  </si>
  <si>
    <t>165.77</t>
  </si>
  <si>
    <t>152.94</t>
  </si>
  <si>
    <t>CHINO</t>
  </si>
  <si>
    <t>101.46</t>
  </si>
  <si>
    <t>MILENIO</t>
  </si>
  <si>
    <t>351.5</t>
  </si>
  <si>
    <t>332.5</t>
  </si>
  <si>
    <t>APOLO</t>
  </si>
  <si>
    <t>167.2</t>
  </si>
  <si>
    <t>GEMA</t>
  </si>
  <si>
    <t>68.4</t>
  </si>
  <si>
    <t>83.6</t>
  </si>
  <si>
    <t>SEMIEJECUTIVO</t>
  </si>
  <si>
    <t>185.25</t>
  </si>
  <si>
    <t>EJECUTIVO</t>
  </si>
  <si>
    <t>ALTO RELIEVE</t>
  </si>
  <si>
    <t>RINO</t>
  </si>
  <si>
    <t>COMPAQ DC5800</t>
  </si>
  <si>
    <t>640.87</t>
  </si>
  <si>
    <t>640.86</t>
  </si>
  <si>
    <t>SATELLITE C845</t>
  </si>
  <si>
    <t>2420 DN</t>
  </si>
  <si>
    <t>LS 2208</t>
  </si>
  <si>
    <t>EXPLORIST 500</t>
  </si>
  <si>
    <t>920NW</t>
  </si>
  <si>
    <t>114.07</t>
  </si>
  <si>
    <t>L1710</t>
  </si>
  <si>
    <t>GMO3006A</t>
  </si>
  <si>
    <t>4.93</t>
  </si>
  <si>
    <t>S/MODELO</t>
  </si>
  <si>
    <t>GM 04003A</t>
  </si>
  <si>
    <t>KB 9910</t>
  </si>
  <si>
    <t>10.4</t>
  </si>
  <si>
    <t>K640</t>
  </si>
  <si>
    <t>KL0210</t>
  </si>
  <si>
    <t>SK2880</t>
  </si>
  <si>
    <t>MOFXKO</t>
  </si>
  <si>
    <t>170.24</t>
  </si>
  <si>
    <t>193.2</t>
  </si>
  <si>
    <t>231.84</t>
  </si>
  <si>
    <t>151.2</t>
  </si>
  <si>
    <t>EN U</t>
  </si>
  <si>
    <t>AEREO CURVO</t>
  </si>
  <si>
    <t>DV6933CL</t>
  </si>
  <si>
    <t>P2015</t>
  </si>
  <si>
    <t>KVM 440</t>
  </si>
  <si>
    <t>DR 120LB</t>
  </si>
  <si>
    <t>36.05</t>
  </si>
  <si>
    <t>KX TS500LXB</t>
  </si>
  <si>
    <t>FX 890</t>
  </si>
  <si>
    <t>32LG30R</t>
  </si>
  <si>
    <t>982.14</t>
  </si>
  <si>
    <t>32PC5RVH</t>
  </si>
  <si>
    <t>776.79</t>
  </si>
  <si>
    <t>FR 146</t>
  </si>
  <si>
    <t>187.5</t>
  </si>
  <si>
    <t>AVR 1500 VA</t>
  </si>
  <si>
    <t>AVR 1500 D</t>
  </si>
  <si>
    <t>3C16471B</t>
  </si>
  <si>
    <t>EMP S5</t>
  </si>
  <si>
    <t>CFD RS60CP</t>
  </si>
  <si>
    <t>148.21</t>
  </si>
  <si>
    <t>32.57</t>
  </si>
  <si>
    <t>1062P</t>
  </si>
  <si>
    <t>42.85</t>
  </si>
  <si>
    <t>TRES PUESTOS</t>
  </si>
  <si>
    <t>43.62</t>
  </si>
  <si>
    <t>PA 451 DVD</t>
  </si>
  <si>
    <t>CFX12 MKII</t>
  </si>
  <si>
    <t>CDJ 400</t>
  </si>
  <si>
    <t>SR 40 D</t>
  </si>
  <si>
    <t>352.8</t>
  </si>
  <si>
    <t>SR 40 S</t>
  </si>
  <si>
    <t>201.6</t>
  </si>
  <si>
    <t>PT 40PRO</t>
  </si>
  <si>
    <t>SVP X15</t>
  </si>
  <si>
    <t>FBT 350 W</t>
  </si>
  <si>
    <t>765.44</t>
  </si>
  <si>
    <t>136.25</t>
  </si>
  <si>
    <t>W1943SS</t>
  </si>
  <si>
    <t>KB 0316</t>
  </si>
  <si>
    <t>12.42</t>
  </si>
  <si>
    <t>K639</t>
  </si>
  <si>
    <t>5.89</t>
  </si>
  <si>
    <t>NETSCROLL</t>
  </si>
  <si>
    <t>P4014N</t>
  </si>
  <si>
    <t>PROLIANT ML 150</t>
  </si>
  <si>
    <t>1240.53</t>
  </si>
  <si>
    <t>CAJONERA</t>
  </si>
  <si>
    <t>98.21</t>
  </si>
  <si>
    <t>MS5145</t>
  </si>
  <si>
    <t>DM 2.0S</t>
  </si>
  <si>
    <t>HT 40</t>
  </si>
  <si>
    <t>95.2</t>
  </si>
  <si>
    <t>DK51278</t>
  </si>
  <si>
    <t>20473.28</t>
  </si>
  <si>
    <t>OREGON 550T</t>
  </si>
  <si>
    <t>GXP2000</t>
  </si>
  <si>
    <t>2025 DN</t>
  </si>
  <si>
    <t>558.6</t>
  </si>
  <si>
    <t>PRO 3130MT</t>
  </si>
  <si>
    <t>667.8</t>
  </si>
  <si>
    <t>S1933</t>
  </si>
  <si>
    <t>SBJ96</t>
  </si>
  <si>
    <t>APOLO 4900</t>
  </si>
  <si>
    <t>695.2</t>
  </si>
  <si>
    <t>VW1910</t>
  </si>
  <si>
    <t>M668</t>
  </si>
  <si>
    <t>4.54</t>
  </si>
  <si>
    <t>742.14</t>
  </si>
  <si>
    <t>132.11</t>
  </si>
  <si>
    <t>12.04</t>
  </si>
  <si>
    <t>GK070006 U</t>
  </si>
  <si>
    <t>GM 050008U</t>
  </si>
  <si>
    <t>5.71</t>
  </si>
  <si>
    <t>SBF96</t>
  </si>
  <si>
    <t>3CBLSF50H</t>
  </si>
  <si>
    <t>69.46</t>
  </si>
  <si>
    <t>57.14</t>
  </si>
  <si>
    <t>PC 09</t>
  </si>
  <si>
    <t>44.8</t>
  </si>
  <si>
    <t>S 2021</t>
  </si>
  <si>
    <t>KB0316</t>
  </si>
  <si>
    <t>KU 0316</t>
  </si>
  <si>
    <t>K399B</t>
  </si>
  <si>
    <t>9.54</t>
  </si>
  <si>
    <t>31.58</t>
  </si>
  <si>
    <t>54.46</t>
  </si>
  <si>
    <t>21.84</t>
  </si>
  <si>
    <t>20.56</t>
  </si>
  <si>
    <t>22.9</t>
  </si>
  <si>
    <t>INFORMATIVA</t>
  </si>
  <si>
    <t>ESCB1136B</t>
  </si>
  <si>
    <t>5.5</t>
  </si>
  <si>
    <t>ELTS CXB</t>
  </si>
  <si>
    <t>GEE316</t>
  </si>
  <si>
    <t>69.64</t>
  </si>
  <si>
    <t>26.79</t>
  </si>
  <si>
    <t>20.54</t>
  </si>
  <si>
    <t>50SA</t>
  </si>
  <si>
    <t>5991E219334</t>
  </si>
  <si>
    <t>88.41</t>
  </si>
  <si>
    <t>20.25</t>
  </si>
  <si>
    <t>29.76</t>
  </si>
  <si>
    <t>16.08</t>
  </si>
  <si>
    <t>16.5</t>
  </si>
  <si>
    <t>TC CT68</t>
  </si>
  <si>
    <t>35.71</t>
  </si>
  <si>
    <t>PC 1832</t>
  </si>
  <si>
    <t>COMPAQ 8200</t>
  </si>
  <si>
    <t>871.93</t>
  </si>
  <si>
    <t>ML1865</t>
  </si>
  <si>
    <t>W1943CV</t>
  </si>
  <si>
    <t>155.21</t>
  </si>
  <si>
    <t>14.15</t>
  </si>
  <si>
    <t>M S0005 O</t>
  </si>
  <si>
    <t>6.71</t>
  </si>
  <si>
    <t>SM UPS750</t>
  </si>
  <si>
    <t>NT 501</t>
  </si>
  <si>
    <t>B SMART 706</t>
  </si>
  <si>
    <t>DSC HX200V</t>
  </si>
  <si>
    <t>DSC T110</t>
  </si>
  <si>
    <t>E460DN</t>
  </si>
  <si>
    <t>397.18</t>
  </si>
  <si>
    <t>L200</t>
  </si>
  <si>
    <t>248.21</t>
  </si>
  <si>
    <t>PSA3400 IS</t>
  </si>
  <si>
    <t>830.36</t>
  </si>
  <si>
    <t>LV1911</t>
  </si>
  <si>
    <t>COMPAQ 6200 PRO</t>
  </si>
  <si>
    <t>771.98</t>
  </si>
  <si>
    <t>5.04</t>
  </si>
  <si>
    <t>N8ROU</t>
  </si>
  <si>
    <t>MSB0991</t>
  </si>
  <si>
    <t>10.63</t>
  </si>
  <si>
    <t>COMEDOR</t>
  </si>
  <si>
    <t>PROBOOK 6470B</t>
  </si>
  <si>
    <t>987.04</t>
  </si>
  <si>
    <t>GXP2100</t>
  </si>
  <si>
    <t>A1395</t>
  </si>
  <si>
    <t>D21710 B3</t>
  </si>
  <si>
    <t>FI 6130Z</t>
  </si>
  <si>
    <t>SJ 242CD</t>
  </si>
  <si>
    <t>682.14</t>
  </si>
  <si>
    <t>682.16</t>
  </si>
  <si>
    <t>H429A</t>
  </si>
  <si>
    <t>KDL 55EX640</t>
  </si>
  <si>
    <t>2053.58</t>
  </si>
  <si>
    <t>2510G 24</t>
  </si>
  <si>
    <t>DIR 655</t>
  </si>
  <si>
    <t>559.79</t>
  </si>
  <si>
    <t>A5120 48G</t>
  </si>
  <si>
    <t>P430I</t>
  </si>
  <si>
    <t>4279.5</t>
  </si>
  <si>
    <t>C920</t>
  </si>
  <si>
    <t>771.7</t>
  </si>
  <si>
    <t>FOH02</t>
  </si>
  <si>
    <t>MO42KC</t>
  </si>
  <si>
    <t>147.84</t>
  </si>
  <si>
    <t>157.02</t>
  </si>
  <si>
    <t>COMPAQ 6300 MT</t>
  </si>
  <si>
    <t>683.66</t>
  </si>
  <si>
    <t>514.24</t>
  </si>
  <si>
    <t>CP1025NW</t>
  </si>
  <si>
    <t>291.6</t>
  </si>
  <si>
    <t>42 UR</t>
  </si>
  <si>
    <t>G2710</t>
  </si>
  <si>
    <t>102.6</t>
  </si>
  <si>
    <t>J9663A</t>
  </si>
  <si>
    <t>123.5</t>
  </si>
  <si>
    <t>VT 3 KVA</t>
  </si>
  <si>
    <t>121.69</t>
  </si>
  <si>
    <t>E1642CA</t>
  </si>
  <si>
    <t>100.35</t>
  </si>
  <si>
    <t>PET12C1PR1</t>
  </si>
  <si>
    <t>860.93</t>
  </si>
  <si>
    <t>196.93</t>
  </si>
  <si>
    <t>H430A</t>
  </si>
  <si>
    <t>808.86</t>
  </si>
  <si>
    <t>PG46515</t>
  </si>
  <si>
    <t>323.4</t>
  </si>
  <si>
    <t>TK 409</t>
  </si>
  <si>
    <t>63.51</t>
  </si>
  <si>
    <t>TK 407</t>
  </si>
  <si>
    <t>11.09</t>
  </si>
  <si>
    <t>SX K818</t>
  </si>
  <si>
    <t>8.47</t>
  </si>
  <si>
    <t>GM 110020</t>
  </si>
  <si>
    <t>5.26</t>
  </si>
  <si>
    <t>M SBN96</t>
  </si>
  <si>
    <t>UM 2018</t>
  </si>
  <si>
    <t>4.14</t>
  </si>
  <si>
    <t>2012QCPASS</t>
  </si>
  <si>
    <t>GM 050009P</t>
  </si>
  <si>
    <t>FI 6670</t>
  </si>
  <si>
    <t>6193.6</t>
  </si>
  <si>
    <t>RB2011</t>
  </si>
  <si>
    <t>389.76</t>
  </si>
  <si>
    <t>HS 04SU</t>
  </si>
  <si>
    <t>15.57</t>
  </si>
  <si>
    <t>112.01</t>
  </si>
  <si>
    <t>B SMART 1108</t>
  </si>
  <si>
    <t>144.4</t>
  </si>
  <si>
    <t>C100S</t>
  </si>
  <si>
    <t>155.68</t>
  </si>
  <si>
    <t>KDL 46HX755</t>
  </si>
  <si>
    <t>1618.91</t>
  </si>
  <si>
    <t>7200 63530 034</t>
  </si>
  <si>
    <t>4670.4</t>
  </si>
  <si>
    <t>MPC 5000</t>
  </si>
  <si>
    <t>249.96</t>
  </si>
  <si>
    <t>8.96</t>
  </si>
  <si>
    <t>11000ME</t>
  </si>
  <si>
    <t>2270.97</t>
  </si>
  <si>
    <t>DF1767</t>
  </si>
  <si>
    <t>134.4</t>
  </si>
  <si>
    <t>DEH X355OUI</t>
  </si>
  <si>
    <t>179.2</t>
  </si>
  <si>
    <t>DEH 345OUB</t>
  </si>
  <si>
    <t>DEH 255OUI</t>
  </si>
  <si>
    <t>3102.4</t>
  </si>
  <si>
    <t>250.01</t>
  </si>
  <si>
    <t>30.24</t>
  </si>
  <si>
    <t>865.32</t>
  </si>
  <si>
    <t>865.33</t>
  </si>
  <si>
    <t>ZBOOK 15</t>
  </si>
  <si>
    <t>1959.12</t>
  </si>
  <si>
    <t>154.03</t>
  </si>
  <si>
    <t>14.04</t>
  </si>
  <si>
    <t>6.66</t>
  </si>
  <si>
    <t>MOFXKQ</t>
  </si>
  <si>
    <t>125.44</t>
  </si>
  <si>
    <t>120.96</t>
  </si>
  <si>
    <t>HV620</t>
  </si>
  <si>
    <t>209.44</t>
  </si>
  <si>
    <t>1892.8</t>
  </si>
  <si>
    <t>TY 835</t>
  </si>
  <si>
    <t>26.27</t>
  </si>
  <si>
    <t>26.28</t>
  </si>
  <si>
    <t>7.46</t>
  </si>
  <si>
    <t>7.45</t>
  </si>
  <si>
    <t>MDRZX100</t>
  </si>
  <si>
    <t>19.01</t>
  </si>
  <si>
    <t>SF200 48</t>
  </si>
  <si>
    <t>557.76</t>
  </si>
  <si>
    <t>P1102W</t>
  </si>
  <si>
    <t>179.81</t>
  </si>
  <si>
    <t>59.36</t>
  </si>
  <si>
    <t>50LAN</t>
  </si>
  <si>
    <t>R7 LED</t>
  </si>
  <si>
    <t>14.56</t>
  </si>
  <si>
    <t>48.16</t>
  </si>
  <si>
    <t>28.56</t>
  </si>
  <si>
    <t>87.36</t>
  </si>
  <si>
    <t>78.56</t>
  </si>
  <si>
    <t>LFH0516</t>
  </si>
  <si>
    <t>88.36</t>
  </si>
  <si>
    <t>106.25</t>
  </si>
  <si>
    <t>50.16</t>
  </si>
  <si>
    <t>46.69</t>
  </si>
  <si>
    <t>46.74</t>
  </si>
  <si>
    <t>11.5</t>
  </si>
  <si>
    <t>62.51</t>
  </si>
  <si>
    <t>98.04</t>
  </si>
  <si>
    <t>PS 001B</t>
  </si>
  <si>
    <t>22.8</t>
  </si>
  <si>
    <t>1176V</t>
  </si>
  <si>
    <t>15.6</t>
  </si>
  <si>
    <t>15.61</t>
  </si>
  <si>
    <t>10.02</t>
  </si>
  <si>
    <t>PS655B2</t>
  </si>
  <si>
    <t>70.68</t>
  </si>
  <si>
    <t>34.71</t>
  </si>
  <si>
    <t>34.72</t>
  </si>
  <si>
    <t>9.92</t>
  </si>
  <si>
    <t>13.11</t>
  </si>
  <si>
    <t>10.32</t>
  </si>
  <si>
    <t>38.9</t>
  </si>
  <si>
    <t>38.72</t>
  </si>
  <si>
    <t>14-ac-115la</t>
  </si>
  <si>
    <t>1011.18</t>
  </si>
  <si>
    <t>6KVA</t>
  </si>
  <si>
    <t>VTN-6KVA</t>
  </si>
  <si>
    <t>GXP1628</t>
  </si>
  <si>
    <t>131.1</t>
  </si>
  <si>
    <t>fi-7160</t>
  </si>
  <si>
    <t>9.7</t>
  </si>
  <si>
    <t>EASC18A2MBCMW</t>
  </si>
  <si>
    <t>777.48</t>
  </si>
  <si>
    <t>EASE18A2MBCMW</t>
  </si>
  <si>
    <t>9.6</t>
  </si>
  <si>
    <t>RECTANGULAR</t>
  </si>
  <si>
    <t>86.96</t>
  </si>
  <si>
    <t>152.28</t>
  </si>
  <si>
    <t>152.11</t>
  </si>
  <si>
    <t>400.06</t>
  </si>
  <si>
    <t>400.1</t>
  </si>
  <si>
    <t>473.76</t>
  </si>
  <si>
    <t>M618 PLUS</t>
  </si>
  <si>
    <t>28.5</t>
  </si>
  <si>
    <t>28.54</t>
  </si>
  <si>
    <t>MP C2004SP</t>
  </si>
  <si>
    <t>4391.72</t>
  </si>
  <si>
    <t>HP 2000</t>
  </si>
  <si>
    <t>2080.96</t>
  </si>
  <si>
    <t>IN126STX</t>
  </si>
  <si>
    <t>2077.6</t>
  </si>
  <si>
    <t>HC-V180</t>
  </si>
  <si>
    <t>GXP2140</t>
  </si>
  <si>
    <t>145.6</t>
  </si>
  <si>
    <t>KR2000A</t>
  </si>
  <si>
    <t>991.2</t>
  </si>
  <si>
    <t>705.6</t>
  </si>
  <si>
    <t>LASER JET COLOR M452DW</t>
  </si>
  <si>
    <t>548.8</t>
  </si>
  <si>
    <t>LASER JET PRO M203DW</t>
  </si>
  <si>
    <t>264.32</t>
  </si>
  <si>
    <t>LASER JET PRO M12W</t>
  </si>
  <si>
    <t>110.88</t>
  </si>
  <si>
    <t>20MP38HQ</t>
  </si>
  <si>
    <t>V330-14IKB 81B0</t>
  </si>
  <si>
    <t>801.46</t>
  </si>
  <si>
    <t>id</t>
  </si>
  <si>
    <t>persona_id</t>
  </si>
  <si>
    <t>activo_id</t>
  </si>
  <si>
    <t>fecha</t>
  </si>
  <si>
    <t>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</si>
</sst>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0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33" borderId="0" xfId="0" applyFill="1" applyBorder="1" applyAlignment="1">
      <alignment horizontal="left" wrapText="1"/>
    </xf>
    <xf numFmtId="14" fontId="0" fillId="33" borderId="0" xfId="0" applyNumberFormat="1" applyFill="1" applyBorder="1" applyAlignment="1">
      <alignment horizontal="left" wrapText="1"/>
    </xf>
    <xf numFmtId="4" fontId="0" fillId="33" borderId="0" xfId="0" applyNumberFormat="1" applyFill="1" applyBorder="1" applyAlignment="1">
      <alignment horizontal="left" wrapText="1"/>
    </xf>
    <xf numFmtId="0" fontId="0" fillId="33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3" borderId="0" xfId="0" applyFont="1" applyFill="1" applyBorder="1" applyAlignment="1">
      <alignment horizontal="left" wrapText="1"/>
    </xf>
    <xf numFmtId="0" fontId="0" fillId="33" borderId="0" xfId="0" applyFont="1" applyFill="1" applyBorder="1" applyAlignment="1">
      <alignment horizontal="left"/>
    </xf>
    <xf numFmtId="0" fontId="18" fillId="0" borderId="0" xfId="0" applyFont="1" applyAlignment="1">
      <alignment vertical="center"/>
    </xf>
    <xf numFmtId="164" fontId="0" fillId="0" borderId="0" xfId="0" applyNumberFormat="1"/>
    <xf numFmtId="0" fontId="0" fillId="0" borderId="11" xfId="0" applyFont="1" applyBorder="1"/>
    <xf numFmtId="0" fontId="18" fillId="0" borderId="10" xfId="0" applyFont="1" applyBorder="1" applyAlignment="1">
      <alignment vertical="center"/>
    </xf>
    <xf numFmtId="0" fontId="0" fillId="0" borderId="12" xfId="0" applyFont="1" applyBorder="1"/>
    <xf numFmtId="0" fontId="0" fillId="0" borderId="13" xfId="0" applyFont="1" applyBorder="1"/>
    <xf numFmtId="0" fontId="18" fillId="0" borderId="12" xfId="0" applyFont="1" applyBorder="1" applyAlignment="1">
      <alignment vertical="center"/>
    </xf>
    <xf numFmtId="0" fontId="19" fillId="0" borderId="0" xfId="0" applyFont="1"/>
    <xf numFmtId="165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/>
    <xf numFmtId="165" fontId="19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unidad" displayName="unidad" ref="A1:B12" headerRowCount="0" totalsRowShown="0">
  <tableColumns count="2">
    <tableColumn id="2" name="Nombre"/>
    <tableColumn id="1" name="Id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9"/>
  <sheetViews>
    <sheetView topLeftCell="D1" workbookViewId="0">
      <selection activeCell="M2" sqref="M2"/>
    </sheetView>
  </sheetViews>
  <sheetFormatPr baseColWidth="10" defaultRowHeight="15" x14ac:dyDescent="0.25"/>
  <cols>
    <col min="1" max="2" width="11.42578125" style="2"/>
    <col min="3" max="3" width="37.42578125" style="2" bestFit="1" customWidth="1"/>
    <col min="4" max="4" width="18" style="6" bestFit="1" customWidth="1"/>
    <col min="5" max="5" width="11.85546875" style="2" bestFit="1" customWidth="1"/>
    <col min="6" max="6" width="24.42578125" style="2" bestFit="1" customWidth="1"/>
    <col min="7" max="7" width="23.5703125" style="2" bestFit="1" customWidth="1"/>
    <col min="8" max="8" width="16.28515625" style="2" bestFit="1" customWidth="1"/>
    <col min="10" max="10" width="9.7109375" style="2" customWidth="1"/>
    <col min="11" max="11" width="11.28515625" style="2" bestFit="1" customWidth="1"/>
    <col min="12" max="12" width="14.28515625" style="2" bestFit="1" customWidth="1"/>
    <col min="13" max="13" width="13.42578125" style="2" bestFit="1" customWidth="1"/>
    <col min="14" max="14" width="13" style="2" bestFit="1" customWidth="1"/>
    <col min="15" max="15" width="11.140625" style="2" bestFit="1" customWidth="1"/>
    <col min="16" max="16384" width="11.42578125" style="2"/>
  </cols>
  <sheetData>
    <row r="1" spans="1:15" x14ac:dyDescent="0.25">
      <c r="A1" s="2" t="s">
        <v>42</v>
      </c>
      <c r="B1" s="2" t="s">
        <v>156</v>
      </c>
      <c r="C1" s="2" t="s">
        <v>157</v>
      </c>
      <c r="D1" s="9" t="s">
        <v>346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2" t="s">
        <v>163</v>
      </c>
      <c r="K1" s="2" t="s">
        <v>168</v>
      </c>
      <c r="L1" s="2" t="s">
        <v>164</v>
      </c>
      <c r="M1" s="2" t="s">
        <v>165</v>
      </c>
      <c r="N1" s="2" t="s">
        <v>166</v>
      </c>
      <c r="O1" s="2" t="s">
        <v>167</v>
      </c>
    </row>
    <row r="2" spans="1:15" x14ac:dyDescent="0.25">
      <c r="A2" s="2">
        <v>1</v>
      </c>
      <c r="B2" s="3">
        <v>13184469</v>
      </c>
      <c r="C2" s="2" t="s">
        <v>170</v>
      </c>
      <c r="D2" s="2">
        <v>2</v>
      </c>
      <c r="E2" s="2">
        <v>8</v>
      </c>
      <c r="F2" s="2" t="str">
        <f>"BIBLIOTECA"</f>
        <v>BIBLIOTECA</v>
      </c>
      <c r="G2" s="2" t="str">
        <f>"63445030116003"</f>
        <v>63445030116003</v>
      </c>
      <c r="I2">
        <v>7</v>
      </c>
      <c r="J2" s="3">
        <v>2</v>
      </c>
      <c r="K2" s="2">
        <v>4</v>
      </c>
      <c r="L2" s="3" t="s">
        <v>2</v>
      </c>
      <c r="M2" s="4">
        <v>30724</v>
      </c>
      <c r="N2" s="3">
        <v>0.64</v>
      </c>
    </row>
    <row r="3" spans="1:15" x14ac:dyDescent="0.25">
      <c r="A3" s="2">
        <v>2</v>
      </c>
      <c r="B3" s="3">
        <v>13184238</v>
      </c>
      <c r="C3" s="2" t="s">
        <v>171</v>
      </c>
      <c r="D3" s="2">
        <v>2</v>
      </c>
      <c r="E3" s="2">
        <v>8</v>
      </c>
      <c r="F3" s="2" t="str">
        <f>"SIN MODELO"</f>
        <v>SIN MODELO</v>
      </c>
      <c r="G3" s="2" t="str">
        <f>"63445030101003"</f>
        <v>63445030101003</v>
      </c>
      <c r="I3">
        <v>7</v>
      </c>
      <c r="J3" s="3">
        <v>2</v>
      </c>
      <c r="K3" s="2">
        <v>3</v>
      </c>
      <c r="L3" s="3" t="s">
        <v>2</v>
      </c>
      <c r="M3" s="4">
        <v>30724</v>
      </c>
      <c r="N3" s="3">
        <v>0.76</v>
      </c>
    </row>
    <row r="4" spans="1:15" x14ac:dyDescent="0.25">
      <c r="A4" s="2">
        <v>3</v>
      </c>
      <c r="B4" s="3">
        <v>13184249</v>
      </c>
      <c r="C4" s="2" t="s">
        <v>172</v>
      </c>
      <c r="D4" s="2">
        <v>2</v>
      </c>
      <c r="E4" s="2">
        <v>8</v>
      </c>
      <c r="F4" s="2" t="str">
        <f>"SIN MODELO"</f>
        <v>SIN MODELO</v>
      </c>
      <c r="G4" s="2" t="str">
        <f>"63445030103001"</f>
        <v>63445030103001</v>
      </c>
      <c r="I4">
        <v>7</v>
      </c>
      <c r="J4" s="3">
        <v>2</v>
      </c>
      <c r="K4" s="2">
        <v>39</v>
      </c>
      <c r="L4" s="3" t="s">
        <v>2</v>
      </c>
      <c r="M4" s="4">
        <v>30724</v>
      </c>
      <c r="N4" s="3">
        <v>0.69</v>
      </c>
    </row>
    <row r="5" spans="1:15" x14ac:dyDescent="0.25">
      <c r="A5" s="2">
        <v>4</v>
      </c>
      <c r="B5" s="3">
        <v>13184250</v>
      </c>
      <c r="C5" s="2" t="s">
        <v>172</v>
      </c>
      <c r="D5" s="2">
        <v>2</v>
      </c>
      <c r="E5" s="2">
        <v>8</v>
      </c>
      <c r="F5" s="2" t="str">
        <f>"SIN MODELO"</f>
        <v>SIN MODELO</v>
      </c>
      <c r="G5" s="2" t="str">
        <f>"63445030103002"</f>
        <v>63445030103002</v>
      </c>
      <c r="I5">
        <v>7</v>
      </c>
      <c r="J5" s="3">
        <v>2</v>
      </c>
      <c r="K5" s="2">
        <v>2</v>
      </c>
      <c r="L5" s="3" t="s">
        <v>2</v>
      </c>
      <c r="M5" s="4">
        <v>30724</v>
      </c>
      <c r="N5" s="3">
        <v>0.69</v>
      </c>
    </row>
    <row r="6" spans="1:15" x14ac:dyDescent="0.25">
      <c r="A6" s="2">
        <v>5</v>
      </c>
      <c r="B6" s="3">
        <v>13184291</v>
      </c>
      <c r="C6" s="2" t="s">
        <v>173</v>
      </c>
      <c r="D6" s="2">
        <v>2</v>
      </c>
      <c r="E6" s="2">
        <v>76</v>
      </c>
      <c r="F6" s="2" t="str">
        <f>"MECANOGRAFICA"</f>
        <v>MECANOGRAFICA</v>
      </c>
      <c r="G6" s="2" t="str">
        <f>"63445030110011"</f>
        <v>63445030110011</v>
      </c>
      <c r="I6">
        <v>18</v>
      </c>
      <c r="J6" s="3">
        <v>2</v>
      </c>
      <c r="K6" s="2">
        <v>9</v>
      </c>
      <c r="L6" s="3" t="s">
        <v>2</v>
      </c>
      <c r="M6" s="4">
        <v>30724</v>
      </c>
      <c r="N6" s="3">
        <v>0.09</v>
      </c>
    </row>
    <row r="7" spans="1:15" x14ac:dyDescent="0.25">
      <c r="A7" s="2">
        <v>6</v>
      </c>
      <c r="B7" s="3">
        <v>13184292</v>
      </c>
      <c r="C7" s="2" t="s">
        <v>173</v>
      </c>
      <c r="D7" s="2">
        <v>2</v>
      </c>
      <c r="E7" s="2">
        <v>8</v>
      </c>
      <c r="F7" s="2" t="str">
        <f>"MECANOGRAFICA"</f>
        <v>MECANOGRAFICA</v>
      </c>
      <c r="G7" s="2" t="str">
        <f>"63445030110013"</f>
        <v>63445030110013</v>
      </c>
      <c r="I7">
        <v>7</v>
      </c>
      <c r="J7" s="3">
        <v>2</v>
      </c>
      <c r="K7" s="2">
        <v>4</v>
      </c>
      <c r="L7" s="3" t="s">
        <v>2</v>
      </c>
      <c r="M7" s="4">
        <v>30724</v>
      </c>
      <c r="N7" s="3">
        <v>0.3</v>
      </c>
    </row>
    <row r="8" spans="1:15" x14ac:dyDescent="0.25">
      <c r="A8" s="2">
        <v>7</v>
      </c>
      <c r="B8" s="3">
        <v>13184293</v>
      </c>
      <c r="C8" s="2" t="s">
        <v>173</v>
      </c>
      <c r="D8" s="2">
        <v>2</v>
      </c>
      <c r="E8" s="2">
        <v>8</v>
      </c>
      <c r="F8" s="2" t="str">
        <f>"MECANOGRAFICA"</f>
        <v>MECANOGRAFICA</v>
      </c>
      <c r="G8" s="2" t="str">
        <f>"63445030110014"</f>
        <v>63445030110014</v>
      </c>
      <c r="I8">
        <v>23</v>
      </c>
      <c r="J8" s="3">
        <v>2</v>
      </c>
      <c r="K8" s="2">
        <v>25</v>
      </c>
      <c r="L8" s="3" t="s">
        <v>2</v>
      </c>
      <c r="M8" s="4">
        <v>30724</v>
      </c>
      <c r="N8" s="3">
        <v>0.09</v>
      </c>
    </row>
    <row r="9" spans="1:15" x14ac:dyDescent="0.25">
      <c r="A9" s="2">
        <v>8</v>
      </c>
      <c r="B9" s="3">
        <v>13184302</v>
      </c>
      <c r="C9" s="2" t="s">
        <v>174</v>
      </c>
      <c r="D9" s="2">
        <v>2</v>
      </c>
      <c r="E9" s="2">
        <v>8</v>
      </c>
      <c r="F9" s="2" t="str">
        <f>"DOS SERVICIOS"</f>
        <v>DOS SERVICIOS</v>
      </c>
      <c r="G9" s="2" t="str">
        <f>"63445030111004"</f>
        <v>63445030111004</v>
      </c>
      <c r="I9">
        <v>5</v>
      </c>
      <c r="J9" s="3">
        <v>2</v>
      </c>
      <c r="K9" s="2">
        <v>39</v>
      </c>
      <c r="L9" s="3" t="s">
        <v>2</v>
      </c>
      <c r="M9" s="4">
        <v>30724</v>
      </c>
      <c r="N9" s="3">
        <v>0.04</v>
      </c>
    </row>
    <row r="10" spans="1:15" x14ac:dyDescent="0.25">
      <c r="A10" s="2">
        <v>9</v>
      </c>
      <c r="B10" s="3">
        <v>13184303</v>
      </c>
      <c r="C10" s="2" t="s">
        <v>174</v>
      </c>
      <c r="D10" s="2">
        <v>2</v>
      </c>
      <c r="E10" s="2">
        <v>8</v>
      </c>
      <c r="F10" s="2" t="str">
        <f>"DOS SERVICIOS"</f>
        <v>DOS SERVICIOS</v>
      </c>
      <c r="G10" s="2" t="str">
        <f>"63445030111005"</f>
        <v>63445030111005</v>
      </c>
      <c r="I10">
        <v>5</v>
      </c>
      <c r="J10" s="3">
        <v>2</v>
      </c>
      <c r="K10" s="2">
        <v>2</v>
      </c>
      <c r="L10" s="3" t="s">
        <v>2</v>
      </c>
      <c r="M10" s="4">
        <v>30724</v>
      </c>
      <c r="N10" s="3">
        <v>0.04</v>
      </c>
    </row>
    <row r="11" spans="1:15" x14ac:dyDescent="0.25">
      <c r="A11" s="2">
        <v>10</v>
      </c>
      <c r="B11" s="3">
        <v>13184470</v>
      </c>
      <c r="C11" s="2" t="s">
        <v>175</v>
      </c>
      <c r="D11" s="2">
        <v>2</v>
      </c>
      <c r="E11" s="2">
        <v>76</v>
      </c>
      <c r="F11" s="2" t="str">
        <f>"PORTA BANDERAS"</f>
        <v>PORTA BANDERAS</v>
      </c>
      <c r="G11" s="2" t="str">
        <f>"63445030116007"</f>
        <v>63445030116007</v>
      </c>
      <c r="I11">
        <v>18</v>
      </c>
      <c r="J11" s="3">
        <v>2</v>
      </c>
      <c r="K11" s="2">
        <v>9</v>
      </c>
      <c r="L11" s="3" t="s">
        <v>2</v>
      </c>
      <c r="M11" s="4">
        <v>35107</v>
      </c>
      <c r="N11" s="3">
        <v>21.75</v>
      </c>
    </row>
    <row r="12" spans="1:15" x14ac:dyDescent="0.25">
      <c r="A12" s="2">
        <v>11</v>
      </c>
      <c r="B12" s="3">
        <v>13184471</v>
      </c>
      <c r="C12" s="2" t="s">
        <v>175</v>
      </c>
      <c r="D12" s="2">
        <v>2</v>
      </c>
      <c r="E12" s="2">
        <v>76</v>
      </c>
      <c r="F12" s="2" t="str">
        <f>"PORTA BANDERAS"</f>
        <v>PORTA BANDERAS</v>
      </c>
      <c r="G12" s="2" t="str">
        <f>"63445030116008"</f>
        <v>63445030116008</v>
      </c>
      <c r="I12">
        <v>18</v>
      </c>
      <c r="J12" s="3">
        <v>2</v>
      </c>
      <c r="K12" s="2">
        <v>9</v>
      </c>
      <c r="L12" s="3" t="s">
        <v>2</v>
      </c>
      <c r="M12" s="4">
        <v>35107</v>
      </c>
      <c r="N12" s="3">
        <v>21.75</v>
      </c>
    </row>
    <row r="13" spans="1:15" x14ac:dyDescent="0.25">
      <c r="A13" s="2">
        <v>12</v>
      </c>
      <c r="B13" s="3">
        <v>13181999</v>
      </c>
      <c r="C13" s="2" t="s">
        <v>169</v>
      </c>
      <c r="D13" s="3">
        <v>1</v>
      </c>
      <c r="E13" s="2">
        <v>76</v>
      </c>
      <c r="F13" s="2" t="str">
        <f>"TUMBADO"</f>
        <v>TUMBADO</v>
      </c>
      <c r="G13" s="2" t="str">
        <f>"63445040103012"</f>
        <v>63445040103012</v>
      </c>
      <c r="I13">
        <v>5</v>
      </c>
      <c r="J13" s="3">
        <v>2</v>
      </c>
      <c r="K13" s="2">
        <v>39</v>
      </c>
      <c r="L13" s="3" t="s">
        <v>2</v>
      </c>
      <c r="M13" s="4">
        <v>35107</v>
      </c>
      <c r="N13" s="3">
        <v>4.76</v>
      </c>
    </row>
    <row r="14" spans="1:15" x14ac:dyDescent="0.25">
      <c r="A14" s="2">
        <v>13</v>
      </c>
      <c r="B14" s="3">
        <v>13181996</v>
      </c>
      <c r="C14" s="2" t="s">
        <v>169</v>
      </c>
      <c r="D14" s="3">
        <v>1</v>
      </c>
      <c r="E14" s="2">
        <v>76</v>
      </c>
      <c r="F14" s="2" t="str">
        <f>"TUMBADO"</f>
        <v>TUMBADO</v>
      </c>
      <c r="G14" s="2" t="str">
        <f>"63445040103009"</f>
        <v>63445040103009</v>
      </c>
      <c r="I14">
        <v>5</v>
      </c>
      <c r="J14" s="3">
        <v>1</v>
      </c>
      <c r="K14" s="2">
        <v>39</v>
      </c>
      <c r="L14" s="3" t="s">
        <v>2</v>
      </c>
      <c r="M14" s="4">
        <v>35107</v>
      </c>
      <c r="N14" s="3">
        <v>4.76</v>
      </c>
    </row>
    <row r="15" spans="1:15" x14ac:dyDescent="0.25">
      <c r="A15" s="2">
        <v>14</v>
      </c>
      <c r="B15" s="3">
        <v>13181997</v>
      </c>
      <c r="C15" s="2" t="s">
        <v>169</v>
      </c>
      <c r="D15" s="3">
        <v>1</v>
      </c>
      <c r="E15" s="2">
        <v>76</v>
      </c>
      <c r="F15" s="2" t="str">
        <f>"TUMBADO"</f>
        <v>TUMBADO</v>
      </c>
      <c r="G15" s="2" t="str">
        <f>"63445040103010"</f>
        <v>63445040103010</v>
      </c>
      <c r="I15">
        <v>5</v>
      </c>
      <c r="J15" s="3">
        <v>1</v>
      </c>
      <c r="K15" s="2">
        <v>9</v>
      </c>
      <c r="L15" s="3" t="s">
        <v>2</v>
      </c>
      <c r="M15" s="4">
        <v>35107</v>
      </c>
      <c r="N15" s="3">
        <v>4.76</v>
      </c>
    </row>
    <row r="16" spans="1:15" x14ac:dyDescent="0.25">
      <c r="A16" s="2">
        <v>15</v>
      </c>
      <c r="B16" s="3">
        <v>13181998</v>
      </c>
      <c r="C16" s="2" t="s">
        <v>169</v>
      </c>
      <c r="D16" s="3">
        <v>1</v>
      </c>
      <c r="E16" s="2">
        <v>76</v>
      </c>
      <c r="F16" s="2" t="str">
        <f>"TUMBADO"</f>
        <v>TUMBADO</v>
      </c>
      <c r="G16" s="2" t="str">
        <f>"63445040103011"</f>
        <v>63445040103011</v>
      </c>
      <c r="I16">
        <v>5</v>
      </c>
      <c r="J16" s="3">
        <v>1</v>
      </c>
      <c r="K16" s="2">
        <v>39</v>
      </c>
      <c r="L16" s="3" t="s">
        <v>2</v>
      </c>
      <c r="M16" s="4">
        <v>35107</v>
      </c>
      <c r="N16" s="3">
        <v>4.76</v>
      </c>
    </row>
    <row r="17" spans="1:14" x14ac:dyDescent="0.25">
      <c r="A17" s="2">
        <v>16</v>
      </c>
      <c r="B17" s="3">
        <v>13184285</v>
      </c>
      <c r="C17" s="2" t="s">
        <v>176</v>
      </c>
      <c r="D17" s="3">
        <v>2</v>
      </c>
      <c r="E17" s="2">
        <v>76</v>
      </c>
      <c r="F17" s="2" t="str">
        <f t="shared" ref="F17:F22" si="0">"SIN MODELO"</f>
        <v>SIN MODELO</v>
      </c>
      <c r="G17" s="2" t="str">
        <f>"63445030110005"</f>
        <v>63445030110005</v>
      </c>
      <c r="I17">
        <v>18</v>
      </c>
      <c r="J17" s="3">
        <v>2</v>
      </c>
      <c r="K17" s="2">
        <v>30</v>
      </c>
      <c r="L17" s="3" t="s">
        <v>2</v>
      </c>
      <c r="M17" s="4">
        <v>35107</v>
      </c>
      <c r="N17" s="3">
        <v>4.4400000000000004</v>
      </c>
    </row>
    <row r="18" spans="1:14" x14ac:dyDescent="0.25">
      <c r="A18" s="2">
        <v>17</v>
      </c>
      <c r="B18" s="3">
        <v>13184286</v>
      </c>
      <c r="C18" s="2" t="s">
        <v>176</v>
      </c>
      <c r="D18" s="3">
        <v>2</v>
      </c>
      <c r="E18" s="2">
        <v>76</v>
      </c>
      <c r="F18" s="2" t="str">
        <f t="shared" si="0"/>
        <v>SIN MODELO</v>
      </c>
      <c r="G18" s="2" t="str">
        <f>"63445030110006"</f>
        <v>63445030110006</v>
      </c>
      <c r="I18">
        <v>18</v>
      </c>
      <c r="J18" s="3">
        <v>2</v>
      </c>
      <c r="K18" s="2">
        <v>39</v>
      </c>
      <c r="L18" s="3" t="s">
        <v>2</v>
      </c>
      <c r="M18" s="4">
        <v>35107</v>
      </c>
      <c r="N18" s="3">
        <v>4.4400000000000004</v>
      </c>
    </row>
    <row r="19" spans="1:14" x14ac:dyDescent="0.25">
      <c r="A19" s="2">
        <v>18</v>
      </c>
      <c r="B19" s="3">
        <v>13184287</v>
      </c>
      <c r="C19" s="2" t="s">
        <v>176</v>
      </c>
      <c r="D19" s="3">
        <v>2</v>
      </c>
      <c r="E19" s="2">
        <v>76</v>
      </c>
      <c r="F19" s="2" t="str">
        <f t="shared" si="0"/>
        <v>SIN MODELO</v>
      </c>
      <c r="G19" s="2" t="str">
        <f>"63445030110007"</f>
        <v>63445030110007</v>
      </c>
      <c r="I19">
        <v>18</v>
      </c>
      <c r="J19" s="3">
        <v>2</v>
      </c>
      <c r="K19" s="2">
        <v>39</v>
      </c>
      <c r="L19" s="3" t="s">
        <v>2</v>
      </c>
      <c r="M19" s="4">
        <v>35107</v>
      </c>
      <c r="N19" s="3">
        <v>4.4400000000000004</v>
      </c>
    </row>
    <row r="20" spans="1:14" x14ac:dyDescent="0.25">
      <c r="A20" s="2">
        <v>19</v>
      </c>
      <c r="B20" s="3">
        <v>13184288</v>
      </c>
      <c r="C20" s="2" t="s">
        <v>176</v>
      </c>
      <c r="D20" s="3">
        <v>2</v>
      </c>
      <c r="E20" s="2">
        <v>76</v>
      </c>
      <c r="F20" s="2" t="str">
        <f t="shared" si="0"/>
        <v>SIN MODELO</v>
      </c>
      <c r="G20" s="2" t="str">
        <f>"63445030110008"</f>
        <v>63445030110008</v>
      </c>
      <c r="I20">
        <v>18</v>
      </c>
      <c r="J20" s="3">
        <v>2</v>
      </c>
      <c r="K20" s="2">
        <v>23</v>
      </c>
      <c r="L20" s="3" t="s">
        <v>2</v>
      </c>
      <c r="M20" s="4">
        <v>35107</v>
      </c>
      <c r="N20" s="3">
        <v>4.4400000000000004</v>
      </c>
    </row>
    <row r="21" spans="1:14" x14ac:dyDescent="0.25">
      <c r="A21" s="2">
        <v>20</v>
      </c>
      <c r="B21" s="3">
        <v>13184289</v>
      </c>
      <c r="C21" s="2" t="s">
        <v>176</v>
      </c>
      <c r="D21" s="3">
        <v>2</v>
      </c>
      <c r="E21" s="2">
        <v>76</v>
      </c>
      <c r="F21" s="2" t="str">
        <f t="shared" si="0"/>
        <v>SIN MODELO</v>
      </c>
      <c r="G21" s="2" t="str">
        <f>"63445030110009"</f>
        <v>63445030110009</v>
      </c>
      <c r="I21">
        <v>18</v>
      </c>
      <c r="J21" s="3">
        <v>2</v>
      </c>
      <c r="K21" s="2">
        <v>39</v>
      </c>
      <c r="L21" s="3" t="s">
        <v>2</v>
      </c>
      <c r="M21" s="4">
        <v>35107</v>
      </c>
      <c r="N21" s="3">
        <v>4.4400000000000004</v>
      </c>
    </row>
    <row r="22" spans="1:14" x14ac:dyDescent="0.25">
      <c r="A22" s="2">
        <v>21</v>
      </c>
      <c r="B22" s="3">
        <v>13184290</v>
      </c>
      <c r="C22" s="2" t="s">
        <v>176</v>
      </c>
      <c r="D22" s="3">
        <v>2</v>
      </c>
      <c r="E22" s="2">
        <v>76</v>
      </c>
      <c r="F22" s="2" t="str">
        <f t="shared" si="0"/>
        <v>SIN MODELO</v>
      </c>
      <c r="G22" s="2" t="str">
        <f>"63445030110010"</f>
        <v>63445030110010</v>
      </c>
      <c r="I22">
        <v>18</v>
      </c>
      <c r="J22" s="3">
        <v>2</v>
      </c>
      <c r="K22" s="2">
        <v>26</v>
      </c>
      <c r="L22" s="3" t="s">
        <v>2</v>
      </c>
      <c r="M22" s="4">
        <v>35107</v>
      </c>
      <c r="N22" s="3">
        <v>4.4400000000000004</v>
      </c>
    </row>
    <row r="23" spans="1:14" x14ac:dyDescent="0.25">
      <c r="A23" s="2">
        <v>22</v>
      </c>
      <c r="B23" s="3">
        <v>13184294</v>
      </c>
      <c r="C23" s="2" t="s">
        <v>176</v>
      </c>
      <c r="D23" s="3">
        <v>2</v>
      </c>
      <c r="E23" s="2">
        <v>76</v>
      </c>
      <c r="F23" s="2" t="str">
        <f>"MECANOGRAFICA"</f>
        <v>MECANOGRAFICA</v>
      </c>
      <c r="G23" s="2" t="str">
        <f>"63445030110015"</f>
        <v>63445030110015</v>
      </c>
      <c r="I23">
        <v>18</v>
      </c>
      <c r="J23" s="3">
        <v>2</v>
      </c>
      <c r="K23" s="2">
        <v>4</v>
      </c>
      <c r="L23" s="3" t="s">
        <v>2</v>
      </c>
      <c r="M23" s="4">
        <v>35107</v>
      </c>
      <c r="N23" s="3">
        <v>8.51</v>
      </c>
    </row>
    <row r="24" spans="1:14" x14ac:dyDescent="0.25">
      <c r="A24" s="2">
        <v>23</v>
      </c>
      <c r="B24" s="3">
        <v>13184295</v>
      </c>
      <c r="C24" s="2" t="s">
        <v>176</v>
      </c>
      <c r="D24" s="3">
        <v>2</v>
      </c>
      <c r="E24" s="2">
        <v>76</v>
      </c>
      <c r="F24" s="2" t="str">
        <f>"MECANOGRAFICA"</f>
        <v>MECANOGRAFICA</v>
      </c>
      <c r="G24" s="2" t="str">
        <f>"63445030110016"</f>
        <v>63445030110016</v>
      </c>
      <c r="I24">
        <v>18</v>
      </c>
      <c r="J24" s="3">
        <v>2</v>
      </c>
      <c r="K24" s="2">
        <v>34</v>
      </c>
      <c r="L24" s="3" t="s">
        <v>2</v>
      </c>
      <c r="M24" s="4">
        <v>35107</v>
      </c>
      <c r="N24" s="3">
        <v>8.51</v>
      </c>
    </row>
    <row r="25" spans="1:14" x14ac:dyDescent="0.25">
      <c r="A25" s="2">
        <v>24</v>
      </c>
      <c r="B25" s="3">
        <v>13184331</v>
      </c>
      <c r="C25" s="2" t="s">
        <v>177</v>
      </c>
      <c r="D25" s="3">
        <v>2</v>
      </c>
      <c r="E25" s="2">
        <v>76</v>
      </c>
      <c r="F25" s="2" t="str">
        <f>"APILABLE"</f>
        <v>APILABLE</v>
      </c>
      <c r="G25" s="2" t="str">
        <f>"63445030113028"</f>
        <v>63445030113028</v>
      </c>
      <c r="I25">
        <v>20</v>
      </c>
      <c r="J25" s="3">
        <v>2</v>
      </c>
      <c r="K25" s="2">
        <v>3</v>
      </c>
      <c r="L25" s="3" t="s">
        <v>2</v>
      </c>
      <c r="M25" s="4">
        <v>35107</v>
      </c>
      <c r="N25" s="3">
        <v>6.13</v>
      </c>
    </row>
    <row r="26" spans="1:14" x14ac:dyDescent="0.25">
      <c r="A26" s="2">
        <v>25</v>
      </c>
      <c r="B26" s="3">
        <v>13184266</v>
      </c>
      <c r="C26" s="2" t="s">
        <v>173</v>
      </c>
      <c r="D26" s="3">
        <v>2</v>
      </c>
      <c r="E26" s="2">
        <v>76</v>
      </c>
      <c r="F26" s="2" t="str">
        <f>"AUXILIAR"</f>
        <v>AUXILIAR</v>
      </c>
      <c r="G26" s="2" t="str">
        <f>"63445030107002"</f>
        <v>63445030107002</v>
      </c>
      <c r="I26">
        <v>7</v>
      </c>
      <c r="J26" s="3">
        <v>2</v>
      </c>
      <c r="K26" s="2">
        <v>4</v>
      </c>
      <c r="L26" s="3" t="s">
        <v>2</v>
      </c>
      <c r="M26" s="4">
        <v>35107</v>
      </c>
      <c r="N26" s="3">
        <v>5.91</v>
      </c>
    </row>
    <row r="27" spans="1:14" x14ac:dyDescent="0.25">
      <c r="A27" s="2">
        <v>26</v>
      </c>
      <c r="B27" s="3">
        <v>13184327</v>
      </c>
      <c r="C27" s="2" t="s">
        <v>177</v>
      </c>
      <c r="D27" s="3">
        <v>2</v>
      </c>
      <c r="E27" s="2">
        <v>76</v>
      </c>
      <c r="F27" s="2" t="str">
        <f t="shared" ref="F27:F85" si="1">"APILABLE"</f>
        <v>APILABLE</v>
      </c>
      <c r="G27" s="2" t="str">
        <f>"63445030113024"</f>
        <v>63445030113024</v>
      </c>
      <c r="I27">
        <v>20</v>
      </c>
      <c r="J27" s="3">
        <v>2</v>
      </c>
      <c r="K27" s="2">
        <v>37</v>
      </c>
      <c r="L27" s="3" t="s">
        <v>2</v>
      </c>
      <c r="M27" s="4">
        <v>35107</v>
      </c>
      <c r="N27" s="3">
        <v>6.13</v>
      </c>
    </row>
    <row r="28" spans="1:14" x14ac:dyDescent="0.25">
      <c r="A28" s="2">
        <v>27</v>
      </c>
      <c r="B28" s="3">
        <v>13184328</v>
      </c>
      <c r="C28" s="2" t="s">
        <v>177</v>
      </c>
      <c r="D28" s="3">
        <v>2</v>
      </c>
      <c r="E28" s="2">
        <v>76</v>
      </c>
      <c r="F28" s="2" t="str">
        <f t="shared" si="1"/>
        <v>APILABLE</v>
      </c>
      <c r="G28" s="2" t="str">
        <f>"63445030113025"</f>
        <v>63445030113025</v>
      </c>
      <c r="I28">
        <v>20</v>
      </c>
      <c r="J28" s="3">
        <v>2</v>
      </c>
      <c r="K28" s="2">
        <v>39</v>
      </c>
      <c r="L28" s="3" t="s">
        <v>2</v>
      </c>
      <c r="M28" s="4">
        <v>35107</v>
      </c>
      <c r="N28" s="3">
        <v>6.13</v>
      </c>
    </row>
    <row r="29" spans="1:14" x14ac:dyDescent="0.25">
      <c r="A29" s="2">
        <v>28</v>
      </c>
      <c r="B29" s="3">
        <v>13184329</v>
      </c>
      <c r="C29" s="2" t="s">
        <v>177</v>
      </c>
      <c r="D29" s="3">
        <v>2</v>
      </c>
      <c r="E29" s="2">
        <v>76</v>
      </c>
      <c r="F29" s="2" t="str">
        <f t="shared" si="1"/>
        <v>APILABLE</v>
      </c>
      <c r="G29" s="2" t="str">
        <f>"63445030113026"</f>
        <v>63445030113026</v>
      </c>
      <c r="I29">
        <v>20</v>
      </c>
      <c r="J29" s="3">
        <v>2</v>
      </c>
      <c r="K29" s="2">
        <v>37</v>
      </c>
      <c r="L29" s="3" t="s">
        <v>2</v>
      </c>
      <c r="M29" s="4">
        <v>35107</v>
      </c>
      <c r="N29" s="3">
        <v>6.13</v>
      </c>
    </row>
    <row r="30" spans="1:14" x14ac:dyDescent="0.25">
      <c r="A30" s="2">
        <v>29</v>
      </c>
      <c r="B30" s="3">
        <v>13184330</v>
      </c>
      <c r="C30" s="2" t="s">
        <v>177</v>
      </c>
      <c r="D30" s="3">
        <v>2</v>
      </c>
      <c r="E30" s="2">
        <v>76</v>
      </c>
      <c r="F30" s="2" t="str">
        <f t="shared" si="1"/>
        <v>APILABLE</v>
      </c>
      <c r="G30" s="2" t="str">
        <f>"63445030113027"</f>
        <v>63445030113027</v>
      </c>
      <c r="I30">
        <v>20</v>
      </c>
      <c r="J30" s="3">
        <v>2</v>
      </c>
      <c r="K30" s="2">
        <v>39</v>
      </c>
      <c r="L30" s="3" t="s">
        <v>2</v>
      </c>
      <c r="M30" s="4">
        <v>35107</v>
      </c>
      <c r="N30" s="3">
        <v>6.13</v>
      </c>
    </row>
    <row r="31" spans="1:14" x14ac:dyDescent="0.25">
      <c r="A31" s="2">
        <v>30</v>
      </c>
      <c r="B31" s="3">
        <v>13184332</v>
      </c>
      <c r="C31" s="2" t="s">
        <v>177</v>
      </c>
      <c r="D31" s="3">
        <v>2</v>
      </c>
      <c r="E31" s="2">
        <v>76</v>
      </c>
      <c r="F31" s="2" t="str">
        <f t="shared" si="1"/>
        <v>APILABLE</v>
      </c>
      <c r="G31" s="2" t="str">
        <f>"63445030113029"</f>
        <v>63445030113029</v>
      </c>
      <c r="I31">
        <v>20</v>
      </c>
      <c r="J31" s="3">
        <v>2</v>
      </c>
      <c r="K31" s="2">
        <v>3</v>
      </c>
      <c r="L31" s="3" t="s">
        <v>2</v>
      </c>
      <c r="M31" s="4">
        <v>35107</v>
      </c>
      <c r="N31" s="3">
        <v>6.13</v>
      </c>
    </row>
    <row r="32" spans="1:14" x14ac:dyDescent="0.25">
      <c r="A32" s="2">
        <v>31</v>
      </c>
      <c r="B32" s="3">
        <v>13184333</v>
      </c>
      <c r="C32" s="2" t="s">
        <v>177</v>
      </c>
      <c r="D32" s="3">
        <v>2</v>
      </c>
      <c r="E32" s="2">
        <v>76</v>
      </c>
      <c r="F32" s="2" t="str">
        <f t="shared" si="1"/>
        <v>APILABLE</v>
      </c>
      <c r="G32" s="2" t="str">
        <f>"63445030113030"</f>
        <v>63445030113030</v>
      </c>
      <c r="I32">
        <v>20</v>
      </c>
      <c r="J32" s="3">
        <v>2</v>
      </c>
      <c r="K32" s="2">
        <v>3</v>
      </c>
      <c r="L32" s="3" t="s">
        <v>2</v>
      </c>
      <c r="M32" s="4">
        <v>35107</v>
      </c>
      <c r="N32" s="3">
        <v>6.13</v>
      </c>
    </row>
    <row r="33" spans="1:14" x14ac:dyDescent="0.25">
      <c r="A33" s="2">
        <v>32</v>
      </c>
      <c r="B33" s="3">
        <v>13184334</v>
      </c>
      <c r="C33" s="2" t="s">
        <v>177</v>
      </c>
      <c r="D33" s="3">
        <v>2</v>
      </c>
      <c r="E33" s="2">
        <v>76</v>
      </c>
      <c r="F33" s="2" t="str">
        <f t="shared" si="1"/>
        <v>APILABLE</v>
      </c>
      <c r="G33" s="2" t="str">
        <f>"63445030113031"</f>
        <v>63445030113031</v>
      </c>
      <c r="I33">
        <v>20</v>
      </c>
      <c r="J33" s="3">
        <v>2</v>
      </c>
      <c r="K33" s="2">
        <v>3</v>
      </c>
      <c r="L33" s="3" t="s">
        <v>2</v>
      </c>
      <c r="M33" s="4">
        <v>35107</v>
      </c>
      <c r="N33" s="3">
        <v>6.13</v>
      </c>
    </row>
    <row r="34" spans="1:14" x14ac:dyDescent="0.25">
      <c r="A34" s="2">
        <v>33</v>
      </c>
      <c r="B34" s="3">
        <v>13184335</v>
      </c>
      <c r="C34" s="2" t="s">
        <v>177</v>
      </c>
      <c r="D34" s="3">
        <v>2</v>
      </c>
      <c r="E34" s="2">
        <v>76</v>
      </c>
      <c r="F34" s="2" t="str">
        <f t="shared" si="1"/>
        <v>APILABLE</v>
      </c>
      <c r="G34" s="2" t="str">
        <f>"63445030113032"</f>
        <v>63445030113032</v>
      </c>
      <c r="I34">
        <v>20</v>
      </c>
      <c r="J34" s="3">
        <v>2</v>
      </c>
      <c r="K34" s="2">
        <v>3</v>
      </c>
      <c r="L34" s="3" t="s">
        <v>2</v>
      </c>
      <c r="M34" s="4">
        <v>35107</v>
      </c>
      <c r="N34" s="3">
        <v>6.13</v>
      </c>
    </row>
    <row r="35" spans="1:14" x14ac:dyDescent="0.25">
      <c r="A35" s="2">
        <v>34</v>
      </c>
      <c r="B35" s="3">
        <v>13184336</v>
      </c>
      <c r="C35" s="2" t="s">
        <v>177</v>
      </c>
      <c r="D35" s="3">
        <v>2</v>
      </c>
      <c r="E35" s="2">
        <v>76</v>
      </c>
      <c r="F35" s="2" t="str">
        <f t="shared" si="1"/>
        <v>APILABLE</v>
      </c>
      <c r="G35" s="2" t="str">
        <f>"63445030113033"</f>
        <v>63445030113033</v>
      </c>
      <c r="I35">
        <v>20</v>
      </c>
      <c r="J35" s="3">
        <v>2</v>
      </c>
      <c r="K35" s="2">
        <v>39</v>
      </c>
      <c r="L35" s="3" t="s">
        <v>2</v>
      </c>
      <c r="M35" s="4">
        <v>35107</v>
      </c>
      <c r="N35" s="3">
        <v>6.13</v>
      </c>
    </row>
    <row r="36" spans="1:14" x14ac:dyDescent="0.25">
      <c r="A36" s="2">
        <v>35</v>
      </c>
      <c r="B36" s="3">
        <v>13184337</v>
      </c>
      <c r="C36" s="2" t="s">
        <v>177</v>
      </c>
      <c r="D36" s="3">
        <v>2</v>
      </c>
      <c r="E36" s="2">
        <v>76</v>
      </c>
      <c r="F36" s="2" t="str">
        <f t="shared" si="1"/>
        <v>APILABLE</v>
      </c>
      <c r="G36" s="2" t="str">
        <f>"63445030113034"</f>
        <v>63445030113034</v>
      </c>
      <c r="I36">
        <v>20</v>
      </c>
      <c r="J36" s="3">
        <v>2</v>
      </c>
      <c r="K36" s="2">
        <v>39</v>
      </c>
      <c r="L36" s="3" t="s">
        <v>2</v>
      </c>
      <c r="M36" s="4">
        <v>35107</v>
      </c>
      <c r="N36" s="3">
        <v>6.13</v>
      </c>
    </row>
    <row r="37" spans="1:14" x14ac:dyDescent="0.25">
      <c r="A37" s="2">
        <v>36</v>
      </c>
      <c r="B37" s="3">
        <v>13184338</v>
      </c>
      <c r="C37" s="2" t="s">
        <v>177</v>
      </c>
      <c r="D37" s="3">
        <v>2</v>
      </c>
      <c r="E37" s="2">
        <v>76</v>
      </c>
      <c r="F37" s="2" t="str">
        <f t="shared" si="1"/>
        <v>APILABLE</v>
      </c>
      <c r="G37" s="2" t="str">
        <f>"63445030113035"</f>
        <v>63445030113035</v>
      </c>
      <c r="I37">
        <v>20</v>
      </c>
      <c r="J37" s="3">
        <v>2</v>
      </c>
      <c r="K37" s="2">
        <v>39</v>
      </c>
      <c r="L37" s="3" t="s">
        <v>2</v>
      </c>
      <c r="M37" s="4">
        <v>35107</v>
      </c>
      <c r="N37" s="3">
        <v>6.13</v>
      </c>
    </row>
    <row r="38" spans="1:14" x14ac:dyDescent="0.25">
      <c r="A38" s="2">
        <v>37</v>
      </c>
      <c r="B38" s="3">
        <v>13184339</v>
      </c>
      <c r="C38" s="2" t="s">
        <v>177</v>
      </c>
      <c r="D38" s="3">
        <v>2</v>
      </c>
      <c r="E38" s="2">
        <v>76</v>
      </c>
      <c r="F38" s="2" t="str">
        <f t="shared" si="1"/>
        <v>APILABLE</v>
      </c>
      <c r="G38" s="2" t="str">
        <f>"63445030113036"</f>
        <v>63445030113036</v>
      </c>
      <c r="I38">
        <v>20</v>
      </c>
      <c r="J38" s="3">
        <v>2</v>
      </c>
      <c r="K38" s="2">
        <v>39</v>
      </c>
      <c r="L38" s="3" t="s">
        <v>2</v>
      </c>
      <c r="M38" s="4">
        <v>35107</v>
      </c>
      <c r="N38" s="3">
        <v>6.13</v>
      </c>
    </row>
    <row r="39" spans="1:14" x14ac:dyDescent="0.25">
      <c r="A39" s="2">
        <v>38</v>
      </c>
      <c r="B39" s="3">
        <v>13184340</v>
      </c>
      <c r="C39" s="2" t="s">
        <v>177</v>
      </c>
      <c r="D39" s="3">
        <v>2</v>
      </c>
      <c r="E39" s="2">
        <v>76</v>
      </c>
      <c r="F39" s="2" t="str">
        <f t="shared" si="1"/>
        <v>APILABLE</v>
      </c>
      <c r="G39" s="2" t="str">
        <f>"63445030113038"</f>
        <v>63445030113038</v>
      </c>
      <c r="I39">
        <v>20</v>
      </c>
      <c r="J39" s="3">
        <v>2</v>
      </c>
      <c r="K39" s="2">
        <v>39</v>
      </c>
      <c r="L39" s="3" t="s">
        <v>2</v>
      </c>
      <c r="M39" s="4">
        <v>35107</v>
      </c>
      <c r="N39" s="3">
        <v>6.13</v>
      </c>
    </row>
    <row r="40" spans="1:14" x14ac:dyDescent="0.25">
      <c r="A40" s="2">
        <v>39</v>
      </c>
      <c r="B40" s="3">
        <v>13184341</v>
      </c>
      <c r="C40" s="2" t="s">
        <v>177</v>
      </c>
      <c r="D40" s="3">
        <v>2</v>
      </c>
      <c r="E40" s="2">
        <v>76</v>
      </c>
      <c r="F40" s="2" t="str">
        <f t="shared" si="1"/>
        <v>APILABLE</v>
      </c>
      <c r="G40" s="2" t="str">
        <f>"63445030113039"</f>
        <v>63445030113039</v>
      </c>
      <c r="I40">
        <v>20</v>
      </c>
      <c r="J40" s="3">
        <v>2</v>
      </c>
      <c r="K40" s="2">
        <v>39</v>
      </c>
      <c r="L40" s="3" t="s">
        <v>2</v>
      </c>
      <c r="M40" s="4">
        <v>35107</v>
      </c>
      <c r="N40" s="3">
        <v>6.13</v>
      </c>
    </row>
    <row r="41" spans="1:14" x14ac:dyDescent="0.25">
      <c r="A41" s="2">
        <v>40</v>
      </c>
      <c r="B41" s="3">
        <v>13184342</v>
      </c>
      <c r="C41" s="2" t="s">
        <v>177</v>
      </c>
      <c r="D41" s="3">
        <v>2</v>
      </c>
      <c r="E41" s="2">
        <v>76</v>
      </c>
      <c r="F41" s="2" t="str">
        <f t="shared" si="1"/>
        <v>APILABLE</v>
      </c>
      <c r="G41" s="2" t="str">
        <f>"63445030113040"</f>
        <v>63445030113040</v>
      </c>
      <c r="I41">
        <v>20</v>
      </c>
      <c r="J41" s="3">
        <v>2</v>
      </c>
      <c r="K41" s="2">
        <v>39</v>
      </c>
      <c r="L41" s="3" t="s">
        <v>2</v>
      </c>
      <c r="M41" s="4">
        <v>35107</v>
      </c>
      <c r="N41" s="3">
        <v>6.13</v>
      </c>
    </row>
    <row r="42" spans="1:14" x14ac:dyDescent="0.25">
      <c r="A42" s="2">
        <v>41</v>
      </c>
      <c r="B42" s="3">
        <v>13184343</v>
      </c>
      <c r="C42" s="2" t="s">
        <v>177</v>
      </c>
      <c r="D42" s="3">
        <v>2</v>
      </c>
      <c r="E42" s="2">
        <v>76</v>
      </c>
      <c r="F42" s="2" t="str">
        <f t="shared" si="1"/>
        <v>APILABLE</v>
      </c>
      <c r="G42" s="2" t="str">
        <f>"63445030113041"</f>
        <v>63445030113041</v>
      </c>
      <c r="I42">
        <v>20</v>
      </c>
      <c r="J42" s="3">
        <v>2</v>
      </c>
      <c r="K42" s="2">
        <v>39</v>
      </c>
      <c r="L42" s="3" t="s">
        <v>2</v>
      </c>
      <c r="M42" s="4">
        <v>35107</v>
      </c>
      <c r="N42" s="3">
        <v>6.13</v>
      </c>
    </row>
    <row r="43" spans="1:14" x14ac:dyDescent="0.25">
      <c r="A43" s="2">
        <v>42</v>
      </c>
      <c r="B43" s="3">
        <v>13184344</v>
      </c>
      <c r="C43" s="2" t="s">
        <v>177</v>
      </c>
      <c r="D43" s="3">
        <v>2</v>
      </c>
      <c r="E43" s="2">
        <v>76</v>
      </c>
      <c r="F43" s="2" t="str">
        <f t="shared" si="1"/>
        <v>APILABLE</v>
      </c>
      <c r="G43" s="2" t="str">
        <f>"63445030113042"</f>
        <v>63445030113042</v>
      </c>
      <c r="I43">
        <v>20</v>
      </c>
      <c r="J43" s="3">
        <v>2</v>
      </c>
      <c r="K43" s="2">
        <v>15</v>
      </c>
      <c r="L43" s="3" t="s">
        <v>2</v>
      </c>
      <c r="M43" s="4">
        <v>35107</v>
      </c>
      <c r="N43" s="3">
        <v>6.13</v>
      </c>
    </row>
    <row r="44" spans="1:14" x14ac:dyDescent="0.25">
      <c r="A44" s="2">
        <v>43</v>
      </c>
      <c r="B44" s="3">
        <v>13184345</v>
      </c>
      <c r="C44" s="2" t="s">
        <v>177</v>
      </c>
      <c r="D44" s="3">
        <v>2</v>
      </c>
      <c r="E44" s="2">
        <v>76</v>
      </c>
      <c r="F44" s="2" t="str">
        <f t="shared" si="1"/>
        <v>APILABLE</v>
      </c>
      <c r="G44" s="2" t="str">
        <f>"63445030113043"</f>
        <v>63445030113043</v>
      </c>
      <c r="I44">
        <v>20</v>
      </c>
      <c r="J44" s="3">
        <v>2</v>
      </c>
      <c r="K44" s="2">
        <v>15</v>
      </c>
      <c r="L44" s="3" t="s">
        <v>2</v>
      </c>
      <c r="M44" s="4">
        <v>35107</v>
      </c>
      <c r="N44" s="3">
        <v>6.13</v>
      </c>
    </row>
    <row r="45" spans="1:14" x14ac:dyDescent="0.25">
      <c r="A45" s="2">
        <v>44</v>
      </c>
      <c r="B45" s="3">
        <v>13184346</v>
      </c>
      <c r="C45" s="2" t="s">
        <v>177</v>
      </c>
      <c r="D45" s="3">
        <v>2</v>
      </c>
      <c r="E45" s="2">
        <v>76</v>
      </c>
      <c r="F45" s="2" t="str">
        <f t="shared" si="1"/>
        <v>APILABLE</v>
      </c>
      <c r="G45" s="2" t="str">
        <f>"63445030113079"</f>
        <v>63445030113079</v>
      </c>
      <c r="I45">
        <v>30</v>
      </c>
      <c r="J45" s="3">
        <v>2</v>
      </c>
      <c r="K45" s="2">
        <v>23</v>
      </c>
      <c r="L45" s="3" t="s">
        <v>2</v>
      </c>
      <c r="M45" s="4">
        <v>35107</v>
      </c>
      <c r="N45" s="3">
        <v>8.73</v>
      </c>
    </row>
    <row r="46" spans="1:14" x14ac:dyDescent="0.25">
      <c r="A46" s="2">
        <v>45</v>
      </c>
      <c r="B46" s="3">
        <v>13184347</v>
      </c>
      <c r="C46" s="2" t="s">
        <v>177</v>
      </c>
      <c r="D46" s="3">
        <v>2</v>
      </c>
      <c r="E46" s="2">
        <v>76</v>
      </c>
      <c r="F46" s="2" t="str">
        <f t="shared" si="1"/>
        <v>APILABLE</v>
      </c>
      <c r="G46" s="2" t="str">
        <f>"63445030113104"</f>
        <v>63445030113104</v>
      </c>
      <c r="I46">
        <v>30</v>
      </c>
      <c r="J46" s="3">
        <v>2</v>
      </c>
      <c r="K46" s="2">
        <v>23</v>
      </c>
      <c r="L46" s="3" t="s">
        <v>2</v>
      </c>
      <c r="M46" s="4">
        <v>35107</v>
      </c>
      <c r="N46" s="3">
        <v>8.73</v>
      </c>
    </row>
    <row r="47" spans="1:14" x14ac:dyDescent="0.25">
      <c r="A47" s="2">
        <v>46</v>
      </c>
      <c r="B47" s="3">
        <v>13184348</v>
      </c>
      <c r="C47" s="2" t="s">
        <v>177</v>
      </c>
      <c r="D47" s="3">
        <v>2</v>
      </c>
      <c r="E47" s="2">
        <v>76</v>
      </c>
      <c r="F47" s="2" t="str">
        <f t="shared" si="1"/>
        <v>APILABLE</v>
      </c>
      <c r="G47" s="2" t="str">
        <f>"63445030113105"</f>
        <v>63445030113105</v>
      </c>
      <c r="I47">
        <v>30</v>
      </c>
      <c r="J47" s="3">
        <v>2</v>
      </c>
      <c r="K47" s="2">
        <v>30</v>
      </c>
      <c r="L47" s="3" t="s">
        <v>2</v>
      </c>
      <c r="M47" s="4">
        <v>35107</v>
      </c>
      <c r="N47" s="3">
        <v>8.73</v>
      </c>
    </row>
    <row r="48" spans="1:14" x14ac:dyDescent="0.25">
      <c r="A48" s="2">
        <v>47</v>
      </c>
      <c r="B48" s="3">
        <v>13184349</v>
      </c>
      <c r="C48" s="2" t="s">
        <v>177</v>
      </c>
      <c r="D48" s="3">
        <v>2</v>
      </c>
      <c r="E48" s="2">
        <v>76</v>
      </c>
      <c r="F48" s="2" t="str">
        <f t="shared" si="1"/>
        <v>APILABLE</v>
      </c>
      <c r="G48" s="2" t="str">
        <f>"63445030113106"</f>
        <v>63445030113106</v>
      </c>
      <c r="I48">
        <v>30</v>
      </c>
      <c r="J48" s="3">
        <v>2</v>
      </c>
      <c r="K48" s="2">
        <v>6</v>
      </c>
      <c r="L48" s="3" t="s">
        <v>2</v>
      </c>
      <c r="M48" s="4">
        <v>35107</v>
      </c>
      <c r="N48" s="3">
        <v>8.73</v>
      </c>
    </row>
    <row r="49" spans="1:14" x14ac:dyDescent="0.25">
      <c r="A49" s="2">
        <v>48</v>
      </c>
      <c r="B49" s="3">
        <v>13184350</v>
      </c>
      <c r="C49" s="2" t="s">
        <v>177</v>
      </c>
      <c r="D49" s="3">
        <v>2</v>
      </c>
      <c r="E49" s="2">
        <v>76</v>
      </c>
      <c r="F49" s="2" t="str">
        <f t="shared" si="1"/>
        <v>APILABLE</v>
      </c>
      <c r="G49" s="2" t="str">
        <f>"63445030113107"</f>
        <v>63445030113107</v>
      </c>
      <c r="I49">
        <v>30</v>
      </c>
      <c r="J49" s="3">
        <v>2</v>
      </c>
      <c r="K49" s="2">
        <v>23</v>
      </c>
      <c r="L49" s="3" t="s">
        <v>2</v>
      </c>
      <c r="M49" s="4">
        <v>35107</v>
      </c>
      <c r="N49" s="3">
        <v>8.73</v>
      </c>
    </row>
    <row r="50" spans="1:14" x14ac:dyDescent="0.25">
      <c r="A50" s="2">
        <v>49</v>
      </c>
      <c r="B50" s="3">
        <v>13184351</v>
      </c>
      <c r="C50" s="2" t="s">
        <v>177</v>
      </c>
      <c r="D50" s="3">
        <v>2</v>
      </c>
      <c r="E50" s="2">
        <v>76</v>
      </c>
      <c r="F50" s="2" t="str">
        <f t="shared" si="1"/>
        <v>APILABLE</v>
      </c>
      <c r="G50" s="2" t="str">
        <f>"63445030113108"</f>
        <v>63445030113108</v>
      </c>
      <c r="I50">
        <v>30</v>
      </c>
      <c r="J50" s="3">
        <v>2</v>
      </c>
      <c r="K50" s="2">
        <v>23</v>
      </c>
      <c r="L50" s="3" t="s">
        <v>2</v>
      </c>
      <c r="M50" s="4">
        <v>35107</v>
      </c>
      <c r="N50" s="3">
        <v>8.73</v>
      </c>
    </row>
    <row r="51" spans="1:14" x14ac:dyDescent="0.25">
      <c r="A51" s="2">
        <v>50</v>
      </c>
      <c r="B51" s="3">
        <v>13184352</v>
      </c>
      <c r="C51" s="2" t="s">
        <v>177</v>
      </c>
      <c r="D51" s="3">
        <v>2</v>
      </c>
      <c r="E51" s="2">
        <v>76</v>
      </c>
      <c r="F51" s="2" t="str">
        <f t="shared" si="1"/>
        <v>APILABLE</v>
      </c>
      <c r="G51" s="2" t="str">
        <f>"63445030113109"</f>
        <v>63445030113109</v>
      </c>
      <c r="I51">
        <v>30</v>
      </c>
      <c r="J51" s="3">
        <v>2</v>
      </c>
      <c r="K51" s="2">
        <v>23</v>
      </c>
      <c r="L51" s="3" t="s">
        <v>2</v>
      </c>
      <c r="M51" s="4">
        <v>35107</v>
      </c>
      <c r="N51" s="3">
        <v>8.73</v>
      </c>
    </row>
    <row r="52" spans="1:14" x14ac:dyDescent="0.25">
      <c r="A52" s="2">
        <v>51</v>
      </c>
      <c r="B52" s="3">
        <v>13184353</v>
      </c>
      <c r="C52" s="2" t="s">
        <v>177</v>
      </c>
      <c r="D52" s="3">
        <v>2</v>
      </c>
      <c r="E52" s="2">
        <v>76</v>
      </c>
      <c r="F52" s="2" t="str">
        <f t="shared" si="1"/>
        <v>APILABLE</v>
      </c>
      <c r="G52" s="2" t="str">
        <f>"63445030113110"</f>
        <v>63445030113110</v>
      </c>
      <c r="I52">
        <v>30</v>
      </c>
      <c r="J52" s="3">
        <v>2</v>
      </c>
      <c r="K52" s="2">
        <v>23</v>
      </c>
      <c r="L52" s="3" t="s">
        <v>2</v>
      </c>
      <c r="M52" s="4">
        <v>35107</v>
      </c>
      <c r="N52" s="3">
        <v>8.73</v>
      </c>
    </row>
    <row r="53" spans="1:14" x14ac:dyDescent="0.25">
      <c r="A53" s="2">
        <v>52</v>
      </c>
      <c r="B53" s="3">
        <v>13184354</v>
      </c>
      <c r="C53" s="2" t="s">
        <v>177</v>
      </c>
      <c r="D53" s="3">
        <v>2</v>
      </c>
      <c r="E53" s="2">
        <v>76</v>
      </c>
      <c r="F53" s="2" t="str">
        <f t="shared" si="1"/>
        <v>APILABLE</v>
      </c>
      <c r="G53" s="2" t="str">
        <f>"63445030113111"</f>
        <v>63445030113111</v>
      </c>
      <c r="I53">
        <v>30</v>
      </c>
      <c r="J53" s="3">
        <v>2</v>
      </c>
      <c r="K53" s="2">
        <v>23</v>
      </c>
      <c r="L53" s="3" t="s">
        <v>2</v>
      </c>
      <c r="M53" s="4">
        <v>35107</v>
      </c>
      <c r="N53" s="3">
        <v>8.73</v>
      </c>
    </row>
    <row r="54" spans="1:14" x14ac:dyDescent="0.25">
      <c r="A54" s="2">
        <v>53</v>
      </c>
      <c r="B54" s="3">
        <v>13184355</v>
      </c>
      <c r="C54" s="2" t="s">
        <v>177</v>
      </c>
      <c r="D54" s="3">
        <v>2</v>
      </c>
      <c r="E54" s="2">
        <v>76</v>
      </c>
      <c r="F54" s="2" t="str">
        <f t="shared" si="1"/>
        <v>APILABLE</v>
      </c>
      <c r="G54" s="2" t="str">
        <f>"63445030113112"</f>
        <v>63445030113112</v>
      </c>
      <c r="I54">
        <v>30</v>
      </c>
      <c r="J54" s="3">
        <v>2</v>
      </c>
      <c r="K54" s="2">
        <v>23</v>
      </c>
      <c r="L54" s="3" t="s">
        <v>2</v>
      </c>
      <c r="M54" s="4">
        <v>35107</v>
      </c>
      <c r="N54" s="3">
        <v>8.73</v>
      </c>
    </row>
    <row r="55" spans="1:14" x14ac:dyDescent="0.25">
      <c r="A55" s="2">
        <v>54</v>
      </c>
      <c r="B55" s="3">
        <v>13184359</v>
      </c>
      <c r="C55" s="2" t="s">
        <v>177</v>
      </c>
      <c r="D55" s="3">
        <v>2</v>
      </c>
      <c r="E55" s="2">
        <v>76</v>
      </c>
      <c r="F55" s="2" t="str">
        <f t="shared" si="1"/>
        <v>APILABLE</v>
      </c>
      <c r="G55" s="2" t="str">
        <f>"63445030113116"</f>
        <v>63445030113116</v>
      </c>
      <c r="I55">
        <v>30</v>
      </c>
      <c r="J55" s="3">
        <v>2</v>
      </c>
      <c r="K55" s="2">
        <v>23</v>
      </c>
      <c r="L55" s="3" t="s">
        <v>2</v>
      </c>
      <c r="M55" s="4">
        <v>35107</v>
      </c>
      <c r="N55" s="3">
        <v>8.73</v>
      </c>
    </row>
    <row r="56" spans="1:14" x14ac:dyDescent="0.25">
      <c r="A56" s="2">
        <v>55</v>
      </c>
      <c r="B56" s="3">
        <v>13184356</v>
      </c>
      <c r="C56" s="2" t="s">
        <v>177</v>
      </c>
      <c r="D56" s="3">
        <v>2</v>
      </c>
      <c r="E56" s="2">
        <v>76</v>
      </c>
      <c r="F56" s="2" t="str">
        <f t="shared" si="1"/>
        <v>APILABLE</v>
      </c>
      <c r="G56" s="2" t="str">
        <f>"63445030113113"</f>
        <v>63445030113113</v>
      </c>
      <c r="I56">
        <v>30</v>
      </c>
      <c r="J56" s="3">
        <v>2</v>
      </c>
      <c r="K56" s="2">
        <v>23</v>
      </c>
      <c r="L56" s="3" t="s">
        <v>2</v>
      </c>
      <c r="M56" s="4">
        <v>35107</v>
      </c>
      <c r="N56" s="3">
        <v>8.73</v>
      </c>
    </row>
    <row r="57" spans="1:14" x14ac:dyDescent="0.25">
      <c r="A57" s="2">
        <v>56</v>
      </c>
      <c r="B57" s="3">
        <v>13184357</v>
      </c>
      <c r="C57" s="2" t="s">
        <v>177</v>
      </c>
      <c r="D57" s="3">
        <v>2</v>
      </c>
      <c r="E57" s="2">
        <v>76</v>
      </c>
      <c r="F57" s="2" t="str">
        <f t="shared" si="1"/>
        <v>APILABLE</v>
      </c>
      <c r="G57" s="2" t="str">
        <f>"63445030113114"</f>
        <v>63445030113114</v>
      </c>
      <c r="I57">
        <v>30</v>
      </c>
      <c r="J57" s="3">
        <v>2</v>
      </c>
      <c r="K57" s="2">
        <v>23</v>
      </c>
      <c r="L57" s="3" t="s">
        <v>2</v>
      </c>
      <c r="M57" s="4">
        <v>35107</v>
      </c>
      <c r="N57" s="3">
        <v>8.73</v>
      </c>
    </row>
    <row r="58" spans="1:14" x14ac:dyDescent="0.25">
      <c r="A58" s="2">
        <v>57</v>
      </c>
      <c r="B58" s="3">
        <v>13184358</v>
      </c>
      <c r="C58" s="2" t="s">
        <v>177</v>
      </c>
      <c r="D58" s="3">
        <v>2</v>
      </c>
      <c r="E58" s="2">
        <v>76</v>
      </c>
      <c r="F58" s="2" t="str">
        <f t="shared" si="1"/>
        <v>APILABLE</v>
      </c>
      <c r="G58" s="2" t="str">
        <f>"63445030113115"</f>
        <v>63445030113115</v>
      </c>
      <c r="I58">
        <v>30</v>
      </c>
      <c r="J58" s="3">
        <v>2</v>
      </c>
      <c r="K58" s="2">
        <v>23</v>
      </c>
      <c r="L58" s="3" t="s">
        <v>2</v>
      </c>
      <c r="M58" s="4">
        <v>35107</v>
      </c>
      <c r="N58" s="3">
        <v>8.73</v>
      </c>
    </row>
    <row r="59" spans="1:14" x14ac:dyDescent="0.25">
      <c r="A59" s="2">
        <v>58</v>
      </c>
      <c r="B59" s="3">
        <v>13184360</v>
      </c>
      <c r="C59" s="2" t="s">
        <v>177</v>
      </c>
      <c r="D59" s="3">
        <v>2</v>
      </c>
      <c r="E59" s="2">
        <v>76</v>
      </c>
      <c r="F59" s="2" t="str">
        <f t="shared" si="1"/>
        <v>APILABLE</v>
      </c>
      <c r="G59" s="2" t="str">
        <f>"63445030113117"</f>
        <v>63445030113117</v>
      </c>
      <c r="I59">
        <v>30</v>
      </c>
      <c r="J59" s="3">
        <v>2</v>
      </c>
      <c r="K59" s="2">
        <v>23</v>
      </c>
      <c r="L59" s="3" t="s">
        <v>2</v>
      </c>
      <c r="M59" s="4">
        <v>35107</v>
      </c>
      <c r="N59" s="3">
        <v>8.73</v>
      </c>
    </row>
    <row r="60" spans="1:14" x14ac:dyDescent="0.25">
      <c r="A60" s="2">
        <v>59</v>
      </c>
      <c r="B60" s="3">
        <v>13184361</v>
      </c>
      <c r="C60" s="2" t="s">
        <v>177</v>
      </c>
      <c r="D60" s="3">
        <v>2</v>
      </c>
      <c r="E60" s="2">
        <v>76</v>
      </c>
      <c r="F60" s="2" t="str">
        <f t="shared" si="1"/>
        <v>APILABLE</v>
      </c>
      <c r="G60" s="2" t="str">
        <f>"63445030113118"</f>
        <v>63445030113118</v>
      </c>
      <c r="I60">
        <v>30</v>
      </c>
      <c r="J60" s="3">
        <v>2</v>
      </c>
      <c r="K60" s="2">
        <v>30</v>
      </c>
      <c r="L60" s="3" t="s">
        <v>2</v>
      </c>
      <c r="M60" s="4">
        <v>35107</v>
      </c>
      <c r="N60" s="3">
        <v>8.73</v>
      </c>
    </row>
    <row r="61" spans="1:14" x14ac:dyDescent="0.25">
      <c r="A61" s="2">
        <v>60</v>
      </c>
      <c r="B61" s="3">
        <v>13184362</v>
      </c>
      <c r="C61" s="2" t="s">
        <v>177</v>
      </c>
      <c r="D61" s="3">
        <v>2</v>
      </c>
      <c r="E61" s="2">
        <v>76</v>
      </c>
      <c r="F61" s="2" t="str">
        <f t="shared" si="1"/>
        <v>APILABLE</v>
      </c>
      <c r="G61" s="2" t="str">
        <f>"63445030113119"</f>
        <v>63445030113119</v>
      </c>
      <c r="I61">
        <v>30</v>
      </c>
      <c r="J61" s="3">
        <v>2</v>
      </c>
      <c r="K61" s="2">
        <v>23</v>
      </c>
      <c r="L61" s="3" t="s">
        <v>2</v>
      </c>
      <c r="M61" s="4">
        <v>35107</v>
      </c>
      <c r="N61" s="3">
        <v>8.73</v>
      </c>
    </row>
    <row r="62" spans="1:14" x14ac:dyDescent="0.25">
      <c r="A62" s="2">
        <v>61</v>
      </c>
      <c r="B62" s="3">
        <v>13184363</v>
      </c>
      <c r="C62" s="2" t="s">
        <v>177</v>
      </c>
      <c r="D62" s="3">
        <v>2</v>
      </c>
      <c r="E62" s="2">
        <v>76</v>
      </c>
      <c r="F62" s="2" t="str">
        <f t="shared" si="1"/>
        <v>APILABLE</v>
      </c>
      <c r="G62" s="2" t="str">
        <f>"63445030113120"</f>
        <v>63445030113120</v>
      </c>
      <c r="I62">
        <v>30</v>
      </c>
      <c r="J62" s="3">
        <v>2</v>
      </c>
      <c r="K62" s="2">
        <v>23</v>
      </c>
      <c r="L62" s="3" t="s">
        <v>2</v>
      </c>
      <c r="M62" s="4">
        <v>35107</v>
      </c>
      <c r="N62" s="3">
        <v>8.73</v>
      </c>
    </row>
    <row r="63" spans="1:14" x14ac:dyDescent="0.25">
      <c r="A63" s="2">
        <v>62</v>
      </c>
      <c r="B63" s="3">
        <v>13184364</v>
      </c>
      <c r="C63" s="2" t="s">
        <v>177</v>
      </c>
      <c r="D63" s="3">
        <v>2</v>
      </c>
      <c r="E63" s="2">
        <v>76</v>
      </c>
      <c r="F63" s="2" t="str">
        <f t="shared" si="1"/>
        <v>APILABLE</v>
      </c>
      <c r="G63" s="2" t="str">
        <f>"63445030113121"</f>
        <v>63445030113121</v>
      </c>
      <c r="I63">
        <v>30</v>
      </c>
      <c r="J63" s="3">
        <v>2</v>
      </c>
      <c r="K63" s="2">
        <v>23</v>
      </c>
      <c r="L63" s="3" t="s">
        <v>2</v>
      </c>
      <c r="M63" s="4">
        <v>35107</v>
      </c>
      <c r="N63" s="3">
        <v>8.73</v>
      </c>
    </row>
    <row r="64" spans="1:14" x14ac:dyDescent="0.25">
      <c r="A64" s="2">
        <v>63</v>
      </c>
      <c r="B64" s="3">
        <v>13184365</v>
      </c>
      <c r="C64" s="2" t="s">
        <v>177</v>
      </c>
      <c r="D64" s="3">
        <v>2</v>
      </c>
      <c r="E64" s="2">
        <v>76</v>
      </c>
      <c r="F64" s="2" t="str">
        <f t="shared" si="1"/>
        <v>APILABLE</v>
      </c>
      <c r="G64" s="2" t="str">
        <f>"63445030113122"</f>
        <v>63445030113122</v>
      </c>
      <c r="I64">
        <v>30</v>
      </c>
      <c r="J64" s="3">
        <v>2</v>
      </c>
      <c r="K64" s="2">
        <v>23</v>
      </c>
      <c r="L64" s="3" t="s">
        <v>2</v>
      </c>
      <c r="M64" s="4">
        <v>35107</v>
      </c>
      <c r="N64" s="3">
        <v>8.73</v>
      </c>
    </row>
    <row r="65" spans="1:14" x14ac:dyDescent="0.25">
      <c r="A65" s="2">
        <v>64</v>
      </c>
      <c r="B65" s="3">
        <v>13184366</v>
      </c>
      <c r="C65" s="2" t="s">
        <v>177</v>
      </c>
      <c r="D65" s="3">
        <v>2</v>
      </c>
      <c r="E65" s="2">
        <v>76</v>
      </c>
      <c r="F65" s="2" t="str">
        <f t="shared" si="1"/>
        <v>APILABLE</v>
      </c>
      <c r="G65" s="2" t="str">
        <f>"63445030113123"</f>
        <v>63445030113123</v>
      </c>
      <c r="I65">
        <v>30</v>
      </c>
      <c r="J65" s="3">
        <v>2</v>
      </c>
      <c r="K65" s="2">
        <v>23</v>
      </c>
      <c r="L65" s="3" t="s">
        <v>2</v>
      </c>
      <c r="M65" s="4">
        <v>35107</v>
      </c>
      <c r="N65" s="3">
        <v>8.73</v>
      </c>
    </row>
    <row r="66" spans="1:14" x14ac:dyDescent="0.25">
      <c r="A66" s="2">
        <v>65</v>
      </c>
      <c r="B66" s="3">
        <v>13184367</v>
      </c>
      <c r="C66" s="2" t="s">
        <v>177</v>
      </c>
      <c r="D66" s="3">
        <v>2</v>
      </c>
      <c r="E66" s="2">
        <v>76</v>
      </c>
      <c r="F66" s="2" t="str">
        <f t="shared" si="1"/>
        <v>APILABLE</v>
      </c>
      <c r="G66" s="2" t="str">
        <f>"63445030113124"</f>
        <v>63445030113124</v>
      </c>
      <c r="I66">
        <v>30</v>
      </c>
      <c r="J66" s="3">
        <v>2</v>
      </c>
      <c r="K66" s="2">
        <v>23</v>
      </c>
      <c r="L66" s="3" t="s">
        <v>2</v>
      </c>
      <c r="M66" s="4">
        <v>35107</v>
      </c>
      <c r="N66" s="3">
        <v>8.73</v>
      </c>
    </row>
    <row r="67" spans="1:14" x14ac:dyDescent="0.25">
      <c r="A67" s="2">
        <v>66</v>
      </c>
      <c r="B67" s="3">
        <v>13184368</v>
      </c>
      <c r="C67" s="2" t="s">
        <v>177</v>
      </c>
      <c r="D67" s="3">
        <v>2</v>
      </c>
      <c r="E67" s="2">
        <v>76</v>
      </c>
      <c r="F67" s="2" t="str">
        <f t="shared" si="1"/>
        <v>APILABLE</v>
      </c>
      <c r="G67" s="2" t="str">
        <f>"63445030113125"</f>
        <v>63445030113125</v>
      </c>
      <c r="I67">
        <v>30</v>
      </c>
      <c r="J67" s="3">
        <v>2</v>
      </c>
      <c r="K67" s="2">
        <v>23</v>
      </c>
      <c r="L67" s="3" t="s">
        <v>2</v>
      </c>
      <c r="M67" s="4">
        <v>35107</v>
      </c>
      <c r="N67" s="3">
        <v>8.73</v>
      </c>
    </row>
    <row r="68" spans="1:14" x14ac:dyDescent="0.25">
      <c r="A68" s="2">
        <v>67</v>
      </c>
      <c r="B68" s="3">
        <v>13184369</v>
      </c>
      <c r="C68" s="2" t="s">
        <v>177</v>
      </c>
      <c r="D68" s="3">
        <v>2</v>
      </c>
      <c r="E68" s="2">
        <v>76</v>
      </c>
      <c r="F68" s="2" t="str">
        <f t="shared" si="1"/>
        <v>APILABLE</v>
      </c>
      <c r="G68" s="2" t="str">
        <f>"63445030113126"</f>
        <v>63445030113126</v>
      </c>
      <c r="I68">
        <v>30</v>
      </c>
      <c r="J68" s="3">
        <v>2</v>
      </c>
      <c r="K68" s="2">
        <v>23</v>
      </c>
      <c r="L68" s="3" t="s">
        <v>2</v>
      </c>
      <c r="M68" s="4">
        <v>35107</v>
      </c>
      <c r="N68" s="3">
        <v>8.73</v>
      </c>
    </row>
    <row r="69" spans="1:14" x14ac:dyDescent="0.25">
      <c r="A69" s="2">
        <v>68</v>
      </c>
      <c r="B69" s="3">
        <v>13184370</v>
      </c>
      <c r="C69" s="2" t="s">
        <v>177</v>
      </c>
      <c r="D69" s="3">
        <v>2</v>
      </c>
      <c r="E69" s="2">
        <v>76</v>
      </c>
      <c r="F69" s="2" t="str">
        <f t="shared" si="1"/>
        <v>APILABLE</v>
      </c>
      <c r="G69" s="2" t="str">
        <f>"63445030113127"</f>
        <v>63445030113127</v>
      </c>
      <c r="I69">
        <v>30</v>
      </c>
      <c r="J69" s="3">
        <v>2</v>
      </c>
      <c r="K69" s="2">
        <v>23</v>
      </c>
      <c r="L69" s="3" t="s">
        <v>2</v>
      </c>
      <c r="M69" s="4">
        <v>35107</v>
      </c>
      <c r="N69" s="3">
        <v>8.73</v>
      </c>
    </row>
    <row r="70" spans="1:14" x14ac:dyDescent="0.25">
      <c r="A70" s="2">
        <v>69</v>
      </c>
      <c r="B70" s="3">
        <v>13184371</v>
      </c>
      <c r="C70" s="2" t="s">
        <v>177</v>
      </c>
      <c r="D70" s="3">
        <v>2</v>
      </c>
      <c r="E70" s="2">
        <v>76</v>
      </c>
      <c r="F70" s="2" t="str">
        <f t="shared" si="1"/>
        <v>APILABLE</v>
      </c>
      <c r="G70" s="2" t="str">
        <f>"63445030113128"</f>
        <v>63445030113128</v>
      </c>
      <c r="I70">
        <v>30</v>
      </c>
      <c r="J70" s="3">
        <v>2</v>
      </c>
      <c r="K70" s="2">
        <v>30</v>
      </c>
      <c r="L70" s="3" t="s">
        <v>2</v>
      </c>
      <c r="M70" s="4">
        <v>35107</v>
      </c>
      <c r="N70" s="3">
        <v>8.73</v>
      </c>
    </row>
    <row r="71" spans="1:14" x14ac:dyDescent="0.25">
      <c r="A71" s="2">
        <v>70</v>
      </c>
      <c r="B71" s="3">
        <v>13184372</v>
      </c>
      <c r="C71" s="2" t="s">
        <v>177</v>
      </c>
      <c r="D71" s="3">
        <v>2</v>
      </c>
      <c r="E71" s="2">
        <v>76</v>
      </c>
      <c r="F71" s="2" t="str">
        <f t="shared" si="1"/>
        <v>APILABLE</v>
      </c>
      <c r="G71" s="2" t="str">
        <f>"63445030113129"</f>
        <v>63445030113129</v>
      </c>
      <c r="I71">
        <v>30</v>
      </c>
      <c r="J71" s="3">
        <v>2</v>
      </c>
      <c r="K71" s="2">
        <v>23</v>
      </c>
      <c r="L71" s="3" t="s">
        <v>2</v>
      </c>
      <c r="M71" s="4">
        <v>35107</v>
      </c>
      <c r="N71" s="3">
        <v>8.73</v>
      </c>
    </row>
    <row r="72" spans="1:14" x14ac:dyDescent="0.25">
      <c r="A72" s="2">
        <v>71</v>
      </c>
      <c r="B72" s="3">
        <v>13184373</v>
      </c>
      <c r="C72" s="2" t="s">
        <v>177</v>
      </c>
      <c r="D72" s="3">
        <v>2</v>
      </c>
      <c r="E72" s="2">
        <v>76</v>
      </c>
      <c r="F72" s="2" t="str">
        <f t="shared" si="1"/>
        <v>APILABLE</v>
      </c>
      <c r="G72" s="2" t="str">
        <f>"63445030113130"</f>
        <v>63445030113130</v>
      </c>
      <c r="I72">
        <v>30</v>
      </c>
      <c r="J72" s="3">
        <v>2</v>
      </c>
      <c r="K72" s="2">
        <v>23</v>
      </c>
      <c r="L72" s="3" t="s">
        <v>2</v>
      </c>
      <c r="M72" s="4">
        <v>35107</v>
      </c>
      <c r="N72" s="3">
        <v>8.73</v>
      </c>
    </row>
    <row r="73" spans="1:14" x14ac:dyDescent="0.25">
      <c r="A73" s="2">
        <v>72</v>
      </c>
      <c r="B73" s="3">
        <v>13184374</v>
      </c>
      <c r="C73" s="2" t="s">
        <v>177</v>
      </c>
      <c r="D73" s="3">
        <v>2</v>
      </c>
      <c r="E73" s="2">
        <v>76</v>
      </c>
      <c r="F73" s="2" t="str">
        <f t="shared" si="1"/>
        <v>APILABLE</v>
      </c>
      <c r="G73" s="2" t="str">
        <f>"63445030113131"</f>
        <v>63445030113131</v>
      </c>
      <c r="I73">
        <v>30</v>
      </c>
      <c r="J73" s="3">
        <v>2</v>
      </c>
      <c r="K73" s="2">
        <v>23</v>
      </c>
      <c r="L73" s="3" t="s">
        <v>2</v>
      </c>
      <c r="M73" s="4">
        <v>35107</v>
      </c>
      <c r="N73" s="3">
        <v>8.73</v>
      </c>
    </row>
    <row r="74" spans="1:14" x14ac:dyDescent="0.25">
      <c r="A74" s="2">
        <v>73</v>
      </c>
      <c r="B74" s="3">
        <v>13184375</v>
      </c>
      <c r="C74" s="2" t="s">
        <v>177</v>
      </c>
      <c r="D74" s="3">
        <v>2</v>
      </c>
      <c r="E74" s="2">
        <v>76</v>
      </c>
      <c r="F74" s="2" t="str">
        <f t="shared" si="1"/>
        <v>APILABLE</v>
      </c>
      <c r="G74" s="2" t="str">
        <f>"63445030113132"</f>
        <v>63445030113132</v>
      </c>
      <c r="I74">
        <v>30</v>
      </c>
      <c r="J74" s="3">
        <v>2</v>
      </c>
      <c r="K74" s="2">
        <v>23</v>
      </c>
      <c r="L74" s="3" t="s">
        <v>2</v>
      </c>
      <c r="M74" s="4">
        <v>35107</v>
      </c>
      <c r="N74" s="3">
        <v>8.73</v>
      </c>
    </row>
    <row r="75" spans="1:14" x14ac:dyDescent="0.25">
      <c r="A75" s="2">
        <v>74</v>
      </c>
      <c r="B75" s="3">
        <v>13184376</v>
      </c>
      <c r="C75" s="2" t="s">
        <v>177</v>
      </c>
      <c r="D75" s="3">
        <v>2</v>
      </c>
      <c r="E75" s="2">
        <v>76</v>
      </c>
      <c r="F75" s="2" t="str">
        <f t="shared" si="1"/>
        <v>APILABLE</v>
      </c>
      <c r="G75" s="2" t="str">
        <f>"63445030113133"</f>
        <v>63445030113133</v>
      </c>
      <c r="I75">
        <v>30</v>
      </c>
      <c r="J75" s="3">
        <v>2</v>
      </c>
      <c r="K75" s="2">
        <v>23</v>
      </c>
      <c r="L75" s="3" t="s">
        <v>2</v>
      </c>
      <c r="M75" s="4">
        <v>35107</v>
      </c>
      <c r="N75" s="3">
        <v>8.73</v>
      </c>
    </row>
    <row r="76" spans="1:14" x14ac:dyDescent="0.25">
      <c r="A76" s="2">
        <v>75</v>
      </c>
      <c r="B76" s="3">
        <v>13184377</v>
      </c>
      <c r="C76" s="2" t="s">
        <v>177</v>
      </c>
      <c r="D76" s="3">
        <v>2</v>
      </c>
      <c r="E76" s="2">
        <v>76</v>
      </c>
      <c r="F76" s="2" t="str">
        <f t="shared" si="1"/>
        <v>APILABLE</v>
      </c>
      <c r="G76" s="2" t="str">
        <f>"63445030113134"</f>
        <v>63445030113134</v>
      </c>
      <c r="I76">
        <v>30</v>
      </c>
      <c r="J76" s="3">
        <v>2</v>
      </c>
      <c r="K76" s="2">
        <v>23</v>
      </c>
      <c r="L76" s="3" t="s">
        <v>2</v>
      </c>
      <c r="M76" s="4">
        <v>35107</v>
      </c>
      <c r="N76" s="3">
        <v>8.73</v>
      </c>
    </row>
    <row r="77" spans="1:14" x14ac:dyDescent="0.25">
      <c r="A77" s="2">
        <v>76</v>
      </c>
      <c r="B77" s="3">
        <v>13184378</v>
      </c>
      <c r="C77" s="2" t="s">
        <v>177</v>
      </c>
      <c r="D77" s="3">
        <v>2</v>
      </c>
      <c r="E77" s="2">
        <v>76</v>
      </c>
      <c r="F77" s="2" t="str">
        <f t="shared" si="1"/>
        <v>APILABLE</v>
      </c>
      <c r="G77" s="2" t="str">
        <f>"63445030113135"</f>
        <v>63445030113135</v>
      </c>
      <c r="I77">
        <v>30</v>
      </c>
      <c r="J77" s="3">
        <v>2</v>
      </c>
      <c r="K77" s="2">
        <v>23</v>
      </c>
      <c r="L77" s="3" t="s">
        <v>2</v>
      </c>
      <c r="M77" s="4">
        <v>35107</v>
      </c>
      <c r="N77" s="3">
        <v>8.73</v>
      </c>
    </row>
    <row r="78" spans="1:14" x14ac:dyDescent="0.25">
      <c r="A78" s="2">
        <v>77</v>
      </c>
      <c r="B78" s="3">
        <v>13184379</v>
      </c>
      <c r="C78" s="2" t="s">
        <v>177</v>
      </c>
      <c r="D78" s="3">
        <v>2</v>
      </c>
      <c r="E78" s="2">
        <v>76</v>
      </c>
      <c r="F78" s="2" t="str">
        <f t="shared" si="1"/>
        <v>APILABLE</v>
      </c>
      <c r="G78" s="2" t="str">
        <f>"63445030113136"</f>
        <v>63445030113136</v>
      </c>
      <c r="I78">
        <v>30</v>
      </c>
      <c r="J78" s="3">
        <v>2</v>
      </c>
      <c r="K78" s="2">
        <v>23</v>
      </c>
      <c r="L78" s="3" t="s">
        <v>2</v>
      </c>
      <c r="M78" s="4">
        <v>35107</v>
      </c>
      <c r="N78" s="3">
        <v>8.73</v>
      </c>
    </row>
    <row r="79" spans="1:14" x14ac:dyDescent="0.25">
      <c r="A79" s="2">
        <v>78</v>
      </c>
      <c r="B79" s="3">
        <v>13184380</v>
      </c>
      <c r="C79" s="2" t="s">
        <v>177</v>
      </c>
      <c r="D79" s="3">
        <v>2</v>
      </c>
      <c r="E79" s="2">
        <v>76</v>
      </c>
      <c r="F79" s="2" t="str">
        <f t="shared" si="1"/>
        <v>APILABLE</v>
      </c>
      <c r="G79" s="2" t="str">
        <f>"63445030113137"</f>
        <v>63445030113137</v>
      </c>
      <c r="I79">
        <v>30</v>
      </c>
      <c r="J79" s="3">
        <v>2</v>
      </c>
      <c r="K79" s="2">
        <v>23</v>
      </c>
      <c r="L79" s="3" t="s">
        <v>2</v>
      </c>
      <c r="M79" s="4">
        <v>35107</v>
      </c>
      <c r="N79" s="3">
        <v>8.73</v>
      </c>
    </row>
    <row r="80" spans="1:14" x14ac:dyDescent="0.25">
      <c r="A80" s="2">
        <v>79</v>
      </c>
      <c r="B80" s="3">
        <v>13184384</v>
      </c>
      <c r="C80" s="2" t="s">
        <v>177</v>
      </c>
      <c r="D80" s="3">
        <v>2</v>
      </c>
      <c r="E80" s="2">
        <v>76</v>
      </c>
      <c r="F80" s="2" t="str">
        <f t="shared" si="1"/>
        <v>APILABLE</v>
      </c>
      <c r="G80" s="2" t="str">
        <f>"63445030113141"</f>
        <v>63445030113141</v>
      </c>
      <c r="I80">
        <v>30</v>
      </c>
      <c r="J80" s="3">
        <v>2</v>
      </c>
      <c r="K80" s="2">
        <v>23</v>
      </c>
      <c r="L80" s="3" t="s">
        <v>2</v>
      </c>
      <c r="M80" s="4">
        <v>35107</v>
      </c>
      <c r="N80" s="3">
        <v>8.73</v>
      </c>
    </row>
    <row r="81" spans="1:14" x14ac:dyDescent="0.25">
      <c r="A81" s="2">
        <v>80</v>
      </c>
      <c r="B81" s="3">
        <v>13184381</v>
      </c>
      <c r="C81" s="2" t="s">
        <v>177</v>
      </c>
      <c r="D81" s="3">
        <v>2</v>
      </c>
      <c r="E81" s="2">
        <v>76</v>
      </c>
      <c r="F81" s="2" t="str">
        <f t="shared" si="1"/>
        <v>APILABLE</v>
      </c>
      <c r="G81" s="2" t="str">
        <f>"63445030113138"</f>
        <v>63445030113138</v>
      </c>
      <c r="I81">
        <v>30</v>
      </c>
      <c r="J81" s="3">
        <v>2</v>
      </c>
      <c r="K81" s="2">
        <v>23</v>
      </c>
      <c r="L81" s="3" t="s">
        <v>2</v>
      </c>
      <c r="M81" s="4">
        <v>35107</v>
      </c>
      <c r="N81" s="3">
        <v>8.73</v>
      </c>
    </row>
    <row r="82" spans="1:14" x14ac:dyDescent="0.25">
      <c r="A82" s="2">
        <v>81</v>
      </c>
      <c r="B82" s="3">
        <v>13184382</v>
      </c>
      <c r="C82" s="2" t="s">
        <v>177</v>
      </c>
      <c r="D82" s="3">
        <v>2</v>
      </c>
      <c r="E82" s="2">
        <v>76</v>
      </c>
      <c r="F82" s="2" t="str">
        <f t="shared" si="1"/>
        <v>APILABLE</v>
      </c>
      <c r="G82" s="2" t="str">
        <f>"63445030113139"</f>
        <v>63445030113139</v>
      </c>
      <c r="I82">
        <v>30</v>
      </c>
      <c r="J82" s="3">
        <v>2</v>
      </c>
      <c r="K82" s="2">
        <v>23</v>
      </c>
      <c r="L82" s="3" t="s">
        <v>2</v>
      </c>
      <c r="M82" s="4">
        <v>35107</v>
      </c>
      <c r="N82" s="3">
        <v>8.73</v>
      </c>
    </row>
    <row r="83" spans="1:14" x14ac:dyDescent="0.25">
      <c r="A83" s="2">
        <v>82</v>
      </c>
      <c r="B83" s="3">
        <v>13184383</v>
      </c>
      <c r="C83" s="2" t="s">
        <v>177</v>
      </c>
      <c r="D83" s="3">
        <v>2</v>
      </c>
      <c r="E83" s="2">
        <v>76</v>
      </c>
      <c r="F83" s="2" t="str">
        <f t="shared" si="1"/>
        <v>APILABLE</v>
      </c>
      <c r="G83" s="2" t="str">
        <f>"63445030113140"</f>
        <v>63445030113140</v>
      </c>
      <c r="I83">
        <v>30</v>
      </c>
      <c r="J83" s="3">
        <v>2</v>
      </c>
      <c r="K83" s="2">
        <v>23</v>
      </c>
      <c r="L83" s="3" t="s">
        <v>2</v>
      </c>
      <c r="M83" s="4">
        <v>35107</v>
      </c>
      <c r="N83" s="3">
        <v>8.73</v>
      </c>
    </row>
    <row r="84" spans="1:14" x14ac:dyDescent="0.25">
      <c r="A84" s="2">
        <v>83</v>
      </c>
      <c r="B84" s="3">
        <v>13184385</v>
      </c>
      <c r="C84" s="2" t="s">
        <v>177</v>
      </c>
      <c r="D84" s="3">
        <v>2</v>
      </c>
      <c r="E84" s="2">
        <v>76</v>
      </c>
      <c r="F84" s="2" t="str">
        <f t="shared" si="1"/>
        <v>APILABLE</v>
      </c>
      <c r="G84" s="2" t="str">
        <f>"63445030113142"</f>
        <v>63445030113142</v>
      </c>
      <c r="I84">
        <v>30</v>
      </c>
      <c r="J84" s="3">
        <v>2</v>
      </c>
      <c r="K84" s="2">
        <v>23</v>
      </c>
      <c r="L84" s="3" t="s">
        <v>2</v>
      </c>
      <c r="M84" s="4">
        <v>35107</v>
      </c>
      <c r="N84" s="3">
        <v>8.73</v>
      </c>
    </row>
    <row r="85" spans="1:14" x14ac:dyDescent="0.25">
      <c r="A85" s="2">
        <v>84</v>
      </c>
      <c r="B85" s="3">
        <v>13184386</v>
      </c>
      <c r="C85" s="2" t="s">
        <v>177</v>
      </c>
      <c r="D85" s="3">
        <v>2</v>
      </c>
      <c r="E85" s="2">
        <v>76</v>
      </c>
      <c r="F85" s="2" t="str">
        <f t="shared" si="1"/>
        <v>APILABLE</v>
      </c>
      <c r="G85" s="2" t="str">
        <f>"63445030113143"</f>
        <v>63445030113143</v>
      </c>
      <c r="I85">
        <v>30</v>
      </c>
      <c r="J85" s="3">
        <v>2</v>
      </c>
      <c r="K85" s="2">
        <v>23</v>
      </c>
      <c r="L85" s="3" t="s">
        <v>2</v>
      </c>
      <c r="M85" s="4">
        <v>35107</v>
      </c>
      <c r="N85" s="3">
        <v>8.73</v>
      </c>
    </row>
    <row r="86" spans="1:14" x14ac:dyDescent="0.25">
      <c r="A86" s="2">
        <v>85</v>
      </c>
      <c r="B86" s="3">
        <v>13184265</v>
      </c>
      <c r="C86" s="2" t="s">
        <v>179</v>
      </c>
      <c r="D86" s="3">
        <v>2</v>
      </c>
      <c r="E86" s="2">
        <v>76</v>
      </c>
      <c r="F86" s="2" t="str">
        <f>"ELECTORAL"</f>
        <v>ELECTORAL</v>
      </c>
      <c r="G86" s="2" t="str">
        <f>"63445030106002"</f>
        <v>63445030106002</v>
      </c>
      <c r="I86">
        <v>20</v>
      </c>
      <c r="J86" s="3">
        <v>2</v>
      </c>
      <c r="K86" s="2">
        <v>39</v>
      </c>
      <c r="L86" s="3" t="s">
        <v>2</v>
      </c>
      <c r="M86" s="4">
        <v>35165</v>
      </c>
      <c r="N86" s="3">
        <v>60.84</v>
      </c>
    </row>
    <row r="87" spans="1:14" x14ac:dyDescent="0.25">
      <c r="A87" s="2">
        <v>86</v>
      </c>
      <c r="B87" s="3">
        <v>13181988</v>
      </c>
      <c r="C87" s="2" t="s">
        <v>169</v>
      </c>
      <c r="D87" s="3">
        <v>1</v>
      </c>
      <c r="E87" s="2">
        <v>75</v>
      </c>
      <c r="F87" s="2" t="str">
        <f>"BF 8FL"</f>
        <v>BF 8FL</v>
      </c>
      <c r="G87" s="2" t="str">
        <f>"63445040103001"</f>
        <v>63445040103001</v>
      </c>
      <c r="I87">
        <v>15</v>
      </c>
      <c r="J87" s="3">
        <v>2</v>
      </c>
      <c r="K87" s="2">
        <v>26</v>
      </c>
      <c r="L87" s="3" t="s">
        <v>2</v>
      </c>
      <c r="M87" s="4">
        <v>35999</v>
      </c>
      <c r="N87" s="3">
        <v>0.13</v>
      </c>
    </row>
    <row r="88" spans="1:14" x14ac:dyDescent="0.25">
      <c r="A88" s="2">
        <v>87</v>
      </c>
      <c r="B88" s="3">
        <v>13182001</v>
      </c>
      <c r="C88" s="2" t="s">
        <v>180</v>
      </c>
      <c r="D88" s="3">
        <v>1</v>
      </c>
      <c r="E88" s="2">
        <v>77</v>
      </c>
      <c r="F88" s="2" t="str">
        <f>"CFM 145S"</f>
        <v>CFM 145S</v>
      </c>
      <c r="G88" s="2" t="str">
        <f>"0431408"</f>
        <v>0431408</v>
      </c>
      <c r="I88">
        <v>20</v>
      </c>
      <c r="J88" s="3">
        <v>2</v>
      </c>
      <c r="K88" s="2">
        <v>34</v>
      </c>
      <c r="L88" s="3" t="s">
        <v>2</v>
      </c>
      <c r="M88" s="4">
        <v>35999</v>
      </c>
      <c r="N88" s="3">
        <v>6.82</v>
      </c>
    </row>
    <row r="89" spans="1:14" x14ac:dyDescent="0.25">
      <c r="A89" s="2">
        <v>88</v>
      </c>
      <c r="B89" s="3">
        <v>13182002</v>
      </c>
      <c r="C89" s="2" t="s">
        <v>180</v>
      </c>
      <c r="D89" s="3">
        <v>1</v>
      </c>
      <c r="E89" s="2">
        <v>77</v>
      </c>
      <c r="F89" s="2" t="str">
        <f>"CFS200S"</f>
        <v>CFS200S</v>
      </c>
      <c r="G89" s="2" t="str">
        <f>"1525569"</f>
        <v>1525569</v>
      </c>
      <c r="I89">
        <v>20</v>
      </c>
      <c r="J89" s="3">
        <v>2</v>
      </c>
      <c r="K89" s="2">
        <v>39</v>
      </c>
      <c r="L89" s="3" t="s">
        <v>2</v>
      </c>
      <c r="M89" s="4">
        <v>35999</v>
      </c>
      <c r="N89" s="3">
        <v>7.7</v>
      </c>
    </row>
    <row r="90" spans="1:14" x14ac:dyDescent="0.25">
      <c r="A90" s="2">
        <v>89</v>
      </c>
      <c r="B90" s="3">
        <v>13182007</v>
      </c>
      <c r="C90" s="2" t="s">
        <v>181</v>
      </c>
      <c r="D90" s="3">
        <v>1</v>
      </c>
      <c r="E90" s="2">
        <v>66</v>
      </c>
      <c r="F90" s="2" t="str">
        <f>"8PGB"</f>
        <v>8PGB</v>
      </c>
      <c r="G90" s="2" t="str">
        <f>"63445040401001"</f>
        <v>63445040401001</v>
      </c>
      <c r="I90">
        <v>20</v>
      </c>
      <c r="J90" s="3">
        <v>2</v>
      </c>
      <c r="K90" s="2">
        <v>9</v>
      </c>
      <c r="L90" s="3" t="s">
        <v>2</v>
      </c>
      <c r="M90" s="4">
        <v>35999</v>
      </c>
      <c r="N90" s="3">
        <v>0.53</v>
      </c>
    </row>
    <row r="91" spans="1:14" x14ac:dyDescent="0.25">
      <c r="A91" s="2">
        <v>90</v>
      </c>
      <c r="B91" s="3">
        <v>13184244</v>
      </c>
      <c r="C91" s="2" t="s">
        <v>178</v>
      </c>
      <c r="D91" s="3">
        <v>2</v>
      </c>
      <c r="E91" s="2">
        <v>76</v>
      </c>
      <c r="F91" s="2" t="str">
        <f>"AEREO"</f>
        <v>AEREO</v>
      </c>
      <c r="G91" s="2" t="str">
        <f>"63445030101009"</f>
        <v>63445030101009</v>
      </c>
      <c r="I91">
        <v>8</v>
      </c>
      <c r="J91" s="3">
        <v>1</v>
      </c>
      <c r="K91" s="2">
        <v>25</v>
      </c>
      <c r="L91" s="3" t="s">
        <v>2</v>
      </c>
      <c r="M91" s="4">
        <v>35999</v>
      </c>
      <c r="N91" s="3">
        <v>80.11</v>
      </c>
    </row>
    <row r="92" spans="1:14" x14ac:dyDescent="0.25">
      <c r="A92" s="2">
        <v>91</v>
      </c>
      <c r="B92" s="3">
        <v>13184245</v>
      </c>
      <c r="C92" s="2" t="s">
        <v>178</v>
      </c>
      <c r="D92" s="3">
        <v>2</v>
      </c>
      <c r="E92" s="2">
        <v>76</v>
      </c>
      <c r="F92" s="2" t="str">
        <f>"AEREO"</f>
        <v>AEREO</v>
      </c>
      <c r="G92" s="2" t="str">
        <f>"63445030101010"</f>
        <v>63445030101010</v>
      </c>
      <c r="I92">
        <v>8</v>
      </c>
      <c r="J92" s="3">
        <v>1</v>
      </c>
      <c r="K92" s="2">
        <v>2</v>
      </c>
      <c r="L92" s="3" t="s">
        <v>2</v>
      </c>
      <c r="M92" s="4">
        <v>35999</v>
      </c>
      <c r="N92" s="3">
        <v>80.11</v>
      </c>
    </row>
    <row r="93" spans="1:14" x14ac:dyDescent="0.25">
      <c r="A93" s="2">
        <v>92</v>
      </c>
      <c r="B93" s="3">
        <v>13184246</v>
      </c>
      <c r="C93" s="2" t="s">
        <v>178</v>
      </c>
      <c r="D93" s="3">
        <v>2</v>
      </c>
      <c r="E93" s="2">
        <v>76</v>
      </c>
      <c r="F93" s="2" t="str">
        <f>"AEREO"</f>
        <v>AEREO</v>
      </c>
      <c r="G93" s="2" t="str">
        <f>"63445030101011"</f>
        <v>63445030101011</v>
      </c>
      <c r="I93">
        <v>8</v>
      </c>
      <c r="J93" s="3">
        <v>1</v>
      </c>
      <c r="K93" s="2">
        <v>26</v>
      </c>
      <c r="L93" s="3" t="s">
        <v>2</v>
      </c>
      <c r="M93" s="4">
        <v>35999</v>
      </c>
      <c r="N93" s="3">
        <v>80.11</v>
      </c>
    </row>
    <row r="94" spans="1:14" x14ac:dyDescent="0.25">
      <c r="A94" s="2">
        <v>93</v>
      </c>
      <c r="B94" s="3">
        <v>13184247</v>
      </c>
      <c r="C94" s="2" t="s">
        <v>178</v>
      </c>
      <c r="D94" s="3">
        <v>2</v>
      </c>
      <c r="E94" s="2">
        <v>76</v>
      </c>
      <c r="F94" s="2" t="str">
        <f>"AEREO"</f>
        <v>AEREO</v>
      </c>
      <c r="G94" s="2" t="str">
        <f>"63445030101012"</f>
        <v>63445030101012</v>
      </c>
      <c r="I94">
        <v>8</v>
      </c>
      <c r="J94" s="3">
        <v>1</v>
      </c>
      <c r="K94" s="2">
        <v>26</v>
      </c>
      <c r="L94" s="3" t="s">
        <v>2</v>
      </c>
      <c r="M94" s="4">
        <v>35999</v>
      </c>
      <c r="N94" s="3">
        <v>80.11</v>
      </c>
    </row>
    <row r="95" spans="1:14" x14ac:dyDescent="0.25">
      <c r="A95" s="2">
        <v>94</v>
      </c>
      <c r="B95" s="3">
        <v>13184248</v>
      </c>
      <c r="C95" s="2" t="s">
        <v>178</v>
      </c>
      <c r="D95" s="3">
        <v>2</v>
      </c>
      <c r="E95" s="2">
        <v>76</v>
      </c>
      <c r="F95" s="2" t="str">
        <f>"AEREO"</f>
        <v>AEREO</v>
      </c>
      <c r="G95" s="2" t="str">
        <f>"63445030101013"</f>
        <v>63445030101013</v>
      </c>
      <c r="I95">
        <v>8</v>
      </c>
      <c r="J95" s="3">
        <v>1</v>
      </c>
      <c r="K95" s="2">
        <v>18</v>
      </c>
      <c r="L95" s="3" t="s">
        <v>2</v>
      </c>
      <c r="M95" s="4">
        <v>35999</v>
      </c>
      <c r="N95" s="3">
        <v>80.11</v>
      </c>
    </row>
    <row r="96" spans="1:14" x14ac:dyDescent="0.25">
      <c r="A96" s="2">
        <v>95</v>
      </c>
      <c r="B96" s="3">
        <v>13184269</v>
      </c>
      <c r="C96" s="2" t="s">
        <v>182</v>
      </c>
      <c r="D96" s="3">
        <v>2</v>
      </c>
      <c r="E96" s="2">
        <v>76</v>
      </c>
      <c r="F96" s="2" t="str">
        <f t="shared" ref="F96:F101" si="2">"GERENTE"</f>
        <v>GERENTE</v>
      </c>
      <c r="G96" s="2" t="str">
        <f>"63445030107005"</f>
        <v>63445030107005</v>
      </c>
      <c r="I96">
        <v>18</v>
      </c>
      <c r="J96" s="3">
        <v>2</v>
      </c>
      <c r="K96" s="2">
        <v>39</v>
      </c>
      <c r="L96" s="3" t="s">
        <v>2</v>
      </c>
      <c r="M96" s="4">
        <v>35999</v>
      </c>
      <c r="N96" s="3">
        <v>64.09</v>
      </c>
    </row>
    <row r="97" spans="1:14" x14ac:dyDescent="0.25">
      <c r="A97" s="2">
        <v>96</v>
      </c>
      <c r="B97" s="3">
        <v>13184270</v>
      </c>
      <c r="C97" s="2" t="s">
        <v>182</v>
      </c>
      <c r="D97" s="3">
        <v>2</v>
      </c>
      <c r="E97" s="2">
        <v>76</v>
      </c>
      <c r="F97" s="2" t="str">
        <f t="shared" si="2"/>
        <v>GERENTE</v>
      </c>
      <c r="G97" s="2" t="str">
        <f>"63445030107006"</f>
        <v>63445030107006</v>
      </c>
      <c r="I97">
        <v>18</v>
      </c>
      <c r="J97" s="3">
        <v>2</v>
      </c>
      <c r="K97" s="2">
        <v>39</v>
      </c>
      <c r="L97" s="3" t="s">
        <v>2</v>
      </c>
      <c r="M97" s="4">
        <v>35999</v>
      </c>
      <c r="N97" s="3">
        <v>64.09</v>
      </c>
    </row>
    <row r="98" spans="1:14" x14ac:dyDescent="0.25">
      <c r="A98" s="2">
        <v>97</v>
      </c>
      <c r="B98" s="3">
        <v>13184271</v>
      </c>
      <c r="C98" s="2" t="s">
        <v>182</v>
      </c>
      <c r="D98" s="3">
        <v>2</v>
      </c>
      <c r="E98" s="2">
        <v>76</v>
      </c>
      <c r="F98" s="2" t="str">
        <f t="shared" si="2"/>
        <v>GERENTE</v>
      </c>
      <c r="G98" s="2" t="str">
        <f>"63445030107007"</f>
        <v>63445030107007</v>
      </c>
      <c r="I98">
        <v>18</v>
      </c>
      <c r="J98" s="3">
        <v>2</v>
      </c>
      <c r="K98" s="2">
        <v>39</v>
      </c>
      <c r="L98" s="3" t="s">
        <v>2</v>
      </c>
      <c r="M98" s="4">
        <v>36020</v>
      </c>
      <c r="N98" s="3">
        <v>64.09</v>
      </c>
    </row>
    <row r="99" spans="1:14" x14ac:dyDescent="0.25">
      <c r="A99" s="2">
        <v>98</v>
      </c>
      <c r="B99" s="3">
        <v>13184272</v>
      </c>
      <c r="C99" s="2" t="s">
        <v>182</v>
      </c>
      <c r="D99" s="3">
        <v>2</v>
      </c>
      <c r="E99" s="2">
        <v>76</v>
      </c>
      <c r="F99" s="2" t="str">
        <f t="shared" si="2"/>
        <v>GERENTE</v>
      </c>
      <c r="G99" s="2" t="str">
        <f>"63445030107008"</f>
        <v>63445030107008</v>
      </c>
      <c r="I99">
        <v>18</v>
      </c>
      <c r="J99" s="3">
        <v>2</v>
      </c>
      <c r="K99" s="2">
        <v>39</v>
      </c>
      <c r="L99" s="3" t="s">
        <v>2</v>
      </c>
      <c r="M99" s="4">
        <v>36020</v>
      </c>
      <c r="N99" s="3">
        <v>64.09</v>
      </c>
    </row>
    <row r="100" spans="1:14" x14ac:dyDescent="0.25">
      <c r="A100" s="2">
        <v>99</v>
      </c>
      <c r="B100" s="3">
        <v>13184273</v>
      </c>
      <c r="C100" s="2" t="s">
        <v>182</v>
      </c>
      <c r="D100" s="3">
        <v>2</v>
      </c>
      <c r="E100" s="2">
        <v>76</v>
      </c>
      <c r="F100" s="2" t="str">
        <f t="shared" si="2"/>
        <v>GERENTE</v>
      </c>
      <c r="G100" s="2" t="str">
        <f>"63445030107009"</f>
        <v>63445030107009</v>
      </c>
      <c r="I100">
        <v>18</v>
      </c>
      <c r="J100" s="3">
        <v>2</v>
      </c>
      <c r="K100" s="2">
        <v>39</v>
      </c>
      <c r="L100" s="3" t="s">
        <v>2</v>
      </c>
      <c r="M100" s="4">
        <v>36020</v>
      </c>
      <c r="N100" s="3">
        <v>64.09</v>
      </c>
    </row>
    <row r="101" spans="1:14" x14ac:dyDescent="0.25">
      <c r="A101" s="2">
        <v>100</v>
      </c>
      <c r="B101" s="3">
        <v>13184274</v>
      </c>
      <c r="C101" s="2" t="s">
        <v>182</v>
      </c>
      <c r="D101" s="3">
        <v>2</v>
      </c>
      <c r="E101" s="2">
        <v>76</v>
      </c>
      <c r="F101" s="2" t="str">
        <f t="shared" si="2"/>
        <v>GERENTE</v>
      </c>
      <c r="G101" s="2" t="str">
        <f>"63445030107010"</f>
        <v>63445030107010</v>
      </c>
      <c r="I101">
        <v>18</v>
      </c>
      <c r="J101" s="3">
        <v>2</v>
      </c>
      <c r="K101" s="2">
        <v>39</v>
      </c>
      <c r="L101" s="3" t="s">
        <v>2</v>
      </c>
      <c r="M101" s="4">
        <v>36020</v>
      </c>
      <c r="N101" s="3">
        <v>64.09</v>
      </c>
    </row>
    <row r="102" spans="1:14" x14ac:dyDescent="0.25">
      <c r="A102" s="2">
        <v>101</v>
      </c>
      <c r="B102" s="3">
        <v>13184251</v>
      </c>
      <c r="C102" s="2" t="s">
        <v>177</v>
      </c>
      <c r="D102" s="3">
        <v>2</v>
      </c>
      <c r="E102" s="2">
        <v>76</v>
      </c>
      <c r="F102" s="2" t="str">
        <f t="shared" ref="F102:F113" si="3">"MILANO"</f>
        <v>MILANO</v>
      </c>
      <c r="G102" s="2" t="str">
        <f>"63445030105003"</f>
        <v>63445030105003</v>
      </c>
      <c r="I102">
        <v>25</v>
      </c>
      <c r="J102" s="3">
        <v>2</v>
      </c>
      <c r="K102" s="2">
        <v>39</v>
      </c>
      <c r="L102" s="3" t="s">
        <v>2</v>
      </c>
      <c r="M102" s="4">
        <v>36515</v>
      </c>
      <c r="N102" s="3">
        <v>52.99</v>
      </c>
    </row>
    <row r="103" spans="1:14" x14ac:dyDescent="0.25">
      <c r="A103" s="2">
        <v>102</v>
      </c>
      <c r="B103" s="3">
        <v>13184252</v>
      </c>
      <c r="C103" s="2" t="s">
        <v>177</v>
      </c>
      <c r="D103" s="3">
        <v>2</v>
      </c>
      <c r="E103" s="2">
        <v>76</v>
      </c>
      <c r="F103" s="2" t="str">
        <f t="shared" si="3"/>
        <v>MILANO</v>
      </c>
      <c r="G103" s="2" t="str">
        <f>"63445030105004"</f>
        <v>63445030105004</v>
      </c>
      <c r="I103">
        <v>25</v>
      </c>
      <c r="J103" s="3">
        <v>2</v>
      </c>
      <c r="K103" s="2">
        <v>39</v>
      </c>
      <c r="L103" s="3" t="s">
        <v>2</v>
      </c>
      <c r="M103" s="4">
        <v>36515</v>
      </c>
      <c r="N103" s="3">
        <v>52.99</v>
      </c>
    </row>
    <row r="104" spans="1:14" x14ac:dyDescent="0.25">
      <c r="A104" s="2">
        <v>103</v>
      </c>
      <c r="B104" s="3">
        <v>13184253</v>
      </c>
      <c r="C104" s="2" t="s">
        <v>177</v>
      </c>
      <c r="D104" s="3">
        <v>2</v>
      </c>
      <c r="E104" s="2">
        <v>76</v>
      </c>
      <c r="F104" s="2" t="str">
        <f t="shared" si="3"/>
        <v>MILANO</v>
      </c>
      <c r="G104" s="2" t="str">
        <f>"63445030105005"</f>
        <v>63445030105005</v>
      </c>
      <c r="I104">
        <v>25</v>
      </c>
      <c r="J104" s="3">
        <v>2</v>
      </c>
      <c r="K104" s="2">
        <v>30</v>
      </c>
      <c r="L104" s="3" t="s">
        <v>2</v>
      </c>
      <c r="M104" s="4">
        <v>36515</v>
      </c>
      <c r="N104" s="3">
        <v>52.99</v>
      </c>
    </row>
    <row r="105" spans="1:14" x14ac:dyDescent="0.25">
      <c r="A105" s="2">
        <v>104</v>
      </c>
      <c r="B105" s="3">
        <v>13184254</v>
      </c>
      <c r="C105" s="2" t="s">
        <v>177</v>
      </c>
      <c r="D105" s="3">
        <v>2</v>
      </c>
      <c r="E105" s="2">
        <v>76</v>
      </c>
      <c r="F105" s="2" t="str">
        <f t="shared" si="3"/>
        <v>MILANO</v>
      </c>
      <c r="G105" s="2" t="str">
        <f>"63445030105006"</f>
        <v>63445030105006</v>
      </c>
      <c r="I105">
        <v>25</v>
      </c>
      <c r="J105" s="3">
        <v>2</v>
      </c>
      <c r="K105" s="2">
        <v>39</v>
      </c>
      <c r="L105" s="3" t="s">
        <v>2</v>
      </c>
      <c r="M105" s="4">
        <v>36515</v>
      </c>
      <c r="N105" s="3">
        <v>52.99</v>
      </c>
    </row>
    <row r="106" spans="1:14" x14ac:dyDescent="0.25">
      <c r="A106" s="2">
        <v>105</v>
      </c>
      <c r="B106" s="3">
        <v>13184255</v>
      </c>
      <c r="C106" s="2" t="s">
        <v>177</v>
      </c>
      <c r="D106" s="3">
        <v>2</v>
      </c>
      <c r="E106" s="2">
        <v>76</v>
      </c>
      <c r="F106" s="2" t="str">
        <f t="shared" si="3"/>
        <v>MILANO</v>
      </c>
      <c r="G106" s="2" t="str">
        <f>"63445030105007"</f>
        <v>63445030105007</v>
      </c>
      <c r="I106">
        <v>25</v>
      </c>
      <c r="J106" s="3">
        <v>2</v>
      </c>
      <c r="K106" s="2">
        <v>39</v>
      </c>
      <c r="L106" s="3" t="s">
        <v>2</v>
      </c>
      <c r="M106" s="4">
        <v>36515</v>
      </c>
      <c r="N106" s="3">
        <v>52.99</v>
      </c>
    </row>
    <row r="107" spans="1:14" x14ac:dyDescent="0.25">
      <c r="A107" s="2">
        <v>106</v>
      </c>
      <c r="B107" s="3">
        <v>13184256</v>
      </c>
      <c r="C107" s="2" t="s">
        <v>177</v>
      </c>
      <c r="D107" s="3">
        <v>2</v>
      </c>
      <c r="E107" s="2">
        <v>76</v>
      </c>
      <c r="F107" s="2" t="str">
        <f t="shared" si="3"/>
        <v>MILANO</v>
      </c>
      <c r="G107" s="2" t="str">
        <f>"63445030105008"</f>
        <v>63445030105008</v>
      </c>
      <c r="I107">
        <v>25</v>
      </c>
      <c r="J107" s="3">
        <v>2</v>
      </c>
      <c r="K107" s="2">
        <v>39</v>
      </c>
      <c r="L107" s="3" t="s">
        <v>2</v>
      </c>
      <c r="M107" s="4">
        <v>36515</v>
      </c>
      <c r="N107" s="3">
        <v>52.99</v>
      </c>
    </row>
    <row r="108" spans="1:14" x14ac:dyDescent="0.25">
      <c r="A108" s="2">
        <v>107</v>
      </c>
      <c r="B108" s="3">
        <v>13184257</v>
      </c>
      <c r="C108" s="2" t="s">
        <v>177</v>
      </c>
      <c r="D108" s="3">
        <v>2</v>
      </c>
      <c r="E108" s="2">
        <v>76</v>
      </c>
      <c r="F108" s="2" t="str">
        <f t="shared" si="3"/>
        <v>MILANO</v>
      </c>
      <c r="G108" s="2" t="str">
        <f>"63445030105009"</f>
        <v>63445030105009</v>
      </c>
      <c r="I108">
        <v>25</v>
      </c>
      <c r="J108" s="3">
        <v>2</v>
      </c>
      <c r="K108" s="2">
        <v>39</v>
      </c>
      <c r="L108" s="3" t="s">
        <v>2</v>
      </c>
      <c r="M108" s="4">
        <v>36515</v>
      </c>
      <c r="N108" s="3">
        <v>52.99</v>
      </c>
    </row>
    <row r="109" spans="1:14" x14ac:dyDescent="0.25">
      <c r="A109" s="2">
        <v>108</v>
      </c>
      <c r="B109" s="3">
        <v>13184258</v>
      </c>
      <c r="C109" s="2" t="s">
        <v>177</v>
      </c>
      <c r="D109" s="3">
        <v>2</v>
      </c>
      <c r="E109" s="2">
        <v>76</v>
      </c>
      <c r="F109" s="2" t="str">
        <f t="shared" si="3"/>
        <v>MILANO</v>
      </c>
      <c r="G109" s="2" t="str">
        <f>"63445030105010"</f>
        <v>63445030105010</v>
      </c>
      <c r="I109">
        <v>25</v>
      </c>
      <c r="J109" s="3">
        <v>2</v>
      </c>
      <c r="K109" s="2">
        <v>39</v>
      </c>
      <c r="L109" s="3" t="s">
        <v>2</v>
      </c>
      <c r="M109" s="4">
        <v>36515</v>
      </c>
      <c r="N109" s="3">
        <v>52.99</v>
      </c>
    </row>
    <row r="110" spans="1:14" x14ac:dyDescent="0.25">
      <c r="A110" s="2">
        <v>109</v>
      </c>
      <c r="B110" s="3">
        <v>13184259</v>
      </c>
      <c r="C110" s="2" t="s">
        <v>177</v>
      </c>
      <c r="D110" s="3">
        <v>2</v>
      </c>
      <c r="E110" s="2">
        <v>76</v>
      </c>
      <c r="F110" s="2" t="str">
        <f t="shared" si="3"/>
        <v>MILANO</v>
      </c>
      <c r="G110" s="2" t="str">
        <f>"63445030105011"</f>
        <v>63445030105011</v>
      </c>
      <c r="I110">
        <v>25</v>
      </c>
      <c r="J110" s="3">
        <v>2</v>
      </c>
      <c r="K110" s="2">
        <v>39</v>
      </c>
      <c r="L110" s="3" t="s">
        <v>2</v>
      </c>
      <c r="M110" s="4">
        <v>36515</v>
      </c>
      <c r="N110" s="3">
        <v>52.99</v>
      </c>
    </row>
    <row r="111" spans="1:14" x14ac:dyDescent="0.25">
      <c r="A111" s="2">
        <v>110</v>
      </c>
      <c r="B111" s="3">
        <v>13184260</v>
      </c>
      <c r="C111" s="2" t="s">
        <v>177</v>
      </c>
      <c r="D111" s="3">
        <v>2</v>
      </c>
      <c r="E111" s="2">
        <v>76</v>
      </c>
      <c r="F111" s="2" t="str">
        <f t="shared" si="3"/>
        <v>MILANO</v>
      </c>
      <c r="G111" s="2" t="str">
        <f>"63445030105012"</f>
        <v>63445030105012</v>
      </c>
      <c r="I111">
        <v>25</v>
      </c>
      <c r="J111" s="3">
        <v>2</v>
      </c>
      <c r="K111" s="2">
        <v>39</v>
      </c>
      <c r="L111" s="3" t="s">
        <v>2</v>
      </c>
      <c r="M111" s="4">
        <v>36515</v>
      </c>
      <c r="N111" s="3">
        <v>52.99</v>
      </c>
    </row>
    <row r="112" spans="1:14" x14ac:dyDescent="0.25">
      <c r="A112" s="2">
        <v>111</v>
      </c>
      <c r="B112" s="3">
        <v>13184261</v>
      </c>
      <c r="C112" s="2" t="s">
        <v>177</v>
      </c>
      <c r="D112" s="3">
        <v>2</v>
      </c>
      <c r="E112" s="2">
        <v>76</v>
      </c>
      <c r="F112" s="2" t="str">
        <f t="shared" si="3"/>
        <v>MILANO</v>
      </c>
      <c r="G112" s="2" t="str">
        <f>"63445030105013"</f>
        <v>63445030105013</v>
      </c>
      <c r="I112">
        <v>25</v>
      </c>
      <c r="J112" s="3">
        <v>2</v>
      </c>
      <c r="K112" s="2">
        <v>39</v>
      </c>
      <c r="L112" s="3" t="s">
        <v>2</v>
      </c>
      <c r="M112" s="4">
        <v>36515</v>
      </c>
      <c r="N112" s="3">
        <v>52.99</v>
      </c>
    </row>
    <row r="113" spans="1:14" x14ac:dyDescent="0.25">
      <c r="A113" s="2">
        <v>112</v>
      </c>
      <c r="B113" s="3">
        <v>13184262</v>
      </c>
      <c r="C113" s="2" t="s">
        <v>177</v>
      </c>
      <c r="D113" s="3">
        <v>2</v>
      </c>
      <c r="E113" s="2">
        <v>76</v>
      </c>
      <c r="F113" s="2" t="str">
        <f t="shared" si="3"/>
        <v>MILANO</v>
      </c>
      <c r="G113" s="2" t="str">
        <f>"63445030105014"</f>
        <v>63445030105014</v>
      </c>
      <c r="I113">
        <v>25</v>
      </c>
      <c r="J113" s="3">
        <v>2</v>
      </c>
      <c r="K113" s="2">
        <v>39</v>
      </c>
      <c r="L113" s="3" t="s">
        <v>2</v>
      </c>
      <c r="M113" s="4">
        <v>36515</v>
      </c>
      <c r="N113" s="3">
        <v>52.99</v>
      </c>
    </row>
    <row r="114" spans="1:14" x14ac:dyDescent="0.25">
      <c r="A114" s="2">
        <v>113</v>
      </c>
      <c r="B114" s="3">
        <v>13184267</v>
      </c>
      <c r="C114" s="2" t="s">
        <v>182</v>
      </c>
      <c r="D114" s="3">
        <v>2</v>
      </c>
      <c r="E114" s="2">
        <v>76</v>
      </c>
      <c r="F114" s="2" t="str">
        <f>"OC DECANO"</f>
        <v>OC DECANO</v>
      </c>
      <c r="G114" s="2" t="str">
        <f>"63445030107003"</f>
        <v>63445030107003</v>
      </c>
      <c r="I114">
        <v>18</v>
      </c>
      <c r="J114" s="3">
        <v>2</v>
      </c>
      <c r="K114" s="2">
        <v>39</v>
      </c>
      <c r="L114" s="3" t="s">
        <v>2</v>
      </c>
      <c r="M114" s="4">
        <v>36515</v>
      </c>
      <c r="N114" s="3">
        <v>28.18</v>
      </c>
    </row>
    <row r="115" spans="1:14" x14ac:dyDescent="0.25">
      <c r="A115" s="2">
        <v>114</v>
      </c>
      <c r="B115" s="3">
        <v>13184268</v>
      </c>
      <c r="C115" s="2" t="s">
        <v>182</v>
      </c>
      <c r="D115" s="3">
        <v>2</v>
      </c>
      <c r="E115" s="2">
        <v>76</v>
      </c>
      <c r="F115" s="2" t="str">
        <f>"OC DECANO"</f>
        <v>OC DECANO</v>
      </c>
      <c r="G115" s="2" t="str">
        <f>"63445030107004"</f>
        <v>63445030107004</v>
      </c>
      <c r="I115">
        <v>18</v>
      </c>
      <c r="J115" s="3">
        <v>2</v>
      </c>
      <c r="K115" s="2">
        <v>39</v>
      </c>
      <c r="L115" s="3" t="s">
        <v>2</v>
      </c>
      <c r="M115" s="4">
        <v>36515</v>
      </c>
      <c r="N115" s="3">
        <v>28.18</v>
      </c>
    </row>
    <row r="116" spans="1:14" x14ac:dyDescent="0.25">
      <c r="A116" s="2">
        <v>115</v>
      </c>
      <c r="B116" s="3">
        <v>13184316</v>
      </c>
      <c r="C116" s="2" t="s">
        <v>183</v>
      </c>
      <c r="D116" s="3">
        <v>2</v>
      </c>
      <c r="E116" s="2">
        <v>76</v>
      </c>
      <c r="F116" s="2" t="str">
        <f>"SECRETARIA"</f>
        <v>SECRETARIA</v>
      </c>
      <c r="G116" s="2" t="str">
        <f>"63445030113011"</f>
        <v>63445030113011</v>
      </c>
      <c r="I116">
        <v>29</v>
      </c>
      <c r="J116" s="3">
        <v>2</v>
      </c>
      <c r="K116" s="2">
        <v>4</v>
      </c>
      <c r="L116" s="3" t="s">
        <v>2</v>
      </c>
      <c r="M116" s="4">
        <v>36020</v>
      </c>
      <c r="N116" s="3">
        <v>49.52</v>
      </c>
    </row>
    <row r="117" spans="1:14" x14ac:dyDescent="0.25">
      <c r="A117" s="2">
        <v>116</v>
      </c>
      <c r="B117" s="3">
        <v>7606313</v>
      </c>
      <c r="C117" s="2" t="s">
        <v>184</v>
      </c>
      <c r="D117" s="3">
        <v>2</v>
      </c>
      <c r="E117" s="2">
        <v>76</v>
      </c>
      <c r="F117" s="2" t="str">
        <f>"AEREO"</f>
        <v>AEREO</v>
      </c>
      <c r="G117" s="2" t="str">
        <f>"14101030101003"</f>
        <v>14101030101003</v>
      </c>
      <c r="I117">
        <v>18</v>
      </c>
      <c r="J117" s="3">
        <v>2</v>
      </c>
      <c r="K117" s="2">
        <v>4</v>
      </c>
      <c r="L117" s="3" t="s">
        <v>2</v>
      </c>
      <c r="M117" s="4">
        <v>37481</v>
      </c>
      <c r="N117" s="3">
        <v>136.80000000000001</v>
      </c>
    </row>
    <row r="118" spans="1:14" x14ac:dyDescent="0.25">
      <c r="A118" s="2">
        <v>117</v>
      </c>
      <c r="B118" s="3">
        <v>7606312</v>
      </c>
      <c r="C118" s="2" t="s">
        <v>184</v>
      </c>
      <c r="D118" s="3">
        <v>2</v>
      </c>
      <c r="E118" s="2">
        <v>76</v>
      </c>
      <c r="F118" s="2" t="str">
        <f>"AEREO"</f>
        <v>AEREO</v>
      </c>
      <c r="G118" s="2" t="str">
        <f>"14101030101002"</f>
        <v>14101030101002</v>
      </c>
      <c r="I118">
        <v>18</v>
      </c>
      <c r="J118" s="3">
        <v>2</v>
      </c>
      <c r="K118" s="2">
        <v>4</v>
      </c>
      <c r="L118" s="3" t="s">
        <v>2</v>
      </c>
      <c r="M118" s="4">
        <v>37481</v>
      </c>
      <c r="N118" s="3">
        <v>136.80000000000001</v>
      </c>
    </row>
    <row r="119" spans="1:14" x14ac:dyDescent="0.25">
      <c r="A119" s="2">
        <v>118</v>
      </c>
      <c r="B119" s="3">
        <v>7606339</v>
      </c>
      <c r="C119" s="2" t="s">
        <v>182</v>
      </c>
      <c r="D119" s="3">
        <v>2</v>
      </c>
      <c r="E119" s="2">
        <v>76</v>
      </c>
      <c r="F119" s="2" t="str">
        <f>"SIN MODELO"</f>
        <v>SIN MODELO</v>
      </c>
      <c r="G119" s="2" t="str">
        <f>"14101030106001"</f>
        <v>14101030106001</v>
      </c>
      <c r="I119">
        <v>10</v>
      </c>
      <c r="J119" s="3">
        <v>2</v>
      </c>
      <c r="K119" s="2">
        <v>37</v>
      </c>
      <c r="L119" s="3" t="s">
        <v>2</v>
      </c>
      <c r="M119" s="4">
        <v>35999</v>
      </c>
      <c r="N119" s="3">
        <v>165.77</v>
      </c>
    </row>
    <row r="120" spans="1:14" x14ac:dyDescent="0.25">
      <c r="A120" s="2">
        <v>119</v>
      </c>
      <c r="B120" s="3">
        <v>7606311</v>
      </c>
      <c r="C120" s="2" t="s">
        <v>184</v>
      </c>
      <c r="D120" s="3">
        <v>2</v>
      </c>
      <c r="E120" s="2">
        <v>76</v>
      </c>
      <c r="F120" s="2" t="str">
        <f>"AEREO"</f>
        <v>AEREO</v>
      </c>
      <c r="G120" s="2" t="str">
        <f>"14101030101001"</f>
        <v>14101030101001</v>
      </c>
      <c r="I120">
        <v>18</v>
      </c>
      <c r="J120" s="3">
        <v>2</v>
      </c>
      <c r="K120" s="2">
        <v>4</v>
      </c>
      <c r="L120" s="3" t="s">
        <v>2</v>
      </c>
      <c r="M120" s="4">
        <v>37481</v>
      </c>
      <c r="N120" s="3">
        <v>136.80000000000001</v>
      </c>
    </row>
    <row r="121" spans="1:14" x14ac:dyDescent="0.25">
      <c r="A121" s="2">
        <v>120</v>
      </c>
      <c r="B121" s="3">
        <v>7606347</v>
      </c>
      <c r="C121" s="2" t="s">
        <v>186</v>
      </c>
      <c r="D121" s="3">
        <v>2</v>
      </c>
      <c r="E121" s="2">
        <v>76</v>
      </c>
      <c r="F121" s="2" t="str">
        <f>"SIN MODELO"</f>
        <v>SIN MODELO</v>
      </c>
      <c r="G121" s="2" t="str">
        <f>"14101030109002"</f>
        <v>14101030109002</v>
      </c>
      <c r="I121">
        <v>19</v>
      </c>
      <c r="J121" s="3">
        <v>2</v>
      </c>
      <c r="K121" s="2">
        <v>4</v>
      </c>
      <c r="L121" s="3" t="s">
        <v>2</v>
      </c>
      <c r="M121" s="4">
        <v>36020</v>
      </c>
      <c r="N121" s="3">
        <v>152.94</v>
      </c>
    </row>
    <row r="122" spans="1:14" x14ac:dyDescent="0.25">
      <c r="A122" s="2">
        <v>121</v>
      </c>
      <c r="B122" s="3">
        <v>7606345</v>
      </c>
      <c r="C122" s="2" t="s">
        <v>187</v>
      </c>
      <c r="D122" s="3">
        <v>2</v>
      </c>
      <c r="E122" s="2">
        <v>76</v>
      </c>
      <c r="F122" s="2" t="str">
        <f>"CHINO"</f>
        <v>CHINO</v>
      </c>
      <c r="G122" s="2" t="str">
        <f>"14101030108002"</f>
        <v>14101030108002</v>
      </c>
      <c r="I122">
        <v>12</v>
      </c>
      <c r="J122" s="3">
        <v>2</v>
      </c>
      <c r="K122" s="2">
        <v>8</v>
      </c>
      <c r="L122" s="3" t="s">
        <v>2</v>
      </c>
      <c r="M122" s="4">
        <v>36020</v>
      </c>
      <c r="N122" s="3">
        <v>101.46</v>
      </c>
    </row>
    <row r="123" spans="1:14" x14ac:dyDescent="0.25">
      <c r="A123" s="2">
        <v>122</v>
      </c>
      <c r="B123" s="3">
        <v>7606314</v>
      </c>
      <c r="C123" s="2" t="s">
        <v>184</v>
      </c>
      <c r="D123" s="3">
        <v>2</v>
      </c>
      <c r="E123" s="2">
        <v>76</v>
      </c>
      <c r="F123" s="2" t="str">
        <f>"AEREO"</f>
        <v>AEREO</v>
      </c>
      <c r="G123" s="2" t="str">
        <f>"14101030101004"</f>
        <v>14101030101004</v>
      </c>
      <c r="I123">
        <v>18</v>
      </c>
      <c r="J123" s="3">
        <v>2</v>
      </c>
      <c r="K123" s="2">
        <v>4</v>
      </c>
      <c r="L123" s="3" t="s">
        <v>2</v>
      </c>
      <c r="M123" s="4">
        <v>37481</v>
      </c>
      <c r="N123" s="3">
        <v>136.80000000000001</v>
      </c>
    </row>
    <row r="124" spans="1:14" x14ac:dyDescent="0.25">
      <c r="A124" s="2">
        <v>123</v>
      </c>
      <c r="B124" s="3">
        <v>7606320</v>
      </c>
      <c r="C124" s="2" t="s">
        <v>185</v>
      </c>
      <c r="D124" s="3">
        <v>2</v>
      </c>
      <c r="E124" s="2">
        <v>76</v>
      </c>
      <c r="F124" s="2" t="str">
        <f>"MILENIO"</f>
        <v>MILENIO</v>
      </c>
      <c r="G124" s="2" t="str">
        <f>"14101030105001"</f>
        <v>14101030105001</v>
      </c>
      <c r="I124">
        <v>18</v>
      </c>
      <c r="J124" s="3">
        <v>2</v>
      </c>
      <c r="K124" s="2">
        <v>4</v>
      </c>
      <c r="L124" s="3" t="s">
        <v>2</v>
      </c>
      <c r="M124" s="4">
        <v>37481</v>
      </c>
      <c r="N124" s="3">
        <v>351.5</v>
      </c>
    </row>
    <row r="125" spans="1:14" x14ac:dyDescent="0.25">
      <c r="A125" s="2">
        <v>124</v>
      </c>
      <c r="B125" s="3">
        <v>7606321</v>
      </c>
      <c r="C125" s="2" t="s">
        <v>185</v>
      </c>
      <c r="D125" s="3">
        <v>2</v>
      </c>
      <c r="E125" s="2">
        <v>76</v>
      </c>
      <c r="F125" s="2" t="str">
        <f>"MILENIO"</f>
        <v>MILENIO</v>
      </c>
      <c r="G125" s="2" t="str">
        <f>"14101030105002"</f>
        <v>14101030105002</v>
      </c>
      <c r="I125">
        <v>18</v>
      </c>
      <c r="J125" s="3">
        <v>2</v>
      </c>
      <c r="K125" s="2">
        <v>4</v>
      </c>
      <c r="L125" s="3" t="s">
        <v>2</v>
      </c>
      <c r="M125" s="4">
        <v>37481</v>
      </c>
      <c r="N125" s="3">
        <v>332.5</v>
      </c>
    </row>
    <row r="126" spans="1:14" x14ac:dyDescent="0.25">
      <c r="A126" s="2">
        <v>125</v>
      </c>
      <c r="B126" s="3">
        <v>7606322</v>
      </c>
      <c r="C126" s="2" t="s">
        <v>185</v>
      </c>
      <c r="D126" s="3">
        <v>2</v>
      </c>
      <c r="E126" s="2">
        <v>76</v>
      </c>
      <c r="F126" s="2" t="str">
        <f>"MILENIO"</f>
        <v>MILENIO</v>
      </c>
      <c r="G126" s="2" t="str">
        <f>"14101030105003"</f>
        <v>14101030105003</v>
      </c>
      <c r="I126">
        <v>18</v>
      </c>
      <c r="J126" s="3">
        <v>2</v>
      </c>
      <c r="K126" s="2">
        <v>15</v>
      </c>
      <c r="L126" s="3" t="s">
        <v>2</v>
      </c>
      <c r="M126" s="4">
        <v>37481</v>
      </c>
      <c r="N126" s="3">
        <v>332.5</v>
      </c>
    </row>
    <row r="127" spans="1:14" x14ac:dyDescent="0.25">
      <c r="A127" s="2">
        <v>126</v>
      </c>
      <c r="B127" s="3">
        <v>7606323</v>
      </c>
      <c r="C127" s="2" t="s">
        <v>185</v>
      </c>
      <c r="D127" s="3">
        <v>2</v>
      </c>
      <c r="E127" s="2">
        <v>76</v>
      </c>
      <c r="F127" s="2" t="str">
        <f>"MILENIO"</f>
        <v>MILENIO</v>
      </c>
      <c r="G127" s="2" t="str">
        <f>"14101030105004"</f>
        <v>14101030105004</v>
      </c>
      <c r="I127">
        <v>18</v>
      </c>
      <c r="J127" s="3">
        <v>2</v>
      </c>
      <c r="K127" s="2">
        <v>26</v>
      </c>
      <c r="L127" s="3" t="s">
        <v>2</v>
      </c>
      <c r="M127" s="4">
        <v>37481</v>
      </c>
      <c r="N127" s="3">
        <v>332.5</v>
      </c>
    </row>
    <row r="128" spans="1:14" x14ac:dyDescent="0.25">
      <c r="A128" s="2">
        <v>127</v>
      </c>
      <c r="B128" s="3">
        <v>7606324</v>
      </c>
      <c r="C128" s="2" t="s">
        <v>185</v>
      </c>
      <c r="D128" s="3">
        <v>2</v>
      </c>
      <c r="E128" s="2">
        <v>76</v>
      </c>
      <c r="F128" s="2" t="str">
        <f>"MILENIO"</f>
        <v>MILENIO</v>
      </c>
      <c r="G128" s="2" t="str">
        <f>"14101030105005"</f>
        <v>14101030105005</v>
      </c>
      <c r="I128">
        <v>18</v>
      </c>
      <c r="J128" s="3">
        <v>2</v>
      </c>
      <c r="K128" s="2">
        <v>9</v>
      </c>
      <c r="L128" s="3" t="s">
        <v>2</v>
      </c>
      <c r="M128" s="4">
        <v>37481</v>
      </c>
      <c r="N128" s="3">
        <v>332.5</v>
      </c>
    </row>
    <row r="129" spans="1:14" x14ac:dyDescent="0.25">
      <c r="A129" s="2">
        <v>128</v>
      </c>
      <c r="B129" s="3">
        <v>7606340</v>
      </c>
      <c r="C129" s="2" t="s">
        <v>188</v>
      </c>
      <c r="D129" s="3">
        <v>2</v>
      </c>
      <c r="E129" s="2">
        <v>76</v>
      </c>
      <c r="F129" s="2" t="str">
        <f>"APOLO"</f>
        <v>APOLO</v>
      </c>
      <c r="G129" s="2" t="str">
        <f>"14101030106002"</f>
        <v>14101030106002</v>
      </c>
      <c r="I129">
        <v>18</v>
      </c>
      <c r="J129" s="3">
        <v>2</v>
      </c>
      <c r="K129" s="2">
        <v>4</v>
      </c>
      <c r="L129" s="3" t="s">
        <v>2</v>
      </c>
      <c r="M129" s="4">
        <v>37481</v>
      </c>
      <c r="N129" s="3">
        <v>167.2</v>
      </c>
    </row>
    <row r="130" spans="1:14" x14ac:dyDescent="0.25">
      <c r="A130" s="2">
        <v>129</v>
      </c>
      <c r="B130" s="3">
        <v>13184263</v>
      </c>
      <c r="C130" s="2" t="s">
        <v>177</v>
      </c>
      <c r="D130" s="3">
        <v>2</v>
      </c>
      <c r="E130" s="2">
        <v>76</v>
      </c>
      <c r="F130" s="2" t="str">
        <f>"GEMA"</f>
        <v>GEMA</v>
      </c>
      <c r="G130" s="2" t="str">
        <f>"63445030105015"</f>
        <v>63445030105015</v>
      </c>
      <c r="I130">
        <v>2</v>
      </c>
      <c r="J130" s="3">
        <v>2</v>
      </c>
      <c r="K130" s="2">
        <v>4</v>
      </c>
      <c r="L130" s="3" t="s">
        <v>2</v>
      </c>
      <c r="M130" s="4">
        <v>37481</v>
      </c>
      <c r="N130" s="3">
        <v>68.400000000000006</v>
      </c>
    </row>
    <row r="131" spans="1:14" x14ac:dyDescent="0.25">
      <c r="A131" s="2">
        <v>130</v>
      </c>
      <c r="B131" s="3">
        <v>13184264</v>
      </c>
      <c r="C131" s="2" t="s">
        <v>177</v>
      </c>
      <c r="D131" s="3">
        <v>2</v>
      </c>
      <c r="E131" s="2">
        <v>76</v>
      </c>
      <c r="F131" s="2" t="str">
        <f>"GEMA"</f>
        <v>GEMA</v>
      </c>
      <c r="G131" s="2" t="str">
        <f>"63445030105016"</f>
        <v>63445030105016</v>
      </c>
      <c r="I131">
        <v>2</v>
      </c>
      <c r="J131" s="3">
        <v>2</v>
      </c>
      <c r="K131" s="2">
        <v>4</v>
      </c>
      <c r="L131" s="3" t="s">
        <v>2</v>
      </c>
      <c r="M131" s="4">
        <v>37481</v>
      </c>
      <c r="N131" s="3">
        <v>68.400000000000006</v>
      </c>
    </row>
    <row r="132" spans="1:14" x14ac:dyDescent="0.25">
      <c r="A132" s="2">
        <v>131</v>
      </c>
      <c r="B132" s="3">
        <v>13184317</v>
      </c>
      <c r="C132" s="2" t="s">
        <v>183</v>
      </c>
      <c r="D132" s="3">
        <v>2</v>
      </c>
      <c r="E132" s="2">
        <v>76</v>
      </c>
      <c r="F132" s="2" t="str">
        <f>"SECRETARIA"</f>
        <v>SECRETARIA</v>
      </c>
      <c r="G132" s="2" t="str">
        <f>"63445030113012"</f>
        <v>63445030113012</v>
      </c>
      <c r="I132">
        <v>2</v>
      </c>
      <c r="J132" s="3">
        <v>2</v>
      </c>
      <c r="K132" s="2">
        <v>4</v>
      </c>
      <c r="L132" s="3" t="s">
        <v>2</v>
      </c>
      <c r="M132" s="4">
        <v>37481</v>
      </c>
      <c r="N132" s="3">
        <v>83.6</v>
      </c>
    </row>
    <row r="133" spans="1:14" x14ac:dyDescent="0.25">
      <c r="A133" s="2">
        <v>132</v>
      </c>
      <c r="B133" s="3">
        <v>13184318</v>
      </c>
      <c r="C133" s="2" t="s">
        <v>183</v>
      </c>
      <c r="D133" s="3">
        <v>2</v>
      </c>
      <c r="E133" s="2">
        <v>76</v>
      </c>
      <c r="F133" s="2" t="str">
        <f>"SECRETARIA"</f>
        <v>SECRETARIA</v>
      </c>
      <c r="G133" s="2" t="str">
        <f>"63445030113013"</f>
        <v>63445030113013</v>
      </c>
      <c r="I133">
        <v>2</v>
      </c>
      <c r="J133" s="3">
        <v>2</v>
      </c>
      <c r="K133" s="2">
        <v>4</v>
      </c>
      <c r="L133" s="3" t="s">
        <v>2</v>
      </c>
      <c r="M133" s="4">
        <v>37481</v>
      </c>
      <c r="N133" s="3">
        <v>83.6</v>
      </c>
    </row>
    <row r="134" spans="1:14" x14ac:dyDescent="0.25">
      <c r="A134" s="2">
        <v>133</v>
      </c>
      <c r="B134" s="3">
        <v>13184319</v>
      </c>
      <c r="C134" s="2" t="s">
        <v>183</v>
      </c>
      <c r="D134" s="3">
        <v>2</v>
      </c>
      <c r="E134" s="2">
        <v>76</v>
      </c>
      <c r="F134" s="2" t="str">
        <f>"SECRETARIA"</f>
        <v>SECRETARIA</v>
      </c>
      <c r="G134" s="2" t="str">
        <f>"63445030113014"</f>
        <v>63445030113014</v>
      </c>
      <c r="I134">
        <v>2</v>
      </c>
      <c r="J134" s="3">
        <v>2</v>
      </c>
      <c r="K134" s="2">
        <v>4</v>
      </c>
      <c r="L134" s="3" t="s">
        <v>2</v>
      </c>
      <c r="M134" s="4">
        <v>37481</v>
      </c>
      <c r="N134" s="3">
        <v>83.6</v>
      </c>
    </row>
    <row r="135" spans="1:14" x14ac:dyDescent="0.25">
      <c r="A135" s="2">
        <v>134</v>
      </c>
      <c r="B135" s="3">
        <v>13184320</v>
      </c>
      <c r="C135" s="2" t="s">
        <v>183</v>
      </c>
      <c r="D135" s="3">
        <v>2</v>
      </c>
      <c r="E135" s="2">
        <v>76</v>
      </c>
      <c r="F135" s="2" t="str">
        <f>"SECRETARIA"</f>
        <v>SECRETARIA</v>
      </c>
      <c r="G135" s="2" t="str">
        <f>"63445030113015"</f>
        <v>63445030113015</v>
      </c>
      <c r="I135">
        <v>2</v>
      </c>
      <c r="J135" s="3">
        <v>2</v>
      </c>
      <c r="K135" s="2">
        <v>4</v>
      </c>
      <c r="L135" s="3" t="s">
        <v>2</v>
      </c>
      <c r="M135" s="4">
        <v>37481</v>
      </c>
      <c r="N135" s="3">
        <v>83.6</v>
      </c>
    </row>
    <row r="136" spans="1:14" x14ac:dyDescent="0.25">
      <c r="A136" s="2">
        <v>135</v>
      </c>
      <c r="B136" s="3">
        <v>13184321</v>
      </c>
      <c r="C136" s="2" t="s">
        <v>183</v>
      </c>
      <c r="D136" s="3">
        <v>2</v>
      </c>
      <c r="E136" s="2">
        <v>76</v>
      </c>
      <c r="F136" s="2" t="str">
        <f>"SECRETARIA"</f>
        <v>SECRETARIA</v>
      </c>
      <c r="G136" s="2" t="str">
        <f>"63445030113016"</f>
        <v>63445030113016</v>
      </c>
      <c r="I136">
        <v>2</v>
      </c>
      <c r="J136" s="3">
        <v>2</v>
      </c>
      <c r="K136" s="2">
        <v>4</v>
      </c>
      <c r="L136" s="3" t="s">
        <v>2</v>
      </c>
      <c r="M136" s="4">
        <v>37481</v>
      </c>
      <c r="N136" s="3">
        <v>83.6</v>
      </c>
    </row>
    <row r="137" spans="1:14" x14ac:dyDescent="0.25">
      <c r="A137" s="2">
        <v>136</v>
      </c>
      <c r="B137" s="3">
        <v>7606374</v>
      </c>
      <c r="C137" s="2" t="s">
        <v>189</v>
      </c>
      <c r="D137" s="3">
        <v>2</v>
      </c>
      <c r="E137" s="2">
        <v>76</v>
      </c>
      <c r="F137" s="2" t="str">
        <f>"SEMIEJECUTIVO"</f>
        <v>SEMIEJECUTIVO</v>
      </c>
      <c r="G137" s="2" t="str">
        <f>"14101030112002"</f>
        <v>14101030112002</v>
      </c>
      <c r="I137">
        <v>2</v>
      </c>
      <c r="J137" s="3">
        <v>2</v>
      </c>
      <c r="K137" s="2">
        <v>4</v>
      </c>
      <c r="L137" s="3" t="s">
        <v>2</v>
      </c>
      <c r="M137" s="4">
        <v>37621</v>
      </c>
      <c r="N137" s="3">
        <v>185.25</v>
      </c>
    </row>
    <row r="138" spans="1:14" x14ac:dyDescent="0.25">
      <c r="A138" s="2">
        <v>137</v>
      </c>
      <c r="B138" s="3">
        <v>13184275</v>
      </c>
      <c r="C138" s="2" t="s">
        <v>190</v>
      </c>
      <c r="D138" s="3">
        <v>2</v>
      </c>
      <c r="E138" s="2">
        <v>76</v>
      </c>
      <c r="F138" s="2" t="str">
        <f t="shared" ref="F138:F147" si="4">"SIN MODELO"</f>
        <v>SIN MODELO</v>
      </c>
      <c r="G138" s="2" t="str">
        <f>"63445030108001"</f>
        <v>63445030108001</v>
      </c>
      <c r="I138">
        <v>23</v>
      </c>
      <c r="J138" s="3">
        <v>2</v>
      </c>
      <c r="K138" s="2">
        <v>26</v>
      </c>
      <c r="L138" s="3" t="s">
        <v>2</v>
      </c>
      <c r="M138" s="4">
        <v>38291</v>
      </c>
      <c r="N138" s="3">
        <v>80</v>
      </c>
    </row>
    <row r="139" spans="1:14" x14ac:dyDescent="0.25">
      <c r="A139" s="2">
        <v>138</v>
      </c>
      <c r="B139" s="3">
        <v>13184276</v>
      </c>
      <c r="C139" s="2" t="s">
        <v>190</v>
      </c>
      <c r="D139" s="3">
        <v>2</v>
      </c>
      <c r="E139" s="2">
        <v>76</v>
      </c>
      <c r="F139" s="2" t="str">
        <f t="shared" si="4"/>
        <v>SIN MODELO</v>
      </c>
      <c r="G139" s="2" t="str">
        <f>"63445030108002"</f>
        <v>63445030108002</v>
      </c>
      <c r="I139">
        <v>23</v>
      </c>
      <c r="J139" s="3">
        <v>2</v>
      </c>
      <c r="K139" s="2">
        <v>26</v>
      </c>
      <c r="L139" s="3" t="s">
        <v>2</v>
      </c>
      <c r="M139" s="4">
        <v>38291</v>
      </c>
      <c r="N139" s="3">
        <v>80</v>
      </c>
    </row>
    <row r="140" spans="1:14" x14ac:dyDescent="0.25">
      <c r="A140" s="2">
        <v>139</v>
      </c>
      <c r="B140" s="3">
        <v>13184277</v>
      </c>
      <c r="C140" s="2" t="s">
        <v>190</v>
      </c>
      <c r="D140" s="3">
        <v>2</v>
      </c>
      <c r="E140" s="2">
        <v>76</v>
      </c>
      <c r="F140" s="2" t="str">
        <f t="shared" si="4"/>
        <v>SIN MODELO</v>
      </c>
      <c r="G140" s="2" t="str">
        <f>"63445030108003"</f>
        <v>63445030108003</v>
      </c>
      <c r="I140">
        <v>23</v>
      </c>
      <c r="J140" s="3">
        <v>2</v>
      </c>
      <c r="K140" s="2">
        <v>26</v>
      </c>
      <c r="L140" s="3" t="s">
        <v>2</v>
      </c>
      <c r="M140" s="4">
        <v>38291</v>
      </c>
      <c r="N140" s="3">
        <v>80</v>
      </c>
    </row>
    <row r="141" spans="1:14" x14ac:dyDescent="0.25">
      <c r="A141" s="2">
        <v>140</v>
      </c>
      <c r="B141" s="3">
        <v>13184278</v>
      </c>
      <c r="C141" s="2" t="s">
        <v>190</v>
      </c>
      <c r="D141" s="3">
        <v>2</v>
      </c>
      <c r="E141" s="2">
        <v>76</v>
      </c>
      <c r="F141" s="2" t="str">
        <f t="shared" si="4"/>
        <v>SIN MODELO</v>
      </c>
      <c r="G141" s="2" t="str">
        <f>"63445030108004"</f>
        <v>63445030108004</v>
      </c>
      <c r="I141">
        <v>23</v>
      </c>
      <c r="J141" s="3">
        <v>2</v>
      </c>
      <c r="K141" s="2">
        <v>26</v>
      </c>
      <c r="L141" s="3" t="s">
        <v>2</v>
      </c>
      <c r="M141" s="4">
        <v>38291</v>
      </c>
      <c r="N141" s="3">
        <v>80</v>
      </c>
    </row>
    <row r="142" spans="1:14" x14ac:dyDescent="0.25">
      <c r="A142" s="2">
        <v>141</v>
      </c>
      <c r="B142" s="3">
        <v>13184279</v>
      </c>
      <c r="C142" s="2" t="s">
        <v>190</v>
      </c>
      <c r="D142" s="3">
        <v>2</v>
      </c>
      <c r="E142" s="2">
        <v>76</v>
      </c>
      <c r="F142" s="2" t="str">
        <f t="shared" si="4"/>
        <v>SIN MODELO</v>
      </c>
      <c r="G142" s="2" t="str">
        <f>"63445030108005"</f>
        <v>63445030108005</v>
      </c>
      <c r="I142">
        <v>23</v>
      </c>
      <c r="J142" s="3">
        <v>2</v>
      </c>
      <c r="K142" s="2">
        <v>26</v>
      </c>
      <c r="L142" s="3" t="s">
        <v>2</v>
      </c>
      <c r="M142" s="4">
        <v>38291</v>
      </c>
      <c r="N142" s="3">
        <v>80</v>
      </c>
    </row>
    <row r="143" spans="1:14" x14ac:dyDescent="0.25">
      <c r="A143" s="2">
        <v>142</v>
      </c>
      <c r="B143" s="3">
        <v>13184280</v>
      </c>
      <c r="C143" s="2" t="s">
        <v>190</v>
      </c>
      <c r="D143" s="3">
        <v>2</v>
      </c>
      <c r="E143" s="2">
        <v>76</v>
      </c>
      <c r="F143" s="2" t="str">
        <f t="shared" si="4"/>
        <v>SIN MODELO</v>
      </c>
      <c r="G143" s="2" t="str">
        <f>"63445030108006"</f>
        <v>63445030108006</v>
      </c>
      <c r="I143">
        <v>23</v>
      </c>
      <c r="J143" s="3">
        <v>2</v>
      </c>
      <c r="K143" s="2">
        <v>26</v>
      </c>
      <c r="L143" s="3" t="s">
        <v>2</v>
      </c>
      <c r="M143" s="4">
        <v>38291</v>
      </c>
      <c r="N143" s="3">
        <v>80</v>
      </c>
    </row>
    <row r="144" spans="1:14" x14ac:dyDescent="0.25">
      <c r="A144" s="2">
        <v>143</v>
      </c>
      <c r="B144" s="3">
        <v>13184281</v>
      </c>
      <c r="C144" s="2" t="s">
        <v>190</v>
      </c>
      <c r="D144" s="3">
        <v>2</v>
      </c>
      <c r="E144" s="2">
        <v>76</v>
      </c>
      <c r="F144" s="2" t="str">
        <f t="shared" si="4"/>
        <v>SIN MODELO</v>
      </c>
      <c r="G144" s="2" t="str">
        <f>"63445030108007"</f>
        <v>63445030108007</v>
      </c>
      <c r="I144">
        <v>23</v>
      </c>
      <c r="J144" s="3">
        <v>2</v>
      </c>
      <c r="K144" s="2">
        <v>26</v>
      </c>
      <c r="L144" s="3" t="s">
        <v>2</v>
      </c>
      <c r="M144" s="4">
        <v>38291</v>
      </c>
      <c r="N144" s="3">
        <v>80</v>
      </c>
    </row>
    <row r="145" spans="1:14" x14ac:dyDescent="0.25">
      <c r="A145" s="2">
        <v>144</v>
      </c>
      <c r="B145" s="3">
        <v>13184282</v>
      </c>
      <c r="C145" s="2" t="s">
        <v>190</v>
      </c>
      <c r="D145" s="3">
        <v>2</v>
      </c>
      <c r="E145" s="2">
        <v>76</v>
      </c>
      <c r="F145" s="2" t="str">
        <f t="shared" si="4"/>
        <v>SIN MODELO</v>
      </c>
      <c r="G145" s="2" t="str">
        <f>"63445030108008"</f>
        <v>63445030108008</v>
      </c>
      <c r="I145">
        <v>23</v>
      </c>
      <c r="J145" s="3">
        <v>2</v>
      </c>
      <c r="K145" s="2">
        <v>26</v>
      </c>
      <c r="L145" s="3" t="s">
        <v>2</v>
      </c>
      <c r="M145" s="4">
        <v>38291</v>
      </c>
      <c r="N145" s="3">
        <v>80</v>
      </c>
    </row>
    <row r="146" spans="1:14" x14ac:dyDescent="0.25">
      <c r="A146" s="2">
        <v>145</v>
      </c>
      <c r="B146" s="3">
        <v>13184283</v>
      </c>
      <c r="C146" s="2" t="s">
        <v>190</v>
      </c>
      <c r="D146" s="3">
        <v>2</v>
      </c>
      <c r="E146" s="2">
        <v>76</v>
      </c>
      <c r="F146" s="2" t="str">
        <f t="shared" si="4"/>
        <v>SIN MODELO</v>
      </c>
      <c r="G146" s="2" t="str">
        <f>"63445030108009"</f>
        <v>63445030108009</v>
      </c>
      <c r="I146">
        <v>23</v>
      </c>
      <c r="J146" s="3">
        <v>2</v>
      </c>
      <c r="K146" s="2">
        <v>26</v>
      </c>
      <c r="L146" s="3" t="s">
        <v>2</v>
      </c>
      <c r="M146" s="4">
        <v>38291</v>
      </c>
      <c r="N146" s="3">
        <v>80</v>
      </c>
    </row>
    <row r="147" spans="1:14" x14ac:dyDescent="0.25">
      <c r="A147" s="2">
        <v>146</v>
      </c>
      <c r="B147" s="3">
        <v>13184284</v>
      </c>
      <c r="C147" s="2" t="s">
        <v>190</v>
      </c>
      <c r="D147" s="3">
        <v>2</v>
      </c>
      <c r="E147" s="2">
        <v>76</v>
      </c>
      <c r="F147" s="2" t="str">
        <f t="shared" si="4"/>
        <v>SIN MODELO</v>
      </c>
      <c r="G147" s="2" t="str">
        <f>"63445030108010"</f>
        <v>63445030108010</v>
      </c>
      <c r="I147">
        <v>23</v>
      </c>
      <c r="J147" s="3">
        <v>2</v>
      </c>
      <c r="K147" s="2">
        <v>26</v>
      </c>
      <c r="L147" s="3" t="s">
        <v>2</v>
      </c>
      <c r="M147" s="4">
        <v>38291</v>
      </c>
      <c r="N147" s="3">
        <v>80</v>
      </c>
    </row>
    <row r="148" spans="1:14" x14ac:dyDescent="0.25">
      <c r="A148" s="2">
        <v>147</v>
      </c>
      <c r="B148" s="3">
        <v>7606382</v>
      </c>
      <c r="C148" s="2" t="s">
        <v>189</v>
      </c>
      <c r="D148" s="3">
        <v>2</v>
      </c>
      <c r="E148" s="2">
        <v>76</v>
      </c>
      <c r="F148" s="2" t="str">
        <f>"EJECUTIVO"</f>
        <v>EJECUTIVO</v>
      </c>
      <c r="G148" s="2" t="str">
        <f>"14101030112012"</f>
        <v>14101030112012</v>
      </c>
      <c r="I148">
        <v>20</v>
      </c>
      <c r="J148" s="3">
        <v>2</v>
      </c>
      <c r="K148" s="2">
        <v>9</v>
      </c>
      <c r="L148" s="3" t="s">
        <v>2</v>
      </c>
      <c r="M148" s="4">
        <v>38990</v>
      </c>
      <c r="N148" s="3">
        <v>140</v>
      </c>
    </row>
    <row r="149" spans="1:14" x14ac:dyDescent="0.25">
      <c r="A149" s="2">
        <v>148</v>
      </c>
      <c r="B149" s="3">
        <v>7606412</v>
      </c>
      <c r="C149" s="2" t="s">
        <v>191</v>
      </c>
      <c r="D149" s="3">
        <v>2</v>
      </c>
      <c r="E149" s="2">
        <v>76</v>
      </c>
      <c r="F149" s="2" t="str">
        <f>"ALTO RELIEVE"</f>
        <v>ALTO RELIEVE</v>
      </c>
      <c r="G149" s="2" t="str">
        <f>"14101030115001"</f>
        <v>14101030115001</v>
      </c>
      <c r="I149">
        <v>27</v>
      </c>
      <c r="J149" s="3">
        <v>3</v>
      </c>
      <c r="K149" s="2">
        <v>39</v>
      </c>
      <c r="L149" s="3" t="s">
        <v>2</v>
      </c>
      <c r="M149" s="4">
        <v>38291</v>
      </c>
      <c r="N149" s="3">
        <v>500</v>
      </c>
    </row>
    <row r="150" spans="1:14" x14ac:dyDescent="0.25">
      <c r="A150" s="2">
        <v>149</v>
      </c>
      <c r="B150" s="3">
        <v>7606378</v>
      </c>
      <c r="C150" s="2" t="s">
        <v>189</v>
      </c>
      <c r="D150" s="3">
        <v>2</v>
      </c>
      <c r="E150" s="2">
        <v>76</v>
      </c>
      <c r="F150" s="2" t="str">
        <f t="shared" ref="F150:F155" si="5">"EJECUTIVO"</f>
        <v>EJECUTIVO</v>
      </c>
      <c r="G150" s="2" t="str">
        <f>"14101030112007"</f>
        <v>14101030112007</v>
      </c>
      <c r="I150">
        <v>20</v>
      </c>
      <c r="J150" s="3">
        <v>2</v>
      </c>
      <c r="K150" s="2">
        <v>39</v>
      </c>
      <c r="L150" s="3" t="s">
        <v>2</v>
      </c>
      <c r="M150" s="4">
        <v>38990</v>
      </c>
      <c r="N150" s="3">
        <v>140</v>
      </c>
    </row>
    <row r="151" spans="1:14" x14ac:dyDescent="0.25">
      <c r="A151" s="2">
        <v>150</v>
      </c>
      <c r="B151" s="3">
        <v>7606379</v>
      </c>
      <c r="C151" s="2" t="s">
        <v>189</v>
      </c>
      <c r="D151" s="3">
        <v>2</v>
      </c>
      <c r="E151" s="2">
        <v>76</v>
      </c>
      <c r="F151" s="2" t="str">
        <f t="shared" si="5"/>
        <v>EJECUTIVO</v>
      </c>
      <c r="G151" s="2" t="str">
        <f>"14101030112008"</f>
        <v>14101030112008</v>
      </c>
      <c r="I151">
        <v>20</v>
      </c>
      <c r="J151" s="3">
        <v>2</v>
      </c>
      <c r="K151" s="2">
        <v>39</v>
      </c>
      <c r="L151" s="3" t="s">
        <v>2</v>
      </c>
      <c r="M151" s="4">
        <v>38990</v>
      </c>
      <c r="N151" s="3">
        <v>140</v>
      </c>
    </row>
    <row r="152" spans="1:14" x14ac:dyDescent="0.25">
      <c r="A152" s="2">
        <v>151</v>
      </c>
      <c r="B152" s="3">
        <v>7606380</v>
      </c>
      <c r="C152" s="2" t="s">
        <v>189</v>
      </c>
      <c r="D152" s="3">
        <v>2</v>
      </c>
      <c r="E152" s="2">
        <v>76</v>
      </c>
      <c r="F152" s="2" t="str">
        <f t="shared" si="5"/>
        <v>EJECUTIVO</v>
      </c>
      <c r="G152" s="2" t="str">
        <f>"14101030112010"</f>
        <v>14101030112010</v>
      </c>
      <c r="I152">
        <v>20</v>
      </c>
      <c r="J152" s="3">
        <v>2</v>
      </c>
      <c r="K152" s="2">
        <v>9</v>
      </c>
      <c r="L152" s="3" t="s">
        <v>2</v>
      </c>
      <c r="M152" s="4">
        <v>38990</v>
      </c>
      <c r="N152" s="3">
        <v>140</v>
      </c>
    </row>
    <row r="153" spans="1:14" x14ac:dyDescent="0.25">
      <c r="A153" s="2">
        <v>152</v>
      </c>
      <c r="B153" s="3">
        <v>7606381</v>
      </c>
      <c r="C153" s="2" t="s">
        <v>189</v>
      </c>
      <c r="D153" s="3">
        <v>2</v>
      </c>
      <c r="E153" s="2">
        <v>76</v>
      </c>
      <c r="F153" s="2" t="str">
        <f t="shared" si="5"/>
        <v>EJECUTIVO</v>
      </c>
      <c r="G153" s="2" t="str">
        <f>"14101030112011"</f>
        <v>14101030112011</v>
      </c>
      <c r="I153">
        <v>20</v>
      </c>
      <c r="J153" s="3">
        <v>2</v>
      </c>
      <c r="K153" s="2">
        <v>9</v>
      </c>
      <c r="L153" s="3" t="s">
        <v>2</v>
      </c>
      <c r="M153" s="4">
        <v>38990</v>
      </c>
      <c r="N153" s="3">
        <v>140</v>
      </c>
    </row>
    <row r="154" spans="1:14" x14ac:dyDescent="0.25">
      <c r="A154" s="2">
        <v>153</v>
      </c>
      <c r="B154" s="3">
        <v>7606383</v>
      </c>
      <c r="C154" s="2" t="s">
        <v>189</v>
      </c>
      <c r="D154" s="3">
        <v>2</v>
      </c>
      <c r="E154" s="2">
        <v>76</v>
      </c>
      <c r="F154" s="2" t="str">
        <f t="shared" si="5"/>
        <v>EJECUTIVO</v>
      </c>
      <c r="G154" s="2" t="str">
        <f>"14101030112013"</f>
        <v>14101030112013</v>
      </c>
      <c r="I154">
        <v>20</v>
      </c>
      <c r="J154" s="3">
        <v>2</v>
      </c>
      <c r="K154" s="2">
        <v>9</v>
      </c>
      <c r="L154" s="3" t="s">
        <v>2</v>
      </c>
      <c r="M154" s="4">
        <v>38990</v>
      </c>
      <c r="N154" s="3">
        <v>140</v>
      </c>
    </row>
    <row r="155" spans="1:14" x14ac:dyDescent="0.25">
      <c r="A155" s="2">
        <v>154</v>
      </c>
      <c r="B155" s="3">
        <v>7606384</v>
      </c>
      <c r="C155" s="2" t="s">
        <v>189</v>
      </c>
      <c r="D155" s="3">
        <v>2</v>
      </c>
      <c r="E155" s="2">
        <v>76</v>
      </c>
      <c r="F155" s="2" t="str">
        <f t="shared" si="5"/>
        <v>EJECUTIVO</v>
      </c>
      <c r="G155" s="2" t="str">
        <f>"14101030112014"</f>
        <v>14101030112014</v>
      </c>
      <c r="I155">
        <v>20</v>
      </c>
      <c r="J155" s="3">
        <v>2</v>
      </c>
      <c r="K155" s="2">
        <v>9</v>
      </c>
      <c r="L155" s="3" t="s">
        <v>2</v>
      </c>
      <c r="M155" s="4">
        <v>38990</v>
      </c>
      <c r="N155" s="3">
        <v>140</v>
      </c>
    </row>
    <row r="156" spans="1:14" x14ac:dyDescent="0.25">
      <c r="A156" s="2">
        <v>155</v>
      </c>
      <c r="B156" s="3">
        <v>7606325</v>
      </c>
      <c r="C156" s="2" t="s">
        <v>185</v>
      </c>
      <c r="D156" s="3">
        <v>2</v>
      </c>
      <c r="E156" s="2">
        <v>76</v>
      </c>
      <c r="F156" s="2" t="str">
        <f>"RINO"</f>
        <v>RINO</v>
      </c>
      <c r="G156" s="2" t="str">
        <f>"14101030105006"</f>
        <v>14101030105006</v>
      </c>
      <c r="I156">
        <v>10</v>
      </c>
      <c r="J156" s="3">
        <v>1</v>
      </c>
      <c r="K156" s="2">
        <v>9</v>
      </c>
      <c r="L156" s="3" t="s">
        <v>2</v>
      </c>
      <c r="M156" s="4">
        <v>38990</v>
      </c>
      <c r="N156" s="3">
        <v>285</v>
      </c>
    </row>
    <row r="157" spans="1:14" x14ac:dyDescent="0.25">
      <c r="A157" s="2">
        <v>156</v>
      </c>
      <c r="B157" s="3">
        <v>7606375</v>
      </c>
      <c r="C157" s="2" t="s">
        <v>189</v>
      </c>
      <c r="D157" s="3">
        <v>2</v>
      </c>
      <c r="E157" s="2">
        <v>76</v>
      </c>
      <c r="F157" s="2" t="str">
        <f>"EJECUTIVO"</f>
        <v>EJECUTIVO</v>
      </c>
      <c r="G157" s="2" t="str">
        <f>"14101030112003"</f>
        <v>14101030112003</v>
      </c>
      <c r="I157">
        <v>20</v>
      </c>
      <c r="J157" s="3">
        <v>2</v>
      </c>
      <c r="K157" s="2">
        <v>39</v>
      </c>
      <c r="L157" s="3" t="s">
        <v>2</v>
      </c>
      <c r="M157" s="4">
        <v>38990</v>
      </c>
      <c r="N157" s="3">
        <v>140</v>
      </c>
    </row>
    <row r="158" spans="1:14" x14ac:dyDescent="0.25">
      <c r="A158" s="2">
        <v>157</v>
      </c>
      <c r="B158" s="3">
        <v>7606376</v>
      </c>
      <c r="C158" s="2" t="s">
        <v>189</v>
      </c>
      <c r="D158" s="3">
        <v>2</v>
      </c>
      <c r="E158" s="2">
        <v>76</v>
      </c>
      <c r="F158" s="2" t="str">
        <f>"EJECUTIVO"</f>
        <v>EJECUTIVO</v>
      </c>
      <c r="G158" s="2" t="str">
        <f>"14101030112004"</f>
        <v>14101030112004</v>
      </c>
      <c r="I158">
        <v>20</v>
      </c>
      <c r="J158" s="3">
        <v>2</v>
      </c>
      <c r="K158" s="2">
        <v>39</v>
      </c>
      <c r="L158" s="3" t="s">
        <v>2</v>
      </c>
      <c r="M158" s="4">
        <v>38990</v>
      </c>
      <c r="N158" s="3">
        <v>140</v>
      </c>
    </row>
    <row r="159" spans="1:14" x14ac:dyDescent="0.25">
      <c r="A159" s="2">
        <v>158</v>
      </c>
      <c r="B159" s="3">
        <v>7606377</v>
      </c>
      <c r="C159" s="2" t="s">
        <v>189</v>
      </c>
      <c r="D159" s="3">
        <v>2</v>
      </c>
      <c r="E159" s="2">
        <v>76</v>
      </c>
      <c r="F159" s="2" t="str">
        <f>"EJECUTIVO"</f>
        <v>EJECUTIVO</v>
      </c>
      <c r="G159" s="2" t="str">
        <f>"14101030112006"</f>
        <v>14101030112006</v>
      </c>
      <c r="I159">
        <v>20</v>
      </c>
      <c r="J159" s="3">
        <v>2</v>
      </c>
      <c r="K159" s="2">
        <v>39</v>
      </c>
      <c r="L159" s="3" t="s">
        <v>2</v>
      </c>
      <c r="M159" s="4">
        <v>38990</v>
      </c>
      <c r="N159" s="3">
        <v>140</v>
      </c>
    </row>
    <row r="160" spans="1:14" x14ac:dyDescent="0.25">
      <c r="A160" s="2">
        <v>159</v>
      </c>
      <c r="B160" s="3">
        <v>6794402</v>
      </c>
      <c r="C160" s="2" t="s">
        <v>145</v>
      </c>
      <c r="D160" s="3">
        <v>1</v>
      </c>
      <c r="E160" s="2">
        <v>42</v>
      </c>
      <c r="F160" s="2" t="str">
        <f>"COMPAQ DC5800"</f>
        <v>COMPAQ DC5800</v>
      </c>
      <c r="G160" s="2" t="str">
        <f>"MXJ82807YL"</f>
        <v>MXJ82807YL</v>
      </c>
      <c r="I160">
        <v>2</v>
      </c>
      <c r="J160" s="3">
        <v>2</v>
      </c>
      <c r="K160" s="2">
        <v>30</v>
      </c>
      <c r="L160" s="3" t="s">
        <v>2</v>
      </c>
      <c r="M160" s="4">
        <v>39363</v>
      </c>
      <c r="N160" s="3">
        <v>640.87</v>
      </c>
    </row>
    <row r="161" spans="1:14" x14ac:dyDescent="0.25">
      <c r="A161" s="2">
        <v>160</v>
      </c>
      <c r="B161" s="3">
        <v>6794400</v>
      </c>
      <c r="C161" s="2" t="s">
        <v>145</v>
      </c>
      <c r="D161" s="3">
        <v>1</v>
      </c>
      <c r="E161" s="2">
        <v>42</v>
      </c>
      <c r="F161" s="2" t="str">
        <f>"COMPAQ DC5800"</f>
        <v>COMPAQ DC5800</v>
      </c>
      <c r="G161" s="2" t="str">
        <f>"MXJ8280959"</f>
        <v>MXJ8280959</v>
      </c>
      <c r="I161">
        <v>2</v>
      </c>
      <c r="J161" s="3">
        <v>2</v>
      </c>
      <c r="K161" s="2">
        <v>39</v>
      </c>
      <c r="L161" s="3" t="s">
        <v>2</v>
      </c>
      <c r="M161" s="4">
        <v>39363</v>
      </c>
      <c r="N161" s="3">
        <v>640.86</v>
      </c>
    </row>
    <row r="162" spans="1:14" x14ac:dyDescent="0.25">
      <c r="A162" s="2">
        <v>161</v>
      </c>
      <c r="B162" s="3">
        <v>6794438</v>
      </c>
      <c r="C162" s="2" t="s">
        <v>196</v>
      </c>
      <c r="D162" s="3">
        <v>1</v>
      </c>
      <c r="E162" s="2">
        <v>82</v>
      </c>
      <c r="F162" s="2" t="str">
        <f>"SATELLITE C845"</f>
        <v>SATELLITE C845</v>
      </c>
      <c r="G162" s="2" t="str">
        <f>"XC206776C"</f>
        <v>XC206776C</v>
      </c>
      <c r="I162">
        <v>13</v>
      </c>
      <c r="J162" s="3">
        <v>1</v>
      </c>
      <c r="K162" s="2">
        <v>4</v>
      </c>
      <c r="L162" s="3" t="s">
        <v>2</v>
      </c>
      <c r="M162" s="4">
        <v>37541</v>
      </c>
      <c r="N162" s="5">
        <v>1723</v>
      </c>
    </row>
    <row r="163" spans="1:14" x14ac:dyDescent="0.25">
      <c r="A163" s="2">
        <v>162</v>
      </c>
      <c r="B163" s="3">
        <v>6794568</v>
      </c>
      <c r="C163" s="2" t="s">
        <v>192</v>
      </c>
      <c r="D163" s="3">
        <v>1</v>
      </c>
      <c r="E163" s="2">
        <v>42</v>
      </c>
      <c r="F163" s="2" t="str">
        <f>"2420 DN"</f>
        <v>2420 DN</v>
      </c>
      <c r="G163" s="2" t="str">
        <f>"CNGKL12696"</f>
        <v>CNGKL12696</v>
      </c>
      <c r="I163">
        <v>23</v>
      </c>
      <c r="J163" s="3">
        <v>1</v>
      </c>
      <c r="K163" s="2">
        <v>34</v>
      </c>
      <c r="L163" s="3" t="s">
        <v>2</v>
      </c>
      <c r="M163" s="4">
        <v>38962</v>
      </c>
      <c r="N163" s="3">
        <v>788</v>
      </c>
    </row>
    <row r="164" spans="1:14" x14ac:dyDescent="0.25">
      <c r="A164" s="2">
        <v>163</v>
      </c>
      <c r="B164" s="3">
        <v>7602828</v>
      </c>
      <c r="C164" s="2" t="s">
        <v>193</v>
      </c>
      <c r="D164" s="3">
        <v>1</v>
      </c>
      <c r="E164" s="2">
        <v>81</v>
      </c>
      <c r="F164" s="2" t="str">
        <f>"LS 2208"</f>
        <v>LS 2208</v>
      </c>
      <c r="G164" s="2" t="str">
        <f>"MHYCAM"</f>
        <v>MHYCAM</v>
      </c>
      <c r="I164">
        <v>13</v>
      </c>
      <c r="J164" s="3">
        <v>1</v>
      </c>
      <c r="K164" s="2">
        <v>4</v>
      </c>
      <c r="L164" s="3" t="s">
        <v>2</v>
      </c>
      <c r="M164" s="4">
        <v>39195</v>
      </c>
      <c r="N164" s="3">
        <v>155</v>
      </c>
    </row>
    <row r="165" spans="1:14" x14ac:dyDescent="0.25">
      <c r="A165" s="2">
        <v>164</v>
      </c>
      <c r="B165" s="3">
        <v>7602829</v>
      </c>
      <c r="C165" s="2" t="s">
        <v>194</v>
      </c>
      <c r="D165" s="3">
        <v>1</v>
      </c>
      <c r="E165" s="2">
        <v>53</v>
      </c>
      <c r="F165" s="2" t="str">
        <f>"EXPLORIST 500"</f>
        <v>EXPLORIST 500</v>
      </c>
      <c r="G165" s="2" t="str">
        <f>"0118640035020"</f>
        <v>0118640035020</v>
      </c>
      <c r="I165">
        <v>13</v>
      </c>
      <c r="J165" s="3">
        <v>3</v>
      </c>
      <c r="K165" s="2">
        <v>39</v>
      </c>
      <c r="L165" s="3" t="s">
        <v>2</v>
      </c>
      <c r="M165" s="4">
        <v>39218</v>
      </c>
      <c r="N165" s="3">
        <v>440</v>
      </c>
    </row>
    <row r="166" spans="1:14" x14ac:dyDescent="0.25">
      <c r="A166" s="2">
        <v>165</v>
      </c>
      <c r="B166" s="3">
        <v>6794523</v>
      </c>
      <c r="C166" s="2" t="s">
        <v>195</v>
      </c>
      <c r="D166" s="3">
        <v>1</v>
      </c>
      <c r="E166" s="2">
        <v>74</v>
      </c>
      <c r="F166" s="2" t="str">
        <f>"920NW"</f>
        <v>920NW</v>
      </c>
      <c r="G166" s="2" t="str">
        <f>"LS19HANKBM XAA"</f>
        <v>LS19HANKBM XAA</v>
      </c>
      <c r="I166">
        <v>20</v>
      </c>
      <c r="J166" s="3">
        <v>1</v>
      </c>
      <c r="K166" s="2">
        <v>8</v>
      </c>
      <c r="L166" s="3" t="s">
        <v>2</v>
      </c>
      <c r="M166" s="4">
        <v>39363</v>
      </c>
      <c r="N166" s="3">
        <v>114.07</v>
      </c>
    </row>
    <row r="167" spans="1:14" x14ac:dyDescent="0.25">
      <c r="A167" s="2">
        <v>166</v>
      </c>
      <c r="B167" s="3">
        <v>6794524</v>
      </c>
      <c r="C167" s="2" t="s">
        <v>195</v>
      </c>
      <c r="D167" s="3">
        <v>1</v>
      </c>
      <c r="E167" s="2">
        <v>42</v>
      </c>
      <c r="F167" s="2" t="str">
        <f>"L1710"</f>
        <v>L1710</v>
      </c>
      <c r="G167" s="2" t="str">
        <f>"3CQ8180PJL"</f>
        <v>3CQ8180PJL</v>
      </c>
      <c r="I167">
        <v>22</v>
      </c>
      <c r="J167" s="3">
        <v>1</v>
      </c>
      <c r="K167" s="2">
        <v>2</v>
      </c>
      <c r="L167" s="3" t="s">
        <v>2</v>
      </c>
      <c r="M167" s="4">
        <v>39363</v>
      </c>
      <c r="N167" s="3">
        <v>114.07</v>
      </c>
    </row>
    <row r="168" spans="1:14" x14ac:dyDescent="0.25">
      <c r="A168" s="2">
        <v>167</v>
      </c>
      <c r="B168" s="3">
        <v>6794527</v>
      </c>
      <c r="C168" s="2" t="s">
        <v>195</v>
      </c>
      <c r="D168" s="3">
        <v>1</v>
      </c>
      <c r="E168" s="2">
        <v>42</v>
      </c>
      <c r="F168" s="2" t="str">
        <f>"L1710"</f>
        <v>L1710</v>
      </c>
      <c r="G168" s="2" t="str">
        <f>"3CQ8180HD3"</f>
        <v>3CQ8180HD3</v>
      </c>
      <c r="I168">
        <v>22</v>
      </c>
      <c r="J168" s="3">
        <v>1</v>
      </c>
      <c r="K168" s="2">
        <v>39</v>
      </c>
      <c r="L168" s="3" t="s">
        <v>2</v>
      </c>
      <c r="M168" s="4">
        <v>39363</v>
      </c>
      <c r="N168" s="3">
        <v>114.07</v>
      </c>
    </row>
    <row r="169" spans="1:14" x14ac:dyDescent="0.25">
      <c r="A169" s="2">
        <v>168</v>
      </c>
      <c r="B169" s="3">
        <v>13382697</v>
      </c>
      <c r="C169" s="2" t="s">
        <v>197</v>
      </c>
      <c r="D169" s="3">
        <v>1</v>
      </c>
      <c r="E169" s="2">
        <v>38</v>
      </c>
      <c r="F169" s="2" t="str">
        <f>"GMO3006A"</f>
        <v>GMO3006A</v>
      </c>
      <c r="G169" s="2" t="str">
        <f>"12170600215"</f>
        <v>12170600215</v>
      </c>
      <c r="I169">
        <v>23</v>
      </c>
      <c r="J169" s="3">
        <v>1</v>
      </c>
      <c r="K169" s="2">
        <v>4</v>
      </c>
      <c r="L169" s="3" t="s">
        <v>2</v>
      </c>
      <c r="M169" s="4">
        <v>39363</v>
      </c>
      <c r="N169" s="3">
        <v>4.93</v>
      </c>
    </row>
    <row r="170" spans="1:14" x14ac:dyDescent="0.25">
      <c r="A170" s="2">
        <v>169</v>
      </c>
      <c r="B170" s="3">
        <v>13382694</v>
      </c>
      <c r="C170" s="2" t="s">
        <v>197</v>
      </c>
      <c r="D170" s="3">
        <v>1</v>
      </c>
      <c r="E170" s="2">
        <v>70</v>
      </c>
      <c r="F170" s="2" t="str">
        <f>"S/MODELO"</f>
        <v>S/MODELO</v>
      </c>
      <c r="G170" s="2" t="str">
        <f>"63445070104006"</f>
        <v>63445070104006</v>
      </c>
      <c r="I170">
        <v>20</v>
      </c>
      <c r="J170" s="3">
        <v>1</v>
      </c>
      <c r="K170" s="2">
        <v>39</v>
      </c>
      <c r="L170" s="3" t="s">
        <v>2</v>
      </c>
      <c r="M170" s="4">
        <v>39363</v>
      </c>
      <c r="N170" s="3">
        <v>4.93</v>
      </c>
    </row>
    <row r="171" spans="1:14" x14ac:dyDescent="0.25">
      <c r="A171" s="2">
        <v>170</v>
      </c>
      <c r="B171" s="3">
        <v>13382695</v>
      </c>
      <c r="C171" s="2" t="s">
        <v>197</v>
      </c>
      <c r="D171" s="3">
        <v>1</v>
      </c>
      <c r="E171" s="2">
        <v>38</v>
      </c>
      <c r="F171" s="2" t="str">
        <f>"GM 04003A"</f>
        <v>GM 04003A</v>
      </c>
      <c r="G171" s="2" t="str">
        <f>"147203704101"</f>
        <v>147203704101</v>
      </c>
      <c r="I171">
        <v>20</v>
      </c>
      <c r="J171" s="3">
        <v>1</v>
      </c>
      <c r="K171" s="2">
        <v>25</v>
      </c>
      <c r="L171" s="3" t="s">
        <v>2</v>
      </c>
      <c r="M171" s="4">
        <v>39363</v>
      </c>
      <c r="N171" s="3">
        <v>4.93</v>
      </c>
    </row>
    <row r="172" spans="1:14" x14ac:dyDescent="0.25">
      <c r="A172" s="2">
        <v>171</v>
      </c>
      <c r="B172" s="3">
        <v>13382655</v>
      </c>
      <c r="C172" s="2" t="s">
        <v>198</v>
      </c>
      <c r="D172" s="3">
        <v>1</v>
      </c>
      <c r="E172" s="2">
        <v>43</v>
      </c>
      <c r="F172" s="2" t="str">
        <f>"KB 9910"</f>
        <v>KB 9910</v>
      </c>
      <c r="G172" s="2" t="str">
        <f>"1S37L25511082157B"</f>
        <v>1S37L25511082157B</v>
      </c>
      <c r="I172">
        <v>20</v>
      </c>
      <c r="J172" s="3">
        <v>1</v>
      </c>
      <c r="K172" s="2">
        <v>39</v>
      </c>
      <c r="L172" s="3" t="s">
        <v>2</v>
      </c>
      <c r="M172" s="4">
        <v>39363</v>
      </c>
      <c r="N172" s="3">
        <v>10.4</v>
      </c>
    </row>
    <row r="173" spans="1:14" x14ac:dyDescent="0.25">
      <c r="A173" s="2">
        <v>172</v>
      </c>
      <c r="B173" s="3">
        <v>13382656</v>
      </c>
      <c r="C173" s="2" t="s">
        <v>198</v>
      </c>
      <c r="D173" s="3">
        <v>1</v>
      </c>
      <c r="E173" s="2">
        <v>38</v>
      </c>
      <c r="F173" s="2" t="str">
        <f>"K640"</f>
        <v>K640</v>
      </c>
      <c r="G173" s="2" t="str">
        <f>"ZM7305002164"</f>
        <v>ZM7305002164</v>
      </c>
      <c r="I173">
        <v>20</v>
      </c>
      <c r="J173" s="3">
        <v>1</v>
      </c>
      <c r="K173" s="2">
        <v>39</v>
      </c>
      <c r="L173" s="3" t="s">
        <v>2</v>
      </c>
      <c r="M173" s="4">
        <v>39363</v>
      </c>
      <c r="N173" s="3">
        <v>10.4</v>
      </c>
    </row>
    <row r="174" spans="1:14" x14ac:dyDescent="0.25">
      <c r="A174" s="2">
        <v>173</v>
      </c>
      <c r="B174" s="3">
        <v>13382658</v>
      </c>
      <c r="C174" s="2" t="s">
        <v>198</v>
      </c>
      <c r="D174" s="3">
        <v>1</v>
      </c>
      <c r="E174" s="2">
        <v>38</v>
      </c>
      <c r="F174" s="2" t="str">
        <f>"KL0210"</f>
        <v>KL0210</v>
      </c>
      <c r="G174" s="2" t="str">
        <f>"ZCA648101056"</f>
        <v>ZCA648101056</v>
      </c>
      <c r="I174">
        <v>13</v>
      </c>
      <c r="J174" s="3">
        <v>1</v>
      </c>
      <c r="K174" s="2">
        <v>4</v>
      </c>
      <c r="L174" s="3" t="s">
        <v>2</v>
      </c>
      <c r="M174" s="4">
        <v>39363</v>
      </c>
      <c r="N174" s="3">
        <v>10.4</v>
      </c>
    </row>
    <row r="175" spans="1:14" x14ac:dyDescent="0.25">
      <c r="A175" s="2">
        <v>174</v>
      </c>
      <c r="B175" s="3">
        <v>13382659</v>
      </c>
      <c r="C175" s="2" t="s">
        <v>198</v>
      </c>
      <c r="D175" s="3">
        <v>1</v>
      </c>
      <c r="E175" s="2">
        <v>42</v>
      </c>
      <c r="F175" s="2" t="str">
        <f>"SK2880"</f>
        <v>SK2880</v>
      </c>
      <c r="G175" s="2" t="str">
        <f>"BC2AA0FCPWQ4RV"</f>
        <v>BC2AA0FCPWQ4RV</v>
      </c>
      <c r="I175">
        <v>20</v>
      </c>
      <c r="J175" s="3">
        <v>1</v>
      </c>
      <c r="K175" s="2">
        <v>8</v>
      </c>
      <c r="L175" s="3" t="s">
        <v>2</v>
      </c>
      <c r="M175" s="4">
        <v>39363</v>
      </c>
      <c r="N175" s="3">
        <v>10.4</v>
      </c>
    </row>
    <row r="176" spans="1:14" x14ac:dyDescent="0.25">
      <c r="A176" s="2">
        <v>175</v>
      </c>
      <c r="B176" s="3">
        <v>13382698</v>
      </c>
      <c r="C176" s="2" t="s">
        <v>197</v>
      </c>
      <c r="D176" s="3">
        <v>1</v>
      </c>
      <c r="E176" s="2">
        <v>42</v>
      </c>
      <c r="F176" s="2" t="str">
        <f>"MOFXKO"</f>
        <v>MOFXKO</v>
      </c>
      <c r="G176" s="2" t="str">
        <f>"FCGLH0DHD2OAND"</f>
        <v>FCGLH0DHD2OAND</v>
      </c>
      <c r="I176">
        <v>20</v>
      </c>
      <c r="J176" s="3">
        <v>1</v>
      </c>
      <c r="K176" s="2">
        <v>39</v>
      </c>
      <c r="L176" s="3" t="s">
        <v>2</v>
      </c>
      <c r="M176" s="4">
        <v>39363</v>
      </c>
      <c r="N176" s="3">
        <v>4.93</v>
      </c>
    </row>
    <row r="177" spans="1:14" x14ac:dyDescent="0.25">
      <c r="A177" s="2">
        <v>176</v>
      </c>
      <c r="B177" s="3">
        <v>7602819</v>
      </c>
      <c r="C177" s="2" t="s">
        <v>199</v>
      </c>
      <c r="D177" s="3">
        <v>2</v>
      </c>
      <c r="E177" s="2">
        <v>76</v>
      </c>
      <c r="F177" s="2" t="str">
        <f>"SIN MODELO"</f>
        <v>SIN MODELO</v>
      </c>
      <c r="G177" s="2" t="str">
        <f>"14101040502001"</f>
        <v>14101040502001</v>
      </c>
      <c r="I177">
        <v>23</v>
      </c>
      <c r="J177" s="3">
        <v>1</v>
      </c>
      <c r="K177" s="2">
        <v>39</v>
      </c>
      <c r="L177" s="3" t="s">
        <v>2</v>
      </c>
      <c r="M177" s="4">
        <v>39447</v>
      </c>
      <c r="N177" s="3">
        <v>170.24</v>
      </c>
    </row>
    <row r="178" spans="1:14" x14ac:dyDescent="0.25">
      <c r="A178" s="2">
        <v>177</v>
      </c>
      <c r="B178" s="3">
        <v>7602820</v>
      </c>
      <c r="C178" s="2" t="s">
        <v>199</v>
      </c>
      <c r="D178" s="3">
        <v>2</v>
      </c>
      <c r="E178" s="2">
        <v>76</v>
      </c>
      <c r="F178" s="2" t="str">
        <f>"SIN MODELO"</f>
        <v>SIN MODELO</v>
      </c>
      <c r="G178" s="2" t="str">
        <f>"14101040502002"</f>
        <v>14101040502002</v>
      </c>
      <c r="I178">
        <v>2</v>
      </c>
      <c r="J178" s="3">
        <v>1</v>
      </c>
      <c r="K178" s="2">
        <v>39</v>
      </c>
      <c r="L178" s="3" t="s">
        <v>2</v>
      </c>
      <c r="M178" s="4">
        <v>39447</v>
      </c>
      <c r="N178" s="3">
        <v>240</v>
      </c>
    </row>
    <row r="179" spans="1:14" x14ac:dyDescent="0.25">
      <c r="A179" s="2">
        <v>178</v>
      </c>
      <c r="B179" s="3">
        <v>7606315</v>
      </c>
      <c r="C179" s="2" t="s">
        <v>280</v>
      </c>
      <c r="D179" s="3">
        <v>2</v>
      </c>
      <c r="E179" s="2">
        <v>76</v>
      </c>
      <c r="F179" s="2" t="str">
        <f>"MILENIO"</f>
        <v>MILENIO</v>
      </c>
      <c r="G179" s="2" t="str">
        <f>"14101030101005"</f>
        <v>14101030101005</v>
      </c>
      <c r="I179">
        <v>2</v>
      </c>
      <c r="J179" s="3">
        <v>1</v>
      </c>
      <c r="K179" s="2">
        <v>4</v>
      </c>
      <c r="L179" s="3" t="s">
        <v>2</v>
      </c>
      <c r="M179" s="4">
        <v>39447</v>
      </c>
      <c r="N179" s="3">
        <v>193.2</v>
      </c>
    </row>
    <row r="180" spans="1:14" x14ac:dyDescent="0.25">
      <c r="A180" s="2">
        <v>179</v>
      </c>
      <c r="B180" s="3">
        <v>7606341</v>
      </c>
      <c r="C180" s="2" t="s">
        <v>281</v>
      </c>
      <c r="D180" s="3">
        <v>2</v>
      </c>
      <c r="E180" s="2">
        <v>76</v>
      </c>
      <c r="F180" s="2" t="str">
        <f>"SIN MODELO"</f>
        <v>SIN MODELO</v>
      </c>
      <c r="G180" s="2" t="str">
        <f>"14101030106003"</f>
        <v>14101030106003</v>
      </c>
      <c r="I180">
        <v>10</v>
      </c>
      <c r="J180" s="3">
        <v>1</v>
      </c>
      <c r="K180" s="2">
        <v>34</v>
      </c>
      <c r="L180" s="3" t="s">
        <v>2</v>
      </c>
      <c r="M180" s="4">
        <v>39447</v>
      </c>
      <c r="N180" s="3">
        <v>231.84</v>
      </c>
    </row>
    <row r="181" spans="1:14" x14ac:dyDescent="0.25">
      <c r="A181" s="2">
        <v>180</v>
      </c>
      <c r="B181" s="3">
        <v>7606344</v>
      </c>
      <c r="C181" s="2" t="s">
        <v>200</v>
      </c>
      <c r="D181" s="3">
        <v>2</v>
      </c>
      <c r="E181" s="2">
        <v>76</v>
      </c>
      <c r="F181" s="2" t="str">
        <f>"SIN MODELO"</f>
        <v>SIN MODELO</v>
      </c>
      <c r="G181" s="2" t="str">
        <f>"14101030108001"</f>
        <v>14101030108001</v>
      </c>
      <c r="I181">
        <v>20</v>
      </c>
      <c r="J181" s="3">
        <v>1</v>
      </c>
      <c r="K181" s="2">
        <v>39</v>
      </c>
      <c r="L181" s="3" t="s">
        <v>2</v>
      </c>
      <c r="M181" s="4">
        <v>39447</v>
      </c>
      <c r="N181" s="3">
        <v>504</v>
      </c>
    </row>
    <row r="182" spans="1:14" x14ac:dyDescent="0.25">
      <c r="A182" s="2">
        <v>181</v>
      </c>
      <c r="B182" s="3">
        <v>7606346</v>
      </c>
      <c r="C182" s="2" t="s">
        <v>186</v>
      </c>
      <c r="D182" s="3">
        <v>2</v>
      </c>
      <c r="E182" s="2">
        <v>76</v>
      </c>
      <c r="F182" s="2" t="str">
        <f>"SIN MODELO"</f>
        <v>SIN MODELO</v>
      </c>
      <c r="G182" s="2" t="str">
        <f>"14101030109001"</f>
        <v>14101030109001</v>
      </c>
      <c r="I182">
        <v>19</v>
      </c>
      <c r="J182" s="3">
        <v>2</v>
      </c>
      <c r="K182" s="2">
        <v>30</v>
      </c>
      <c r="L182" s="3" t="s">
        <v>2</v>
      </c>
      <c r="M182" s="4">
        <v>39447</v>
      </c>
      <c r="N182" s="3">
        <v>151.19999999999999</v>
      </c>
    </row>
    <row r="183" spans="1:14" x14ac:dyDescent="0.25">
      <c r="A183" s="2">
        <v>182</v>
      </c>
      <c r="B183" s="3">
        <v>7606348</v>
      </c>
      <c r="C183" s="2" t="s">
        <v>273</v>
      </c>
      <c r="D183" s="3">
        <v>2</v>
      </c>
      <c r="E183" s="2">
        <v>76</v>
      </c>
      <c r="F183" s="2" t="str">
        <f>"EN U"</f>
        <v>EN U</v>
      </c>
      <c r="G183" s="2" t="str">
        <f>"14101030109003"</f>
        <v>14101030109003</v>
      </c>
      <c r="I183">
        <v>10</v>
      </c>
      <c r="J183" s="3">
        <v>1</v>
      </c>
      <c r="K183" s="2">
        <v>39</v>
      </c>
      <c r="L183" s="3" t="s">
        <v>2</v>
      </c>
      <c r="M183" s="4">
        <v>39447</v>
      </c>
      <c r="N183" s="3">
        <v>952</v>
      </c>
    </row>
    <row r="184" spans="1:14" x14ac:dyDescent="0.25">
      <c r="A184" s="2">
        <v>183</v>
      </c>
      <c r="B184" s="3">
        <v>13184239</v>
      </c>
      <c r="C184" s="2" t="s">
        <v>170</v>
      </c>
      <c r="D184" s="3">
        <v>2</v>
      </c>
      <c r="E184" s="2">
        <v>76</v>
      </c>
      <c r="F184" s="2" t="str">
        <f>"AEREO CURVO"</f>
        <v>AEREO CURVO</v>
      </c>
      <c r="G184" s="2" t="str">
        <f>"63445030101004"</f>
        <v>63445030101004</v>
      </c>
      <c r="I184">
        <v>10</v>
      </c>
      <c r="J184" s="3">
        <v>1</v>
      </c>
      <c r="K184" s="2">
        <v>8</v>
      </c>
      <c r="L184" s="3" t="s">
        <v>2</v>
      </c>
      <c r="M184" s="4">
        <v>39673</v>
      </c>
      <c r="N184" s="3">
        <v>70</v>
      </c>
    </row>
    <row r="185" spans="1:14" x14ac:dyDescent="0.25">
      <c r="A185" s="2">
        <v>184</v>
      </c>
      <c r="B185" s="3">
        <v>13184240</v>
      </c>
      <c r="C185" s="2" t="s">
        <v>170</v>
      </c>
      <c r="D185" s="3">
        <v>2</v>
      </c>
      <c r="E185" s="2">
        <v>76</v>
      </c>
      <c r="F185" s="2" t="str">
        <f>"AEREO CURVO"</f>
        <v>AEREO CURVO</v>
      </c>
      <c r="G185" s="2" t="str">
        <f>"63445030101005"</f>
        <v>63445030101005</v>
      </c>
      <c r="I185">
        <v>10</v>
      </c>
      <c r="J185" s="3">
        <v>1</v>
      </c>
      <c r="K185" s="2">
        <v>3</v>
      </c>
      <c r="L185" s="3" t="s">
        <v>2</v>
      </c>
      <c r="M185" s="4">
        <v>39673</v>
      </c>
      <c r="N185" s="3">
        <v>70</v>
      </c>
    </row>
    <row r="186" spans="1:14" x14ac:dyDescent="0.25">
      <c r="A186" s="2">
        <v>185</v>
      </c>
      <c r="B186" s="3">
        <v>6794437</v>
      </c>
      <c r="C186" s="2" t="s">
        <v>196</v>
      </c>
      <c r="D186" s="3">
        <v>1</v>
      </c>
      <c r="E186" s="2">
        <v>42</v>
      </c>
      <c r="F186" s="2" t="str">
        <f>"DV6933CL"</f>
        <v>DV6933CL</v>
      </c>
      <c r="G186" s="2" t="str">
        <f>"CNF8287TKN"</f>
        <v>CNF8287TKN</v>
      </c>
      <c r="I186">
        <v>20</v>
      </c>
      <c r="J186" s="3">
        <v>1</v>
      </c>
      <c r="K186" s="2">
        <v>37</v>
      </c>
      <c r="L186" s="3" t="s">
        <v>2</v>
      </c>
      <c r="M186" s="4">
        <v>39685</v>
      </c>
      <c r="N186" s="5">
        <v>1450</v>
      </c>
    </row>
    <row r="187" spans="1:14" x14ac:dyDescent="0.25">
      <c r="A187" s="2">
        <v>186</v>
      </c>
      <c r="B187" s="3">
        <v>6794453</v>
      </c>
      <c r="C187" s="2" t="s">
        <v>192</v>
      </c>
      <c r="D187" s="3">
        <v>1</v>
      </c>
      <c r="E187" s="2">
        <v>42</v>
      </c>
      <c r="F187" s="2" t="str">
        <f>"P2015"</f>
        <v>P2015</v>
      </c>
      <c r="G187" s="2" t="str">
        <f>"CNB2S39294"</f>
        <v>CNB2S39294</v>
      </c>
      <c r="I187">
        <v>17</v>
      </c>
      <c r="J187" s="3">
        <v>2</v>
      </c>
      <c r="K187" s="2">
        <v>39</v>
      </c>
      <c r="L187" s="3" t="s">
        <v>2</v>
      </c>
      <c r="M187" s="4">
        <v>39687</v>
      </c>
      <c r="N187" s="3">
        <v>281</v>
      </c>
    </row>
    <row r="188" spans="1:14" x14ac:dyDescent="0.25">
      <c r="A188" s="2">
        <v>187</v>
      </c>
      <c r="B188" s="3">
        <v>6794517</v>
      </c>
      <c r="C188" s="2" t="s">
        <v>201</v>
      </c>
      <c r="D188" s="3">
        <v>1</v>
      </c>
      <c r="E188" s="2">
        <v>25</v>
      </c>
      <c r="F188" s="2" t="str">
        <f>"KVM 440"</f>
        <v>KVM 440</v>
      </c>
      <c r="G188" s="2" t="str">
        <f>"BS6X1B2000025"</f>
        <v>BS6X1B2000025</v>
      </c>
      <c r="I188">
        <v>13</v>
      </c>
      <c r="J188" s="3">
        <v>1</v>
      </c>
      <c r="K188" s="2">
        <v>4</v>
      </c>
      <c r="L188" s="3" t="s">
        <v>2</v>
      </c>
      <c r="M188" s="4">
        <v>39688</v>
      </c>
      <c r="N188" s="3">
        <v>384</v>
      </c>
    </row>
    <row r="189" spans="1:14" x14ac:dyDescent="0.25">
      <c r="A189" s="2">
        <v>188</v>
      </c>
      <c r="B189" s="3">
        <v>13181987</v>
      </c>
      <c r="C189" s="2" t="s">
        <v>202</v>
      </c>
      <c r="D189" s="3">
        <v>1</v>
      </c>
      <c r="E189" s="2">
        <v>11</v>
      </c>
      <c r="F189" s="2" t="str">
        <f>"DR 120LB"</f>
        <v>DR 120LB</v>
      </c>
      <c r="G189" s="2" t="str">
        <f>"Q5134692"</f>
        <v>Q5134692</v>
      </c>
      <c r="I189">
        <v>20</v>
      </c>
      <c r="J189" s="3">
        <v>2</v>
      </c>
      <c r="K189" s="2">
        <v>34</v>
      </c>
      <c r="L189" s="3" t="s">
        <v>2</v>
      </c>
      <c r="M189" s="4">
        <v>39688</v>
      </c>
      <c r="N189" s="3">
        <v>36.049999999999997</v>
      </c>
    </row>
    <row r="190" spans="1:14" x14ac:dyDescent="0.25">
      <c r="A190" s="2">
        <v>189</v>
      </c>
      <c r="B190" s="3">
        <v>13182000</v>
      </c>
      <c r="C190" s="2" t="s">
        <v>203</v>
      </c>
      <c r="D190" s="3">
        <v>1</v>
      </c>
      <c r="E190" s="2">
        <v>58</v>
      </c>
      <c r="F190" s="2" t="str">
        <f>"KX TS500LXB"</f>
        <v>KX TS500LXB</v>
      </c>
      <c r="G190" s="2" t="str">
        <f>"8BBAC955117"</f>
        <v>8BBAC955117</v>
      </c>
      <c r="I190">
        <v>20</v>
      </c>
      <c r="J190" s="3">
        <v>1</v>
      </c>
      <c r="K190" s="2">
        <v>4</v>
      </c>
      <c r="L190" s="3" t="s">
        <v>2</v>
      </c>
      <c r="M190" s="4">
        <v>39688</v>
      </c>
      <c r="N190" s="3">
        <v>19</v>
      </c>
    </row>
    <row r="191" spans="1:14" x14ac:dyDescent="0.25">
      <c r="A191" s="2">
        <v>190</v>
      </c>
      <c r="B191" s="3">
        <v>6794449</v>
      </c>
      <c r="C191" s="2" t="s">
        <v>204</v>
      </c>
      <c r="D191" s="3">
        <v>1</v>
      </c>
      <c r="E191" s="2">
        <v>31</v>
      </c>
      <c r="F191" s="2" t="str">
        <f>"FX 890"</f>
        <v>FX 890</v>
      </c>
      <c r="G191" s="2" t="str">
        <f>"E8BY367268"</f>
        <v>E8BY367268</v>
      </c>
      <c r="I191">
        <v>13</v>
      </c>
      <c r="J191" s="3">
        <v>2</v>
      </c>
      <c r="K191" s="2">
        <v>39</v>
      </c>
      <c r="L191" s="3" t="s">
        <v>2</v>
      </c>
      <c r="M191" s="4">
        <v>39689</v>
      </c>
      <c r="N191" s="3">
        <v>426</v>
      </c>
    </row>
    <row r="192" spans="1:14" x14ac:dyDescent="0.25">
      <c r="A192" s="2">
        <v>191</v>
      </c>
      <c r="B192" s="3">
        <v>7602809</v>
      </c>
      <c r="C192" s="2" t="s">
        <v>205</v>
      </c>
      <c r="D192" s="3">
        <v>1</v>
      </c>
      <c r="E192" s="2">
        <v>50</v>
      </c>
      <c r="F192" s="2" t="str">
        <f>"32LG30R"</f>
        <v>32LG30R</v>
      </c>
      <c r="G192" s="2" t="str">
        <f>"805MXXQ1Y050"</f>
        <v>805MXXQ1Y050</v>
      </c>
      <c r="I192">
        <v>20</v>
      </c>
      <c r="J192" s="3">
        <v>1</v>
      </c>
      <c r="K192" s="2">
        <v>39</v>
      </c>
      <c r="L192" s="3" t="s">
        <v>2</v>
      </c>
      <c r="M192" s="4">
        <v>39689</v>
      </c>
      <c r="N192" s="3">
        <v>982.14</v>
      </c>
    </row>
    <row r="193" spans="1:14" x14ac:dyDescent="0.25">
      <c r="A193" s="2">
        <v>192</v>
      </c>
      <c r="B193" s="3">
        <v>7602810</v>
      </c>
      <c r="C193" s="2" t="s">
        <v>205</v>
      </c>
      <c r="D193" s="3">
        <v>1</v>
      </c>
      <c r="E193" s="2">
        <v>50</v>
      </c>
      <c r="F193" s="2" t="str">
        <f>"32PC5RVH"</f>
        <v>32PC5RVH</v>
      </c>
      <c r="G193" s="2" t="str">
        <f>"806RMQK097620"</f>
        <v>806RMQK097620</v>
      </c>
      <c r="I193">
        <v>20</v>
      </c>
      <c r="J193" s="3">
        <v>1</v>
      </c>
      <c r="K193" s="2">
        <v>9</v>
      </c>
      <c r="L193" s="3" t="s">
        <v>2</v>
      </c>
      <c r="M193" s="4">
        <v>39689</v>
      </c>
      <c r="N193" s="3">
        <v>776.79</v>
      </c>
    </row>
    <row r="194" spans="1:14" x14ac:dyDescent="0.25">
      <c r="A194" s="2">
        <v>193</v>
      </c>
      <c r="B194" s="3">
        <v>7602822</v>
      </c>
      <c r="C194" s="2" t="s">
        <v>206</v>
      </c>
      <c r="D194" s="3">
        <v>1</v>
      </c>
      <c r="E194" s="2">
        <v>20</v>
      </c>
      <c r="F194" s="2" t="str">
        <f>"FR 146"</f>
        <v>FR 146</v>
      </c>
      <c r="G194" s="2" t="str">
        <f>"TR08XEA9260143"</f>
        <v>TR08XEA9260143</v>
      </c>
      <c r="I194">
        <v>5</v>
      </c>
      <c r="J194" s="3">
        <v>1</v>
      </c>
      <c r="K194" s="2">
        <v>25</v>
      </c>
      <c r="L194" s="3" t="s">
        <v>2</v>
      </c>
      <c r="M194" s="4">
        <v>39689</v>
      </c>
      <c r="N194" s="3">
        <v>187.5</v>
      </c>
    </row>
    <row r="195" spans="1:14" x14ac:dyDescent="0.25">
      <c r="A195" s="2">
        <v>194</v>
      </c>
      <c r="B195" s="3">
        <v>7606326</v>
      </c>
      <c r="C195" s="2" t="s">
        <v>185</v>
      </c>
      <c r="D195" s="3">
        <v>2</v>
      </c>
      <c r="E195" s="2">
        <v>76</v>
      </c>
      <c r="F195" s="2" t="str">
        <f>"GERENTE"</f>
        <v>GERENTE</v>
      </c>
      <c r="G195" s="2" t="str">
        <f>"14101030105008"</f>
        <v>14101030105008</v>
      </c>
      <c r="I195">
        <v>10</v>
      </c>
      <c r="J195" s="3">
        <v>1</v>
      </c>
      <c r="K195" s="2">
        <v>8</v>
      </c>
      <c r="L195" s="3" t="s">
        <v>2</v>
      </c>
      <c r="M195" s="4">
        <v>39689</v>
      </c>
      <c r="N195" s="3">
        <v>220</v>
      </c>
    </row>
    <row r="196" spans="1:14" x14ac:dyDescent="0.25">
      <c r="A196" s="2">
        <v>195</v>
      </c>
      <c r="B196" s="3">
        <v>7606327</v>
      </c>
      <c r="C196" s="2" t="s">
        <v>185</v>
      </c>
      <c r="D196" s="3">
        <v>2</v>
      </c>
      <c r="E196" s="2">
        <v>76</v>
      </c>
      <c r="F196" s="2" t="str">
        <f t="shared" ref="F196:F203" si="6">"SIN MODELO"</f>
        <v>SIN MODELO</v>
      </c>
      <c r="G196" s="2" t="str">
        <f>"14101030105009"</f>
        <v>14101030105009</v>
      </c>
      <c r="I196">
        <v>10</v>
      </c>
      <c r="J196" s="3">
        <v>2</v>
      </c>
      <c r="K196" s="2">
        <v>25</v>
      </c>
      <c r="L196" s="3" t="s">
        <v>2</v>
      </c>
      <c r="M196" s="4">
        <v>39689</v>
      </c>
      <c r="N196" s="3">
        <v>170</v>
      </c>
    </row>
    <row r="197" spans="1:14" x14ac:dyDescent="0.25">
      <c r="A197" s="2">
        <v>196</v>
      </c>
      <c r="B197" s="3">
        <v>7606328</v>
      </c>
      <c r="C197" s="2" t="s">
        <v>185</v>
      </c>
      <c r="D197" s="3">
        <v>2</v>
      </c>
      <c r="E197" s="2">
        <v>76</v>
      </c>
      <c r="F197" s="2" t="str">
        <f t="shared" si="6"/>
        <v>SIN MODELO</v>
      </c>
      <c r="G197" s="2" t="str">
        <f>"14101030105010"</f>
        <v>14101030105010</v>
      </c>
      <c r="I197">
        <v>10</v>
      </c>
      <c r="J197" s="3">
        <v>2</v>
      </c>
      <c r="K197" s="2">
        <v>2</v>
      </c>
      <c r="L197" s="3" t="s">
        <v>2</v>
      </c>
      <c r="M197" s="4">
        <v>39689</v>
      </c>
      <c r="N197" s="3">
        <v>170</v>
      </c>
    </row>
    <row r="198" spans="1:14" x14ac:dyDescent="0.25">
      <c r="A198" s="2">
        <v>197</v>
      </c>
      <c r="B198" s="3">
        <v>7606329</v>
      </c>
      <c r="C198" s="2" t="s">
        <v>185</v>
      </c>
      <c r="D198" s="3">
        <v>2</v>
      </c>
      <c r="E198" s="2">
        <v>76</v>
      </c>
      <c r="F198" s="2" t="str">
        <f t="shared" si="6"/>
        <v>SIN MODELO</v>
      </c>
      <c r="G198" s="2" t="str">
        <f>"14101030105011"</f>
        <v>14101030105011</v>
      </c>
      <c r="I198">
        <v>10</v>
      </c>
      <c r="J198" s="3">
        <v>1</v>
      </c>
      <c r="K198" s="2">
        <v>3</v>
      </c>
      <c r="L198" s="3" t="s">
        <v>2</v>
      </c>
      <c r="M198" s="4">
        <v>39689</v>
      </c>
      <c r="N198" s="3">
        <v>170</v>
      </c>
    </row>
    <row r="199" spans="1:14" x14ac:dyDescent="0.25">
      <c r="A199" s="2">
        <v>198</v>
      </c>
      <c r="B199" s="3">
        <v>7606330</v>
      </c>
      <c r="C199" s="2" t="s">
        <v>185</v>
      </c>
      <c r="D199" s="3">
        <v>2</v>
      </c>
      <c r="E199" s="2">
        <v>76</v>
      </c>
      <c r="F199" s="2" t="str">
        <f t="shared" si="6"/>
        <v>SIN MODELO</v>
      </c>
      <c r="G199" s="2" t="str">
        <f>"14101030105012"</f>
        <v>14101030105012</v>
      </c>
      <c r="I199">
        <v>10</v>
      </c>
      <c r="J199" s="3">
        <v>2</v>
      </c>
      <c r="K199" s="2">
        <v>30</v>
      </c>
      <c r="L199" s="3" t="s">
        <v>2</v>
      </c>
      <c r="M199" s="4">
        <v>39689</v>
      </c>
      <c r="N199" s="3">
        <v>170</v>
      </c>
    </row>
    <row r="200" spans="1:14" x14ac:dyDescent="0.25">
      <c r="A200" s="2">
        <v>199</v>
      </c>
      <c r="B200" s="3">
        <v>7606331</v>
      </c>
      <c r="C200" s="2" t="s">
        <v>185</v>
      </c>
      <c r="D200" s="3">
        <v>2</v>
      </c>
      <c r="E200" s="2">
        <v>76</v>
      </c>
      <c r="F200" s="2" t="str">
        <f t="shared" si="6"/>
        <v>SIN MODELO</v>
      </c>
      <c r="G200" s="2" t="str">
        <f>"14101030105013"</f>
        <v>14101030105013</v>
      </c>
      <c r="I200">
        <v>10</v>
      </c>
      <c r="J200" s="3">
        <v>2</v>
      </c>
      <c r="K200" s="2">
        <v>18</v>
      </c>
      <c r="L200" s="3" t="s">
        <v>2</v>
      </c>
      <c r="M200" s="4">
        <v>39689</v>
      </c>
      <c r="N200" s="3">
        <v>170</v>
      </c>
    </row>
    <row r="201" spans="1:14" x14ac:dyDescent="0.25">
      <c r="A201" s="2">
        <v>200</v>
      </c>
      <c r="B201" s="3">
        <v>7606332</v>
      </c>
      <c r="C201" s="2" t="s">
        <v>185</v>
      </c>
      <c r="D201" s="3">
        <v>2</v>
      </c>
      <c r="E201" s="2">
        <v>76</v>
      </c>
      <c r="F201" s="2" t="str">
        <f t="shared" si="6"/>
        <v>SIN MODELO</v>
      </c>
      <c r="G201" s="2" t="str">
        <f>"14101030105014"</f>
        <v>14101030105014</v>
      </c>
      <c r="I201">
        <v>10</v>
      </c>
      <c r="J201" s="3">
        <v>2</v>
      </c>
      <c r="K201" s="2">
        <v>8</v>
      </c>
      <c r="L201" s="3" t="s">
        <v>2</v>
      </c>
      <c r="M201" s="4">
        <v>39689</v>
      </c>
      <c r="N201" s="3">
        <v>170</v>
      </c>
    </row>
    <row r="202" spans="1:14" x14ac:dyDescent="0.25">
      <c r="A202" s="2">
        <v>201</v>
      </c>
      <c r="B202" s="3">
        <v>7606333</v>
      </c>
      <c r="C202" s="2" t="s">
        <v>185</v>
      </c>
      <c r="D202" s="3">
        <v>2</v>
      </c>
      <c r="E202" s="2">
        <v>76</v>
      </c>
      <c r="F202" s="2" t="str">
        <f t="shared" si="6"/>
        <v>SIN MODELO</v>
      </c>
      <c r="G202" s="2" t="str">
        <f>"14101030105015"</f>
        <v>14101030105015</v>
      </c>
      <c r="I202">
        <v>10</v>
      </c>
      <c r="J202" s="3">
        <v>2</v>
      </c>
      <c r="K202" s="2">
        <v>37</v>
      </c>
      <c r="L202" s="3" t="s">
        <v>2</v>
      </c>
      <c r="M202" s="4">
        <v>39689</v>
      </c>
      <c r="N202" s="3">
        <v>170</v>
      </c>
    </row>
    <row r="203" spans="1:14" x14ac:dyDescent="0.25">
      <c r="A203" s="2">
        <v>202</v>
      </c>
      <c r="B203" s="3">
        <v>7606334</v>
      </c>
      <c r="C203" s="2" t="s">
        <v>185</v>
      </c>
      <c r="D203" s="3">
        <v>2</v>
      </c>
      <c r="E203" s="2">
        <v>76</v>
      </c>
      <c r="F203" s="2" t="str">
        <f t="shared" si="6"/>
        <v>SIN MODELO</v>
      </c>
      <c r="G203" s="2" t="str">
        <f>"14101030105016"</f>
        <v>14101030105016</v>
      </c>
      <c r="I203">
        <v>10</v>
      </c>
      <c r="J203" s="3">
        <v>2</v>
      </c>
      <c r="K203" s="2">
        <v>29</v>
      </c>
      <c r="L203" s="3" t="s">
        <v>2</v>
      </c>
      <c r="M203" s="4">
        <v>39689</v>
      </c>
      <c r="N203" s="3">
        <v>170</v>
      </c>
    </row>
    <row r="204" spans="1:14" x14ac:dyDescent="0.25">
      <c r="A204" s="2">
        <v>203</v>
      </c>
      <c r="B204" s="3">
        <v>13184391</v>
      </c>
      <c r="C204" s="2" t="s">
        <v>177</v>
      </c>
      <c r="D204" s="3">
        <v>2</v>
      </c>
      <c r="E204" s="2">
        <v>76</v>
      </c>
      <c r="F204" s="2" t="str">
        <f t="shared" ref="F204:F216" si="7">"APILABLE"</f>
        <v>APILABLE</v>
      </c>
      <c r="G204" s="2" t="str">
        <f>"63445030113150"</f>
        <v>63445030113150</v>
      </c>
      <c r="I204">
        <v>20</v>
      </c>
      <c r="J204" s="3">
        <v>1</v>
      </c>
      <c r="K204" s="2">
        <v>9</v>
      </c>
      <c r="L204" s="3" t="s">
        <v>2</v>
      </c>
      <c r="M204" s="4">
        <v>39689</v>
      </c>
      <c r="N204" s="3">
        <v>26</v>
      </c>
    </row>
    <row r="205" spans="1:14" x14ac:dyDescent="0.25">
      <c r="A205" s="2">
        <v>204</v>
      </c>
      <c r="B205" s="3">
        <v>13184392</v>
      </c>
      <c r="C205" s="2" t="s">
        <v>177</v>
      </c>
      <c r="D205" s="3">
        <v>2</v>
      </c>
      <c r="E205" s="2">
        <v>76</v>
      </c>
      <c r="F205" s="2" t="str">
        <f t="shared" si="7"/>
        <v>APILABLE</v>
      </c>
      <c r="G205" s="2" t="str">
        <f>"63445030113151"</f>
        <v>63445030113151</v>
      </c>
      <c r="I205">
        <v>20</v>
      </c>
      <c r="J205" s="3">
        <v>1</v>
      </c>
      <c r="K205" s="2">
        <v>9</v>
      </c>
      <c r="L205" s="3" t="s">
        <v>2</v>
      </c>
      <c r="M205" s="4">
        <v>39689</v>
      </c>
      <c r="N205" s="3">
        <v>26</v>
      </c>
    </row>
    <row r="206" spans="1:14" x14ac:dyDescent="0.25">
      <c r="A206" s="2">
        <v>205</v>
      </c>
      <c r="B206" s="3">
        <v>13184393</v>
      </c>
      <c r="C206" s="2" t="s">
        <v>177</v>
      </c>
      <c r="D206" s="3">
        <v>2</v>
      </c>
      <c r="E206" s="2">
        <v>76</v>
      </c>
      <c r="F206" s="2" t="str">
        <f t="shared" si="7"/>
        <v>APILABLE</v>
      </c>
      <c r="G206" s="2" t="str">
        <f>"63445030113152"</f>
        <v>63445030113152</v>
      </c>
      <c r="I206">
        <v>20</v>
      </c>
      <c r="J206" s="3">
        <v>1</v>
      </c>
      <c r="K206" s="2">
        <v>26</v>
      </c>
      <c r="L206" s="3" t="s">
        <v>2</v>
      </c>
      <c r="M206" s="4">
        <v>39689</v>
      </c>
      <c r="N206" s="3">
        <v>26</v>
      </c>
    </row>
    <row r="207" spans="1:14" x14ac:dyDescent="0.25">
      <c r="A207" s="2">
        <v>206</v>
      </c>
      <c r="B207" s="3">
        <v>13184394</v>
      </c>
      <c r="C207" s="2" t="s">
        <v>177</v>
      </c>
      <c r="D207" s="3">
        <v>2</v>
      </c>
      <c r="E207" s="2">
        <v>76</v>
      </c>
      <c r="F207" s="2" t="str">
        <f t="shared" si="7"/>
        <v>APILABLE</v>
      </c>
      <c r="G207" s="2" t="str">
        <f>"63445030113153"</f>
        <v>63445030113153</v>
      </c>
      <c r="I207">
        <v>20</v>
      </c>
      <c r="J207" s="3">
        <v>1</v>
      </c>
      <c r="K207" s="2">
        <v>26</v>
      </c>
      <c r="L207" s="3" t="s">
        <v>2</v>
      </c>
      <c r="M207" s="4">
        <v>39689</v>
      </c>
      <c r="N207" s="3">
        <v>26</v>
      </c>
    </row>
    <row r="208" spans="1:14" x14ac:dyDescent="0.25">
      <c r="A208" s="2">
        <v>207</v>
      </c>
      <c r="B208" s="3">
        <v>13184395</v>
      </c>
      <c r="C208" s="2" t="s">
        <v>177</v>
      </c>
      <c r="D208" s="3">
        <v>2</v>
      </c>
      <c r="E208" s="2">
        <v>76</v>
      </c>
      <c r="F208" s="2" t="str">
        <f t="shared" si="7"/>
        <v>APILABLE</v>
      </c>
      <c r="G208" s="2" t="str">
        <f>"63445030113154"</f>
        <v>63445030113154</v>
      </c>
      <c r="I208">
        <v>20</v>
      </c>
      <c r="J208" s="3">
        <v>1</v>
      </c>
      <c r="K208" s="2">
        <v>9</v>
      </c>
      <c r="L208" s="3" t="s">
        <v>2</v>
      </c>
      <c r="M208" s="4">
        <v>39689</v>
      </c>
      <c r="N208" s="3">
        <v>26</v>
      </c>
    </row>
    <row r="209" spans="1:14" x14ac:dyDescent="0.25">
      <c r="A209" s="2">
        <v>208</v>
      </c>
      <c r="B209" s="3">
        <v>13184396</v>
      </c>
      <c r="C209" s="2" t="s">
        <v>177</v>
      </c>
      <c r="D209" s="3">
        <v>2</v>
      </c>
      <c r="E209" s="2">
        <v>76</v>
      </c>
      <c r="F209" s="2" t="str">
        <f t="shared" si="7"/>
        <v>APILABLE</v>
      </c>
      <c r="G209" s="2" t="str">
        <f>"63445030113155"</f>
        <v>63445030113155</v>
      </c>
      <c r="I209">
        <v>20</v>
      </c>
      <c r="J209" s="3">
        <v>1</v>
      </c>
      <c r="K209" s="2">
        <v>9</v>
      </c>
      <c r="L209" s="3" t="s">
        <v>2</v>
      </c>
      <c r="M209" s="4">
        <v>39689</v>
      </c>
      <c r="N209" s="3">
        <v>26</v>
      </c>
    </row>
    <row r="210" spans="1:14" x14ac:dyDescent="0.25">
      <c r="A210" s="2">
        <v>209</v>
      </c>
      <c r="B210" s="3">
        <v>13184397</v>
      </c>
      <c r="C210" s="2" t="s">
        <v>177</v>
      </c>
      <c r="D210" s="3">
        <v>2</v>
      </c>
      <c r="E210" s="2">
        <v>76</v>
      </c>
      <c r="F210" s="2" t="str">
        <f t="shared" si="7"/>
        <v>APILABLE</v>
      </c>
      <c r="G210" s="2" t="str">
        <f>"63445030113156"</f>
        <v>63445030113156</v>
      </c>
      <c r="I210">
        <v>20</v>
      </c>
      <c r="J210" s="3">
        <v>2</v>
      </c>
      <c r="K210" s="2">
        <v>9</v>
      </c>
      <c r="L210" s="3" t="s">
        <v>2</v>
      </c>
      <c r="M210" s="4">
        <v>39689</v>
      </c>
      <c r="N210" s="3">
        <v>26</v>
      </c>
    </row>
    <row r="211" spans="1:14" x14ac:dyDescent="0.25">
      <c r="A211" s="2">
        <v>210</v>
      </c>
      <c r="B211" s="3">
        <v>13184398</v>
      </c>
      <c r="C211" s="2" t="s">
        <v>177</v>
      </c>
      <c r="D211" s="3">
        <v>2</v>
      </c>
      <c r="E211" s="2">
        <v>76</v>
      </c>
      <c r="F211" s="2" t="str">
        <f t="shared" si="7"/>
        <v>APILABLE</v>
      </c>
      <c r="G211" s="2" t="str">
        <f>"63445030113157"</f>
        <v>63445030113157</v>
      </c>
      <c r="I211">
        <v>20</v>
      </c>
      <c r="J211" s="3">
        <v>2</v>
      </c>
      <c r="K211" s="2">
        <v>9</v>
      </c>
      <c r="L211" s="3" t="s">
        <v>2</v>
      </c>
      <c r="M211" s="4">
        <v>39689</v>
      </c>
      <c r="N211" s="3">
        <v>26</v>
      </c>
    </row>
    <row r="212" spans="1:14" x14ac:dyDescent="0.25">
      <c r="A212" s="2">
        <v>211</v>
      </c>
      <c r="B212" s="3">
        <v>13184399</v>
      </c>
      <c r="C212" s="2" t="s">
        <v>177</v>
      </c>
      <c r="D212" s="3">
        <v>2</v>
      </c>
      <c r="E212" s="2">
        <v>76</v>
      </c>
      <c r="F212" s="2" t="str">
        <f t="shared" si="7"/>
        <v>APILABLE</v>
      </c>
      <c r="G212" s="2" t="str">
        <f>"63445030113158"</f>
        <v>63445030113158</v>
      </c>
      <c r="I212">
        <v>20</v>
      </c>
      <c r="J212" s="3">
        <v>1</v>
      </c>
      <c r="K212" s="2">
        <v>25</v>
      </c>
      <c r="L212" s="3" t="s">
        <v>2</v>
      </c>
      <c r="M212" s="4">
        <v>39689</v>
      </c>
      <c r="N212" s="3">
        <v>26</v>
      </c>
    </row>
    <row r="213" spans="1:14" x14ac:dyDescent="0.25">
      <c r="A213" s="2">
        <v>212</v>
      </c>
      <c r="B213" s="3">
        <v>13184400</v>
      </c>
      <c r="C213" s="2" t="s">
        <v>177</v>
      </c>
      <c r="D213" s="3">
        <v>2</v>
      </c>
      <c r="E213" s="2">
        <v>76</v>
      </c>
      <c r="F213" s="2" t="str">
        <f t="shared" si="7"/>
        <v>APILABLE</v>
      </c>
      <c r="G213" s="2" t="str">
        <f>"63445030113159"</f>
        <v>63445030113159</v>
      </c>
      <c r="I213">
        <v>20</v>
      </c>
      <c r="J213" s="3">
        <v>1</v>
      </c>
      <c r="K213" s="2">
        <v>18</v>
      </c>
      <c r="L213" s="3" t="s">
        <v>2</v>
      </c>
      <c r="M213" s="4">
        <v>39689</v>
      </c>
      <c r="N213" s="3">
        <v>26</v>
      </c>
    </row>
    <row r="214" spans="1:14" x14ac:dyDescent="0.25">
      <c r="A214" s="2">
        <v>213</v>
      </c>
      <c r="B214" s="3">
        <v>13184401</v>
      </c>
      <c r="C214" s="2" t="s">
        <v>177</v>
      </c>
      <c r="D214" s="3">
        <v>2</v>
      </c>
      <c r="E214" s="2">
        <v>76</v>
      </c>
      <c r="F214" s="2" t="str">
        <f t="shared" si="7"/>
        <v>APILABLE</v>
      </c>
      <c r="G214" s="2" t="str">
        <f>"63445030113160"</f>
        <v>63445030113160</v>
      </c>
      <c r="I214">
        <v>20</v>
      </c>
      <c r="J214" s="3">
        <v>1</v>
      </c>
      <c r="K214" s="2">
        <v>9</v>
      </c>
      <c r="L214" s="3" t="s">
        <v>2</v>
      </c>
      <c r="M214" s="4">
        <v>39689</v>
      </c>
      <c r="N214" s="3">
        <v>26</v>
      </c>
    </row>
    <row r="215" spans="1:14" x14ac:dyDescent="0.25">
      <c r="A215" s="2">
        <v>214</v>
      </c>
      <c r="B215" s="3">
        <v>13184402</v>
      </c>
      <c r="C215" s="2" t="s">
        <v>177</v>
      </c>
      <c r="D215" s="3">
        <v>2</v>
      </c>
      <c r="E215" s="2">
        <v>76</v>
      </c>
      <c r="F215" s="2" t="str">
        <f t="shared" si="7"/>
        <v>APILABLE</v>
      </c>
      <c r="G215" s="2" t="str">
        <f>"63445030113161"</f>
        <v>63445030113161</v>
      </c>
      <c r="I215">
        <v>20</v>
      </c>
      <c r="J215" s="3">
        <v>1</v>
      </c>
      <c r="K215" s="2">
        <v>9</v>
      </c>
      <c r="L215" s="3" t="s">
        <v>2</v>
      </c>
      <c r="M215" s="4">
        <v>39689</v>
      </c>
      <c r="N215" s="3">
        <v>26</v>
      </c>
    </row>
    <row r="216" spans="1:14" x14ac:dyDescent="0.25">
      <c r="A216" s="2">
        <v>215</v>
      </c>
      <c r="B216" s="3">
        <v>13184403</v>
      </c>
      <c r="C216" s="2" t="s">
        <v>177</v>
      </c>
      <c r="D216" s="3">
        <v>2</v>
      </c>
      <c r="E216" s="2">
        <v>76</v>
      </c>
      <c r="F216" s="2" t="str">
        <f t="shared" si="7"/>
        <v>APILABLE</v>
      </c>
      <c r="G216" s="2" t="str">
        <f>"63445030113162"</f>
        <v>63445030113162</v>
      </c>
      <c r="I216">
        <v>20</v>
      </c>
      <c r="J216" s="3">
        <v>1</v>
      </c>
      <c r="K216" s="2">
        <v>9</v>
      </c>
      <c r="L216" s="3" t="s">
        <v>2</v>
      </c>
      <c r="M216" s="4">
        <v>39689</v>
      </c>
      <c r="N216" s="3">
        <v>26</v>
      </c>
    </row>
    <row r="217" spans="1:14" x14ac:dyDescent="0.25">
      <c r="A217" s="2">
        <v>216</v>
      </c>
      <c r="B217" s="3">
        <v>13182044</v>
      </c>
      <c r="C217" s="2" t="s">
        <v>207</v>
      </c>
      <c r="D217" s="3">
        <v>1</v>
      </c>
      <c r="E217" s="2">
        <v>5</v>
      </c>
      <c r="F217" s="2" t="str">
        <f>"AVR 1500 VA"</f>
        <v>AVR 1500 VA</v>
      </c>
      <c r="G217" s="2" t="str">
        <f>"80803294"</f>
        <v>80803294</v>
      </c>
      <c r="I217">
        <v>20</v>
      </c>
      <c r="J217" s="3">
        <v>1</v>
      </c>
      <c r="K217" s="2">
        <v>3</v>
      </c>
      <c r="L217" s="3" t="s">
        <v>2</v>
      </c>
      <c r="M217" s="4">
        <v>39689</v>
      </c>
      <c r="N217" s="3">
        <v>14</v>
      </c>
    </row>
    <row r="218" spans="1:14" x14ac:dyDescent="0.25">
      <c r="A218" s="2">
        <v>217</v>
      </c>
      <c r="B218" s="3">
        <v>13182042</v>
      </c>
      <c r="C218" s="2" t="s">
        <v>207</v>
      </c>
      <c r="D218" s="3">
        <v>1</v>
      </c>
      <c r="E218" s="2">
        <v>5</v>
      </c>
      <c r="F218" s="2" t="str">
        <f>"AVR 1500 D"</f>
        <v>AVR 1500 D</v>
      </c>
      <c r="G218" s="2" t="str">
        <f>"81304070"</f>
        <v>81304070</v>
      </c>
      <c r="I218">
        <v>20</v>
      </c>
      <c r="J218" s="3">
        <v>2</v>
      </c>
      <c r="K218" s="2">
        <v>8</v>
      </c>
      <c r="L218" s="3" t="s">
        <v>2</v>
      </c>
      <c r="M218" s="4">
        <v>39688</v>
      </c>
      <c r="N218" s="3">
        <v>14</v>
      </c>
    </row>
    <row r="219" spans="1:14" x14ac:dyDescent="0.25">
      <c r="A219" s="2">
        <v>218</v>
      </c>
      <c r="B219" s="3">
        <v>13182043</v>
      </c>
      <c r="C219" s="2" t="s">
        <v>207</v>
      </c>
      <c r="D219" s="3">
        <v>1</v>
      </c>
      <c r="E219" s="2">
        <v>5</v>
      </c>
      <c r="F219" s="2" t="str">
        <f>"AVR 1500 D"</f>
        <v>AVR 1500 D</v>
      </c>
      <c r="G219" s="2" t="str">
        <f>"80803292"</f>
        <v>80803292</v>
      </c>
      <c r="I219">
        <v>20</v>
      </c>
      <c r="J219" s="3">
        <v>1</v>
      </c>
      <c r="K219" s="2">
        <v>39</v>
      </c>
      <c r="L219" s="3" t="s">
        <v>2</v>
      </c>
      <c r="M219" s="4">
        <v>39689</v>
      </c>
      <c r="N219" s="3">
        <v>14</v>
      </c>
    </row>
    <row r="220" spans="1:14" x14ac:dyDescent="0.25">
      <c r="A220" s="2">
        <v>219</v>
      </c>
      <c r="B220" s="3">
        <v>6794483</v>
      </c>
      <c r="C220" s="2" t="s">
        <v>201</v>
      </c>
      <c r="D220" s="3">
        <v>1</v>
      </c>
      <c r="E220" s="2">
        <v>42</v>
      </c>
      <c r="F220" s="2" t="str">
        <f>"3C16471B"</f>
        <v>3C16471B</v>
      </c>
      <c r="G220" s="2" t="str">
        <f>"CN08BWK94C"</f>
        <v>CN08BWK94C</v>
      </c>
      <c r="I220">
        <v>13</v>
      </c>
      <c r="J220" s="3">
        <v>1</v>
      </c>
      <c r="K220" s="2">
        <v>39</v>
      </c>
      <c r="L220" s="3" t="s">
        <v>2</v>
      </c>
      <c r="M220" s="4">
        <v>39689</v>
      </c>
      <c r="N220" s="3">
        <v>166</v>
      </c>
    </row>
    <row r="221" spans="1:14" x14ac:dyDescent="0.25">
      <c r="A221" s="2">
        <v>220</v>
      </c>
      <c r="B221" s="3">
        <v>7602774</v>
      </c>
      <c r="C221" s="2" t="s">
        <v>208</v>
      </c>
      <c r="D221" s="3">
        <v>1</v>
      </c>
      <c r="E221" s="2">
        <v>31</v>
      </c>
      <c r="F221" s="2" t="str">
        <f>"EMP S5"</f>
        <v>EMP S5</v>
      </c>
      <c r="G221" s="2" t="str">
        <f>"JWUF834801L"</f>
        <v>JWUF834801L</v>
      </c>
      <c r="I221">
        <v>13</v>
      </c>
      <c r="J221" s="3">
        <v>1</v>
      </c>
      <c r="K221" s="2">
        <v>15</v>
      </c>
      <c r="L221" s="3" t="s">
        <v>2</v>
      </c>
      <c r="M221" s="4">
        <v>39689</v>
      </c>
      <c r="N221" s="3">
        <v>745</v>
      </c>
    </row>
    <row r="222" spans="1:14" x14ac:dyDescent="0.25">
      <c r="A222" s="2">
        <v>221</v>
      </c>
      <c r="B222" s="3">
        <v>7602775</v>
      </c>
      <c r="C222" s="2" t="s">
        <v>208</v>
      </c>
      <c r="D222" s="3">
        <v>1</v>
      </c>
      <c r="E222" s="2">
        <v>31</v>
      </c>
      <c r="F222" s="2" t="str">
        <f>"EMP S5"</f>
        <v>EMP S5</v>
      </c>
      <c r="G222" s="2" t="str">
        <f>"JWUF835176L"</f>
        <v>JWUF835176L</v>
      </c>
      <c r="I222">
        <v>13</v>
      </c>
      <c r="J222" s="3">
        <v>2</v>
      </c>
      <c r="K222" s="2">
        <v>39</v>
      </c>
      <c r="L222" s="3" t="s">
        <v>2</v>
      </c>
      <c r="M222" s="4">
        <v>39689</v>
      </c>
      <c r="N222" s="3">
        <v>745</v>
      </c>
    </row>
    <row r="223" spans="1:14" x14ac:dyDescent="0.25">
      <c r="A223" s="2">
        <v>222</v>
      </c>
      <c r="B223" s="3">
        <v>7602797</v>
      </c>
      <c r="C223" s="2" t="s">
        <v>180</v>
      </c>
      <c r="D223" s="3">
        <v>1</v>
      </c>
      <c r="E223" s="2">
        <v>77</v>
      </c>
      <c r="F223" s="2" t="str">
        <f>"CFD RS60CP"</f>
        <v>CFD RS60CP</v>
      </c>
      <c r="G223" s="2" t="str">
        <f>"1062178"</f>
        <v>1062178</v>
      </c>
      <c r="I223">
        <v>23</v>
      </c>
      <c r="J223" s="3">
        <v>1</v>
      </c>
      <c r="K223" s="2">
        <v>18</v>
      </c>
      <c r="L223" s="3" t="s">
        <v>2</v>
      </c>
      <c r="M223" s="4">
        <v>39689</v>
      </c>
      <c r="N223" s="3">
        <v>148.21</v>
      </c>
    </row>
    <row r="224" spans="1:14" x14ac:dyDescent="0.25">
      <c r="A224" s="2">
        <v>223</v>
      </c>
      <c r="B224" s="3">
        <v>7602798</v>
      </c>
      <c r="C224" s="2" t="s">
        <v>180</v>
      </c>
      <c r="D224" s="3">
        <v>1</v>
      </c>
      <c r="E224" s="2">
        <v>77</v>
      </c>
      <c r="F224" s="2" t="str">
        <f>"CFD RS60CP"</f>
        <v>CFD RS60CP</v>
      </c>
      <c r="G224" s="2" t="str">
        <f>"1062561"</f>
        <v>1062561</v>
      </c>
      <c r="I224">
        <v>23</v>
      </c>
      <c r="J224" s="3">
        <v>1</v>
      </c>
      <c r="K224" s="2">
        <v>8</v>
      </c>
      <c r="L224" s="3" t="s">
        <v>2</v>
      </c>
      <c r="M224" s="4">
        <v>39689</v>
      </c>
      <c r="N224" s="3">
        <v>148.21</v>
      </c>
    </row>
    <row r="225" spans="1:14" x14ac:dyDescent="0.25">
      <c r="A225" s="2">
        <v>224</v>
      </c>
      <c r="B225" s="3">
        <v>7602799</v>
      </c>
      <c r="C225" s="2" t="s">
        <v>180</v>
      </c>
      <c r="D225" s="3">
        <v>1</v>
      </c>
      <c r="E225" s="2">
        <v>77</v>
      </c>
      <c r="F225" s="2" t="str">
        <f>"CFD RS60CP"</f>
        <v>CFD RS60CP</v>
      </c>
      <c r="G225" s="2" t="str">
        <f>"1066419"</f>
        <v>1066419</v>
      </c>
      <c r="I225">
        <v>23</v>
      </c>
      <c r="J225" s="3">
        <v>1</v>
      </c>
      <c r="K225" s="2">
        <v>39</v>
      </c>
      <c r="L225" s="3" t="s">
        <v>2</v>
      </c>
      <c r="M225" s="4">
        <v>39689</v>
      </c>
      <c r="N225" s="3">
        <v>148.21</v>
      </c>
    </row>
    <row r="226" spans="1:14" x14ac:dyDescent="0.25">
      <c r="A226" s="2">
        <v>225</v>
      </c>
      <c r="B226" s="3">
        <v>7602800</v>
      </c>
      <c r="C226" s="2" t="s">
        <v>180</v>
      </c>
      <c r="D226" s="3">
        <v>1</v>
      </c>
      <c r="E226" s="2">
        <v>77</v>
      </c>
      <c r="F226" s="2" t="str">
        <f>"CFD RS60CP"</f>
        <v>CFD RS60CP</v>
      </c>
      <c r="G226" s="2" t="str">
        <f>"1066448"</f>
        <v>1066448</v>
      </c>
      <c r="I226">
        <v>23</v>
      </c>
      <c r="J226" s="3">
        <v>1</v>
      </c>
      <c r="K226" s="2">
        <v>4</v>
      </c>
      <c r="L226" s="3" t="s">
        <v>2</v>
      </c>
      <c r="M226" s="4">
        <v>39689</v>
      </c>
      <c r="N226" s="3">
        <v>148.21</v>
      </c>
    </row>
    <row r="227" spans="1:14" x14ac:dyDescent="0.25">
      <c r="A227" s="2">
        <v>226</v>
      </c>
      <c r="B227" s="3">
        <v>7602801</v>
      </c>
      <c r="C227" s="2" t="s">
        <v>180</v>
      </c>
      <c r="D227" s="3">
        <v>1</v>
      </c>
      <c r="E227" s="2">
        <v>77</v>
      </c>
      <c r="F227" s="2" t="str">
        <f>"CFD RS60CP"</f>
        <v>CFD RS60CP</v>
      </c>
      <c r="G227" s="2" t="str">
        <f>"1059075"</f>
        <v>1059075</v>
      </c>
      <c r="I227">
        <v>23</v>
      </c>
      <c r="J227" s="3">
        <v>1</v>
      </c>
      <c r="K227" s="2">
        <v>26</v>
      </c>
      <c r="L227" s="3" t="s">
        <v>2</v>
      </c>
      <c r="M227" s="4">
        <v>39689</v>
      </c>
      <c r="N227" s="3">
        <v>148.21</v>
      </c>
    </row>
    <row r="228" spans="1:14" x14ac:dyDescent="0.25">
      <c r="A228" s="2">
        <v>227</v>
      </c>
      <c r="B228" s="3">
        <v>13182045</v>
      </c>
      <c r="C228" s="2" t="s">
        <v>207</v>
      </c>
      <c r="D228" s="3">
        <v>1</v>
      </c>
      <c r="E228" s="2">
        <v>5</v>
      </c>
      <c r="F228" s="2" t="str">
        <f>"AVR 1500 D"</f>
        <v>AVR 1500 D</v>
      </c>
      <c r="G228" s="2" t="str">
        <f>"81304068"</f>
        <v>81304068</v>
      </c>
      <c r="I228">
        <v>20</v>
      </c>
      <c r="J228" s="3">
        <v>1</v>
      </c>
      <c r="K228" s="2">
        <v>8</v>
      </c>
      <c r="L228" s="3" t="s">
        <v>2</v>
      </c>
      <c r="M228" s="4">
        <v>39689</v>
      </c>
      <c r="N228" s="3">
        <v>14</v>
      </c>
    </row>
    <row r="229" spans="1:14" x14ac:dyDescent="0.25">
      <c r="A229" s="2">
        <v>228</v>
      </c>
      <c r="B229" s="3">
        <v>13182046</v>
      </c>
      <c r="C229" s="2" t="s">
        <v>207</v>
      </c>
      <c r="D229" s="3">
        <v>1</v>
      </c>
      <c r="E229" s="2">
        <v>5</v>
      </c>
      <c r="F229" s="2" t="str">
        <f>"AVR 1500 D"</f>
        <v>AVR 1500 D</v>
      </c>
      <c r="G229" s="2" t="str">
        <f>"81304071"</f>
        <v>81304071</v>
      </c>
      <c r="I229">
        <v>20</v>
      </c>
      <c r="J229" s="3">
        <v>1</v>
      </c>
      <c r="K229" s="2">
        <v>26</v>
      </c>
      <c r="L229" s="3" t="s">
        <v>2</v>
      </c>
      <c r="M229" s="4">
        <v>39689</v>
      </c>
      <c r="N229" s="3">
        <v>14</v>
      </c>
    </row>
    <row r="230" spans="1:14" x14ac:dyDescent="0.25">
      <c r="A230" s="2">
        <v>229</v>
      </c>
      <c r="B230" s="3">
        <v>13184241</v>
      </c>
      <c r="C230" s="2" t="s">
        <v>170</v>
      </c>
      <c r="D230" s="3">
        <v>2</v>
      </c>
      <c r="E230" s="2">
        <v>76</v>
      </c>
      <c r="F230" s="2" t="str">
        <f>"AEREO CURVO"</f>
        <v>AEREO CURVO</v>
      </c>
      <c r="G230" s="2" t="str">
        <f>"63445030101006"</f>
        <v>63445030101006</v>
      </c>
      <c r="I230">
        <v>10</v>
      </c>
      <c r="J230" s="3">
        <v>1</v>
      </c>
      <c r="K230" s="2">
        <v>39</v>
      </c>
      <c r="L230" s="3" t="s">
        <v>2</v>
      </c>
      <c r="M230" s="4">
        <v>39689</v>
      </c>
      <c r="N230" s="3">
        <v>70</v>
      </c>
    </row>
    <row r="231" spans="1:14" x14ac:dyDescent="0.25">
      <c r="A231" s="2">
        <v>230</v>
      </c>
      <c r="B231" s="3">
        <v>13184242</v>
      </c>
      <c r="C231" s="2" t="s">
        <v>170</v>
      </c>
      <c r="D231" s="3">
        <v>2</v>
      </c>
      <c r="E231" s="2">
        <v>76</v>
      </c>
      <c r="F231" s="2" t="str">
        <f>"AEREO CURVO"</f>
        <v>AEREO CURVO</v>
      </c>
      <c r="G231" s="2" t="str">
        <f>"63445030101007"</f>
        <v>63445030101007</v>
      </c>
      <c r="I231">
        <v>10</v>
      </c>
      <c r="J231" s="3">
        <v>1</v>
      </c>
      <c r="K231" s="2">
        <v>39</v>
      </c>
      <c r="L231" s="3" t="s">
        <v>2</v>
      </c>
      <c r="M231" s="4">
        <v>39689</v>
      </c>
      <c r="N231" s="3">
        <v>70</v>
      </c>
    </row>
    <row r="232" spans="1:14" x14ac:dyDescent="0.25">
      <c r="A232" s="2">
        <v>231</v>
      </c>
      <c r="B232" s="3">
        <v>13184243</v>
      </c>
      <c r="C232" s="2" t="s">
        <v>170</v>
      </c>
      <c r="D232" s="3">
        <v>2</v>
      </c>
      <c r="E232" s="2">
        <v>76</v>
      </c>
      <c r="F232" s="2" t="str">
        <f>"AEREO CURVO"</f>
        <v>AEREO CURVO</v>
      </c>
      <c r="G232" s="2" t="str">
        <f>"63445030101008"</f>
        <v>63445030101008</v>
      </c>
      <c r="I232">
        <v>10</v>
      </c>
      <c r="J232" s="3">
        <v>1</v>
      </c>
      <c r="K232" s="2">
        <v>34</v>
      </c>
      <c r="L232" s="3" t="s">
        <v>2</v>
      </c>
      <c r="M232" s="4">
        <v>39689</v>
      </c>
      <c r="N232" s="3">
        <v>70</v>
      </c>
    </row>
    <row r="233" spans="1:14" x14ac:dyDescent="0.25">
      <c r="A233" s="2">
        <v>232</v>
      </c>
      <c r="B233" s="3">
        <v>13184296</v>
      </c>
      <c r="C233" s="2" t="s">
        <v>282</v>
      </c>
      <c r="D233" s="3">
        <v>2</v>
      </c>
      <c r="E233" s="2">
        <v>76</v>
      </c>
      <c r="F233" s="2" t="str">
        <f t="shared" ref="F233:F238" si="8">"SIN MODELO"</f>
        <v>SIN MODELO</v>
      </c>
      <c r="G233" s="2" t="str">
        <f>"63445030110017"</f>
        <v>63445030110017</v>
      </c>
      <c r="I233">
        <v>10</v>
      </c>
      <c r="J233" s="3">
        <v>2</v>
      </c>
      <c r="K233" s="2">
        <v>9</v>
      </c>
      <c r="L233" s="3" t="s">
        <v>2</v>
      </c>
      <c r="M233" s="4">
        <v>39689</v>
      </c>
      <c r="N233" s="3">
        <v>32.57</v>
      </c>
    </row>
    <row r="234" spans="1:14" x14ac:dyDescent="0.25">
      <c r="A234" s="2">
        <v>233</v>
      </c>
      <c r="B234" s="3">
        <v>13184297</v>
      </c>
      <c r="C234" s="2" t="s">
        <v>282</v>
      </c>
      <c r="D234" s="3">
        <v>2</v>
      </c>
      <c r="E234" s="2">
        <v>76</v>
      </c>
      <c r="F234" s="2" t="str">
        <f t="shared" si="8"/>
        <v>SIN MODELO</v>
      </c>
      <c r="G234" s="2" t="str">
        <f>"63445030110018"</f>
        <v>63445030110018</v>
      </c>
      <c r="I234">
        <v>10</v>
      </c>
      <c r="J234" s="3">
        <v>2</v>
      </c>
      <c r="K234" s="2">
        <v>9</v>
      </c>
      <c r="L234" s="3" t="s">
        <v>2</v>
      </c>
      <c r="M234" s="4">
        <v>39689</v>
      </c>
      <c r="N234" s="3">
        <v>32.57</v>
      </c>
    </row>
    <row r="235" spans="1:14" x14ac:dyDescent="0.25">
      <c r="A235" s="2">
        <v>234</v>
      </c>
      <c r="B235" s="3">
        <v>13184298</v>
      </c>
      <c r="C235" s="2" t="s">
        <v>282</v>
      </c>
      <c r="D235" s="3">
        <v>2</v>
      </c>
      <c r="E235" s="2">
        <v>76</v>
      </c>
      <c r="F235" s="2" t="str">
        <f t="shared" si="8"/>
        <v>SIN MODELO</v>
      </c>
      <c r="G235" s="2" t="str">
        <f>"63445030110019"</f>
        <v>63445030110019</v>
      </c>
      <c r="I235">
        <v>10</v>
      </c>
      <c r="J235" s="3">
        <v>2</v>
      </c>
      <c r="K235" s="2">
        <v>9</v>
      </c>
      <c r="L235" s="3" t="s">
        <v>2</v>
      </c>
      <c r="M235" s="4">
        <v>39689</v>
      </c>
      <c r="N235" s="3">
        <v>32.57</v>
      </c>
    </row>
    <row r="236" spans="1:14" x14ac:dyDescent="0.25">
      <c r="A236" s="2">
        <v>235</v>
      </c>
      <c r="B236" s="3">
        <v>13184299</v>
      </c>
      <c r="C236" s="2" t="s">
        <v>282</v>
      </c>
      <c r="D236" s="3">
        <v>2</v>
      </c>
      <c r="E236" s="2">
        <v>76</v>
      </c>
      <c r="F236" s="2" t="str">
        <f t="shared" si="8"/>
        <v>SIN MODELO</v>
      </c>
      <c r="G236" s="2" t="str">
        <f>"63445030110020"</f>
        <v>63445030110020</v>
      </c>
      <c r="I236">
        <v>10</v>
      </c>
      <c r="J236" s="3">
        <v>2</v>
      </c>
      <c r="K236" s="2">
        <v>9</v>
      </c>
      <c r="L236" s="3" t="s">
        <v>2</v>
      </c>
      <c r="M236" s="4">
        <v>39689</v>
      </c>
      <c r="N236" s="3">
        <v>32.57</v>
      </c>
    </row>
    <row r="237" spans="1:14" x14ac:dyDescent="0.25">
      <c r="A237" s="2">
        <v>236</v>
      </c>
      <c r="B237" s="3">
        <v>13184300</v>
      </c>
      <c r="C237" s="2" t="s">
        <v>282</v>
      </c>
      <c r="D237" s="3">
        <v>2</v>
      </c>
      <c r="E237" s="2">
        <v>76</v>
      </c>
      <c r="F237" s="2" t="str">
        <f t="shared" si="8"/>
        <v>SIN MODELO</v>
      </c>
      <c r="G237" s="2" t="str">
        <f>"63445030110021"</f>
        <v>63445030110021</v>
      </c>
      <c r="I237">
        <v>10</v>
      </c>
      <c r="J237" s="3">
        <v>2</v>
      </c>
      <c r="K237" s="2">
        <v>9</v>
      </c>
      <c r="L237" s="3" t="s">
        <v>2</v>
      </c>
      <c r="M237" s="4">
        <v>39689</v>
      </c>
      <c r="N237" s="3">
        <v>32.57</v>
      </c>
    </row>
    <row r="238" spans="1:14" x14ac:dyDescent="0.25">
      <c r="A238" s="2">
        <v>237</v>
      </c>
      <c r="B238" s="3">
        <v>13184301</v>
      </c>
      <c r="C238" s="2" t="s">
        <v>282</v>
      </c>
      <c r="D238" s="3">
        <v>2</v>
      </c>
      <c r="E238" s="2">
        <v>76</v>
      </c>
      <c r="F238" s="2" t="str">
        <f t="shared" si="8"/>
        <v>SIN MODELO</v>
      </c>
      <c r="G238" s="2" t="str">
        <f>"63445030110022"</f>
        <v>63445030110022</v>
      </c>
      <c r="I238">
        <v>10</v>
      </c>
      <c r="J238" s="3">
        <v>2</v>
      </c>
      <c r="K238" s="2">
        <v>9</v>
      </c>
      <c r="L238" s="3" t="s">
        <v>2</v>
      </c>
      <c r="M238" s="4">
        <v>39689</v>
      </c>
      <c r="N238" s="3">
        <v>32.57</v>
      </c>
    </row>
    <row r="239" spans="1:14" x14ac:dyDescent="0.25">
      <c r="A239" s="2">
        <v>238</v>
      </c>
      <c r="B239" s="3">
        <v>13184326</v>
      </c>
      <c r="C239" s="2" t="s">
        <v>183</v>
      </c>
      <c r="D239" s="3">
        <v>2</v>
      </c>
      <c r="E239" s="2">
        <v>76</v>
      </c>
      <c r="F239" s="2" t="str">
        <f>"SECRETARIA"</f>
        <v>SECRETARIA</v>
      </c>
      <c r="G239" s="2" t="str">
        <f>"63445030113021"</f>
        <v>63445030113021</v>
      </c>
      <c r="I239">
        <v>20</v>
      </c>
      <c r="J239" s="3">
        <v>2</v>
      </c>
      <c r="K239" s="2">
        <v>34</v>
      </c>
      <c r="L239" s="3" t="s">
        <v>2</v>
      </c>
      <c r="M239" s="4">
        <v>39689</v>
      </c>
      <c r="N239" s="3">
        <v>55</v>
      </c>
    </row>
    <row r="240" spans="1:14" x14ac:dyDescent="0.25">
      <c r="A240" s="2">
        <v>239</v>
      </c>
      <c r="B240" s="3">
        <v>7606385</v>
      </c>
      <c r="C240" s="2" t="s">
        <v>189</v>
      </c>
      <c r="D240" s="3">
        <v>2</v>
      </c>
      <c r="E240" s="2">
        <v>76</v>
      </c>
      <c r="F240" s="2" t="str">
        <f>"GERENTE"</f>
        <v>GERENTE</v>
      </c>
      <c r="G240" s="2" t="str">
        <f>"14101030112017"</f>
        <v>14101030112017</v>
      </c>
      <c r="I240">
        <v>20</v>
      </c>
      <c r="J240" s="3">
        <v>2</v>
      </c>
      <c r="K240" s="2">
        <v>39</v>
      </c>
      <c r="L240" s="3" t="s">
        <v>2</v>
      </c>
      <c r="M240" s="4">
        <v>39707</v>
      </c>
      <c r="N240" s="3">
        <v>165</v>
      </c>
    </row>
    <row r="241" spans="1:14" x14ac:dyDescent="0.25">
      <c r="A241" s="2">
        <v>240</v>
      </c>
      <c r="B241" s="3">
        <v>7606386</v>
      </c>
      <c r="C241" s="2" t="s">
        <v>189</v>
      </c>
      <c r="D241" s="3">
        <v>2</v>
      </c>
      <c r="E241" s="2">
        <v>76</v>
      </c>
      <c r="F241" s="2" t="str">
        <f>"EJECUTIVO"</f>
        <v>EJECUTIVO</v>
      </c>
      <c r="G241" s="2" t="str">
        <f>"14101030112020"</f>
        <v>14101030112020</v>
      </c>
      <c r="I241">
        <v>20</v>
      </c>
      <c r="J241" s="3">
        <v>2</v>
      </c>
      <c r="K241" s="2">
        <v>2</v>
      </c>
      <c r="L241" s="3" t="s">
        <v>2</v>
      </c>
      <c r="M241" s="4">
        <v>39707</v>
      </c>
      <c r="N241" s="3">
        <v>110</v>
      </c>
    </row>
    <row r="242" spans="1:14" x14ac:dyDescent="0.25">
      <c r="A242" s="2">
        <v>241</v>
      </c>
      <c r="B242" s="3">
        <v>7606387</v>
      </c>
      <c r="C242" s="2" t="s">
        <v>189</v>
      </c>
      <c r="D242" s="3">
        <v>2</v>
      </c>
      <c r="E242" s="2">
        <v>76</v>
      </c>
      <c r="F242" s="2" t="str">
        <f>"EJECUTIVO"</f>
        <v>EJECUTIVO</v>
      </c>
      <c r="G242" s="2" t="str">
        <f>"14101030112021"</f>
        <v>14101030112021</v>
      </c>
      <c r="I242">
        <v>20</v>
      </c>
      <c r="J242" s="3">
        <v>1</v>
      </c>
      <c r="K242" s="2">
        <v>3</v>
      </c>
      <c r="L242" s="3" t="s">
        <v>2</v>
      </c>
      <c r="M242" s="4">
        <v>39707</v>
      </c>
      <c r="N242" s="3">
        <v>110</v>
      </c>
    </row>
    <row r="243" spans="1:14" x14ac:dyDescent="0.25">
      <c r="A243" s="2">
        <v>242</v>
      </c>
      <c r="B243" s="3">
        <v>7606388</v>
      </c>
      <c r="C243" s="2" t="s">
        <v>189</v>
      </c>
      <c r="D243" s="3">
        <v>2</v>
      </c>
      <c r="E243" s="2">
        <v>76</v>
      </c>
      <c r="F243" s="2" t="str">
        <f>"EJECUTIVO"</f>
        <v>EJECUTIVO</v>
      </c>
      <c r="G243" s="2" t="str">
        <f>"14101030112022"</f>
        <v>14101030112022</v>
      </c>
      <c r="I243">
        <v>20</v>
      </c>
      <c r="J243" s="3">
        <v>3</v>
      </c>
      <c r="K243" s="2">
        <v>39</v>
      </c>
      <c r="L243" s="3" t="s">
        <v>2</v>
      </c>
      <c r="M243" s="4">
        <v>39707</v>
      </c>
      <c r="N243" s="3">
        <v>110</v>
      </c>
    </row>
    <row r="244" spans="1:14" x14ac:dyDescent="0.25">
      <c r="A244" s="2">
        <v>243</v>
      </c>
      <c r="B244" s="3">
        <v>7606389</v>
      </c>
      <c r="C244" s="2" t="s">
        <v>189</v>
      </c>
      <c r="D244" s="3">
        <v>2</v>
      </c>
      <c r="E244" s="2">
        <v>76</v>
      </c>
      <c r="F244" s="2" t="str">
        <f>"EJECUTIVO"</f>
        <v>EJECUTIVO</v>
      </c>
      <c r="G244" s="2" t="str">
        <f>"14101030112023"</f>
        <v>14101030112023</v>
      </c>
      <c r="I244">
        <v>20</v>
      </c>
      <c r="J244" s="3">
        <v>2</v>
      </c>
      <c r="K244" s="2">
        <v>8</v>
      </c>
      <c r="L244" s="3" t="s">
        <v>2</v>
      </c>
      <c r="M244" s="4">
        <v>39707</v>
      </c>
      <c r="N244" s="3">
        <v>110</v>
      </c>
    </row>
    <row r="245" spans="1:14" x14ac:dyDescent="0.25">
      <c r="A245" s="2">
        <v>244</v>
      </c>
      <c r="B245" s="3">
        <v>7606390</v>
      </c>
      <c r="C245" s="2" t="s">
        <v>189</v>
      </c>
      <c r="D245" s="3">
        <v>2</v>
      </c>
      <c r="E245" s="2">
        <v>76</v>
      </c>
      <c r="F245" s="2" t="str">
        <f>"EJECUTIVO"</f>
        <v>EJECUTIVO</v>
      </c>
      <c r="G245" s="2" t="str">
        <f>"14101030112024"</f>
        <v>14101030112024</v>
      </c>
      <c r="I245">
        <v>20</v>
      </c>
      <c r="J245" s="3">
        <v>3</v>
      </c>
      <c r="K245" s="2">
        <v>4</v>
      </c>
      <c r="L245" s="3" t="s">
        <v>2</v>
      </c>
      <c r="M245" s="4">
        <v>39707</v>
      </c>
      <c r="N245" s="3">
        <v>110</v>
      </c>
    </row>
    <row r="246" spans="1:14" x14ac:dyDescent="0.25">
      <c r="A246" s="2">
        <v>245</v>
      </c>
      <c r="B246" s="3">
        <v>13184387</v>
      </c>
      <c r="C246" s="2" t="s">
        <v>177</v>
      </c>
      <c r="D246" s="3">
        <v>2</v>
      </c>
      <c r="E246" s="2">
        <v>76</v>
      </c>
      <c r="F246" s="2" t="str">
        <f t="shared" ref="F246:F261" si="9">"APILABLE"</f>
        <v>APILABLE</v>
      </c>
      <c r="G246" s="2" t="str">
        <f>"63445030113146"</f>
        <v>63445030113146</v>
      </c>
      <c r="I246">
        <v>20</v>
      </c>
      <c r="J246" s="3">
        <v>2</v>
      </c>
      <c r="K246" s="2">
        <v>9</v>
      </c>
      <c r="L246" s="3" t="s">
        <v>2</v>
      </c>
      <c r="M246" s="4">
        <v>39707</v>
      </c>
      <c r="N246" s="3">
        <v>26</v>
      </c>
    </row>
    <row r="247" spans="1:14" x14ac:dyDescent="0.25">
      <c r="A247" s="2">
        <v>246</v>
      </c>
      <c r="B247" s="3">
        <v>13184388</v>
      </c>
      <c r="C247" s="2" t="s">
        <v>177</v>
      </c>
      <c r="D247" s="3">
        <v>2</v>
      </c>
      <c r="E247" s="2">
        <v>76</v>
      </c>
      <c r="F247" s="2" t="str">
        <f t="shared" si="9"/>
        <v>APILABLE</v>
      </c>
      <c r="G247" s="2" t="str">
        <f>"63445030113147"</f>
        <v>63445030113147</v>
      </c>
      <c r="I247">
        <v>20</v>
      </c>
      <c r="J247" s="3">
        <v>2</v>
      </c>
      <c r="K247" s="2">
        <v>9</v>
      </c>
      <c r="L247" s="3" t="s">
        <v>2</v>
      </c>
      <c r="M247" s="4">
        <v>39707</v>
      </c>
      <c r="N247" s="3">
        <v>26</v>
      </c>
    </row>
    <row r="248" spans="1:14" x14ac:dyDescent="0.25">
      <c r="A248" s="2">
        <v>247</v>
      </c>
      <c r="B248" s="3">
        <v>13184389</v>
      </c>
      <c r="C248" s="2" t="s">
        <v>177</v>
      </c>
      <c r="D248" s="3">
        <v>2</v>
      </c>
      <c r="E248" s="2">
        <v>76</v>
      </c>
      <c r="F248" s="2" t="str">
        <f t="shared" si="9"/>
        <v>APILABLE</v>
      </c>
      <c r="G248" s="2" t="str">
        <f>"63445030113148"</f>
        <v>63445030113148</v>
      </c>
      <c r="I248">
        <v>20</v>
      </c>
      <c r="J248" s="3">
        <v>2</v>
      </c>
      <c r="K248" s="2">
        <v>9</v>
      </c>
      <c r="L248" s="3" t="s">
        <v>2</v>
      </c>
      <c r="M248" s="4">
        <v>39707</v>
      </c>
      <c r="N248" s="3">
        <v>26</v>
      </c>
    </row>
    <row r="249" spans="1:14" x14ac:dyDescent="0.25">
      <c r="A249" s="2">
        <v>248</v>
      </c>
      <c r="B249" s="3">
        <v>13184390</v>
      </c>
      <c r="C249" s="2" t="s">
        <v>177</v>
      </c>
      <c r="D249" s="3">
        <v>2</v>
      </c>
      <c r="E249" s="2">
        <v>76</v>
      </c>
      <c r="F249" s="2" t="str">
        <f t="shared" si="9"/>
        <v>APILABLE</v>
      </c>
      <c r="G249" s="2" t="str">
        <f>"63445030113149"</f>
        <v>63445030113149</v>
      </c>
      <c r="I249">
        <v>20</v>
      </c>
      <c r="J249" s="3">
        <v>2</v>
      </c>
      <c r="K249" s="2">
        <v>9</v>
      </c>
      <c r="L249" s="3" t="s">
        <v>2</v>
      </c>
      <c r="M249" s="4">
        <v>39707</v>
      </c>
      <c r="N249" s="3">
        <v>26</v>
      </c>
    </row>
    <row r="250" spans="1:14" x14ac:dyDescent="0.25">
      <c r="A250" s="2">
        <v>249</v>
      </c>
      <c r="B250" s="3">
        <v>13184404</v>
      </c>
      <c r="C250" s="2" t="s">
        <v>177</v>
      </c>
      <c r="D250" s="3">
        <v>2</v>
      </c>
      <c r="E250" s="2">
        <v>76</v>
      </c>
      <c r="F250" s="2" t="str">
        <f t="shared" si="9"/>
        <v>APILABLE</v>
      </c>
      <c r="G250" s="2" t="str">
        <f>"63445030113163"</f>
        <v>63445030113163</v>
      </c>
      <c r="I250">
        <v>20</v>
      </c>
      <c r="J250" s="3">
        <v>1</v>
      </c>
      <c r="K250" s="2">
        <v>9</v>
      </c>
      <c r="L250" s="3" t="s">
        <v>2</v>
      </c>
      <c r="M250" s="4">
        <v>39707</v>
      </c>
      <c r="N250" s="3">
        <v>26</v>
      </c>
    </row>
    <row r="251" spans="1:14" x14ac:dyDescent="0.25">
      <c r="A251" s="2">
        <v>250</v>
      </c>
      <c r="B251" s="3">
        <v>13184405</v>
      </c>
      <c r="C251" s="2" t="s">
        <v>177</v>
      </c>
      <c r="D251" s="3">
        <v>2</v>
      </c>
      <c r="E251" s="2">
        <v>76</v>
      </c>
      <c r="F251" s="2" t="str">
        <f t="shared" si="9"/>
        <v>APILABLE</v>
      </c>
      <c r="G251" s="2" t="str">
        <f>"63445030113164"</f>
        <v>63445030113164</v>
      </c>
      <c r="I251">
        <v>20</v>
      </c>
      <c r="J251" s="3">
        <v>1</v>
      </c>
      <c r="K251" s="2">
        <v>9</v>
      </c>
      <c r="L251" s="3" t="s">
        <v>2</v>
      </c>
      <c r="M251" s="4">
        <v>39707</v>
      </c>
      <c r="N251" s="3">
        <v>26</v>
      </c>
    </row>
    <row r="252" spans="1:14" x14ac:dyDescent="0.25">
      <c r="A252" s="2">
        <v>251</v>
      </c>
      <c r="B252" s="3">
        <v>13184406</v>
      </c>
      <c r="C252" s="2" t="s">
        <v>177</v>
      </c>
      <c r="D252" s="3">
        <v>2</v>
      </c>
      <c r="E252" s="2">
        <v>76</v>
      </c>
      <c r="F252" s="2" t="str">
        <f t="shared" si="9"/>
        <v>APILABLE</v>
      </c>
      <c r="G252" s="2" t="str">
        <f>"63445030113165"</f>
        <v>63445030113165</v>
      </c>
      <c r="I252">
        <v>20</v>
      </c>
      <c r="J252" s="3">
        <v>1</v>
      </c>
      <c r="K252" s="2">
        <v>9</v>
      </c>
      <c r="L252" s="3" t="s">
        <v>2</v>
      </c>
      <c r="M252" s="4">
        <v>39707</v>
      </c>
      <c r="N252" s="3">
        <v>26</v>
      </c>
    </row>
    <row r="253" spans="1:14" x14ac:dyDescent="0.25">
      <c r="A253" s="2">
        <v>252</v>
      </c>
      <c r="B253" s="3">
        <v>13184407</v>
      </c>
      <c r="C253" s="2" t="s">
        <v>177</v>
      </c>
      <c r="D253" s="3">
        <v>2</v>
      </c>
      <c r="E253" s="2">
        <v>76</v>
      </c>
      <c r="F253" s="2" t="str">
        <f t="shared" si="9"/>
        <v>APILABLE</v>
      </c>
      <c r="G253" s="2" t="str">
        <f>"63445030113166"</f>
        <v>63445030113166</v>
      </c>
      <c r="I253">
        <v>20</v>
      </c>
      <c r="J253" s="3">
        <v>1</v>
      </c>
      <c r="K253" s="2">
        <v>9</v>
      </c>
      <c r="L253" s="3" t="s">
        <v>2</v>
      </c>
      <c r="M253" s="4">
        <v>39707</v>
      </c>
      <c r="N253" s="3">
        <v>26</v>
      </c>
    </row>
    <row r="254" spans="1:14" x14ac:dyDescent="0.25">
      <c r="A254" s="2">
        <v>253</v>
      </c>
      <c r="B254" s="3">
        <v>13184408</v>
      </c>
      <c r="C254" s="2" t="s">
        <v>177</v>
      </c>
      <c r="D254" s="3">
        <v>2</v>
      </c>
      <c r="E254" s="2">
        <v>76</v>
      </c>
      <c r="F254" s="2" t="str">
        <f t="shared" si="9"/>
        <v>APILABLE</v>
      </c>
      <c r="G254" s="2" t="str">
        <f>"63445030113167"</f>
        <v>63445030113167</v>
      </c>
      <c r="I254">
        <v>20</v>
      </c>
      <c r="J254" s="3">
        <v>1</v>
      </c>
      <c r="K254" s="2">
        <v>9</v>
      </c>
      <c r="L254" s="3" t="s">
        <v>2</v>
      </c>
      <c r="M254" s="4">
        <v>39707</v>
      </c>
      <c r="N254" s="3">
        <v>26</v>
      </c>
    </row>
    <row r="255" spans="1:14" x14ac:dyDescent="0.25">
      <c r="A255" s="2">
        <v>254</v>
      </c>
      <c r="B255" s="3">
        <v>13184409</v>
      </c>
      <c r="C255" s="2" t="s">
        <v>177</v>
      </c>
      <c r="D255" s="3">
        <v>2</v>
      </c>
      <c r="E255" s="2">
        <v>76</v>
      </c>
      <c r="F255" s="2" t="str">
        <f t="shared" si="9"/>
        <v>APILABLE</v>
      </c>
      <c r="G255" s="2" t="str">
        <f>"63445030113168"</f>
        <v>63445030113168</v>
      </c>
      <c r="I255">
        <v>20</v>
      </c>
      <c r="J255" s="3">
        <v>1</v>
      </c>
      <c r="K255" s="2">
        <v>9</v>
      </c>
      <c r="L255" s="3" t="s">
        <v>2</v>
      </c>
      <c r="M255" s="4">
        <v>39707</v>
      </c>
      <c r="N255" s="3">
        <v>26</v>
      </c>
    </row>
    <row r="256" spans="1:14" x14ac:dyDescent="0.25">
      <c r="A256" s="2">
        <v>255</v>
      </c>
      <c r="B256" s="3">
        <v>13184410</v>
      </c>
      <c r="C256" s="2" t="s">
        <v>177</v>
      </c>
      <c r="D256" s="3">
        <v>2</v>
      </c>
      <c r="E256" s="2">
        <v>76</v>
      </c>
      <c r="F256" s="2" t="str">
        <f t="shared" si="9"/>
        <v>APILABLE</v>
      </c>
      <c r="G256" s="2" t="str">
        <f>"63445030113169"</f>
        <v>63445030113169</v>
      </c>
      <c r="I256">
        <v>20</v>
      </c>
      <c r="J256" s="3">
        <v>1</v>
      </c>
      <c r="K256" s="2">
        <v>9</v>
      </c>
      <c r="L256" s="3" t="s">
        <v>2</v>
      </c>
      <c r="M256" s="4">
        <v>39707</v>
      </c>
      <c r="N256" s="3">
        <v>26</v>
      </c>
    </row>
    <row r="257" spans="1:14" x14ac:dyDescent="0.25">
      <c r="A257" s="2">
        <v>256</v>
      </c>
      <c r="B257" s="3">
        <v>13184411</v>
      </c>
      <c r="C257" s="2" t="s">
        <v>177</v>
      </c>
      <c r="D257" s="3">
        <v>2</v>
      </c>
      <c r="E257" s="2">
        <v>76</v>
      </c>
      <c r="F257" s="2" t="str">
        <f t="shared" si="9"/>
        <v>APILABLE</v>
      </c>
      <c r="G257" s="2" t="str">
        <f>"63445030113170"</f>
        <v>63445030113170</v>
      </c>
      <c r="I257">
        <v>20</v>
      </c>
      <c r="J257" s="3">
        <v>1</v>
      </c>
      <c r="K257" s="2">
        <v>9</v>
      </c>
      <c r="L257" s="3" t="s">
        <v>2</v>
      </c>
      <c r="M257" s="4">
        <v>39707</v>
      </c>
      <c r="N257" s="3">
        <v>26</v>
      </c>
    </row>
    <row r="258" spans="1:14" x14ac:dyDescent="0.25">
      <c r="A258" s="2">
        <v>257</v>
      </c>
      <c r="B258" s="3">
        <v>13184412</v>
      </c>
      <c r="C258" s="2" t="s">
        <v>177</v>
      </c>
      <c r="D258" s="3">
        <v>2</v>
      </c>
      <c r="E258" s="2">
        <v>76</v>
      </c>
      <c r="F258" s="2" t="str">
        <f t="shared" si="9"/>
        <v>APILABLE</v>
      </c>
      <c r="G258" s="2" t="str">
        <f>"63445030113171"</f>
        <v>63445030113171</v>
      </c>
      <c r="I258">
        <v>20</v>
      </c>
      <c r="J258" s="3">
        <v>1</v>
      </c>
      <c r="K258" s="2">
        <v>9</v>
      </c>
      <c r="L258" s="3" t="s">
        <v>2</v>
      </c>
      <c r="M258" s="4">
        <v>39707</v>
      </c>
      <c r="N258" s="3">
        <v>26</v>
      </c>
    </row>
    <row r="259" spans="1:14" x14ac:dyDescent="0.25">
      <c r="A259" s="2">
        <v>258</v>
      </c>
      <c r="B259" s="3">
        <v>13184413</v>
      </c>
      <c r="C259" s="2" t="s">
        <v>177</v>
      </c>
      <c r="D259" s="3">
        <v>2</v>
      </c>
      <c r="E259" s="2">
        <v>76</v>
      </c>
      <c r="F259" s="2" t="str">
        <f t="shared" si="9"/>
        <v>APILABLE</v>
      </c>
      <c r="G259" s="2" t="str">
        <f>"63445030113172"</f>
        <v>63445030113172</v>
      </c>
      <c r="I259">
        <v>20</v>
      </c>
      <c r="J259" s="3">
        <v>1</v>
      </c>
      <c r="K259" s="2">
        <v>9</v>
      </c>
      <c r="L259" s="3" t="s">
        <v>2</v>
      </c>
      <c r="M259" s="4">
        <v>39707</v>
      </c>
      <c r="N259" s="3">
        <v>26</v>
      </c>
    </row>
    <row r="260" spans="1:14" x14ac:dyDescent="0.25">
      <c r="A260" s="2">
        <v>259</v>
      </c>
      <c r="B260" s="3">
        <v>13184414</v>
      </c>
      <c r="C260" s="2" t="s">
        <v>177</v>
      </c>
      <c r="D260" s="3">
        <v>2</v>
      </c>
      <c r="E260" s="2">
        <v>76</v>
      </c>
      <c r="F260" s="2" t="str">
        <f t="shared" si="9"/>
        <v>APILABLE</v>
      </c>
      <c r="G260" s="2" t="str">
        <f>"63445030113173"</f>
        <v>63445030113173</v>
      </c>
      <c r="I260">
        <v>20</v>
      </c>
      <c r="J260" s="3">
        <v>1</v>
      </c>
      <c r="K260" s="2">
        <v>9</v>
      </c>
      <c r="L260" s="3" t="s">
        <v>2</v>
      </c>
      <c r="M260" s="4">
        <v>39707</v>
      </c>
      <c r="N260" s="3">
        <v>26</v>
      </c>
    </row>
    <row r="261" spans="1:14" x14ac:dyDescent="0.25">
      <c r="A261" s="2">
        <v>260</v>
      </c>
      <c r="B261" s="3">
        <v>13184418</v>
      </c>
      <c r="C261" s="2" t="s">
        <v>177</v>
      </c>
      <c r="D261" s="3">
        <v>2</v>
      </c>
      <c r="E261" s="2">
        <v>76</v>
      </c>
      <c r="F261" s="2" t="str">
        <f t="shared" si="9"/>
        <v>APILABLE</v>
      </c>
      <c r="G261" s="2" t="str">
        <f>"63445030113177"</f>
        <v>63445030113177</v>
      </c>
      <c r="I261">
        <v>20</v>
      </c>
      <c r="J261" s="3">
        <v>1</v>
      </c>
      <c r="K261" s="2">
        <v>9</v>
      </c>
      <c r="L261" s="3" t="s">
        <v>2</v>
      </c>
      <c r="M261" s="4">
        <v>39707</v>
      </c>
      <c r="N261" s="3">
        <v>26</v>
      </c>
    </row>
    <row r="262" spans="1:14" x14ac:dyDescent="0.25">
      <c r="A262" s="2">
        <v>261</v>
      </c>
      <c r="B262" s="3">
        <v>13382728</v>
      </c>
      <c r="C262" s="2" t="s">
        <v>209</v>
      </c>
      <c r="D262" s="3">
        <v>1</v>
      </c>
      <c r="E262" s="2">
        <v>5</v>
      </c>
      <c r="F262" s="2" t="str">
        <f>"1062P"</f>
        <v>1062P</v>
      </c>
      <c r="G262" s="2" t="str">
        <f>"81305046"</f>
        <v>81305046</v>
      </c>
      <c r="I262">
        <v>20</v>
      </c>
      <c r="J262" s="3">
        <v>1</v>
      </c>
      <c r="K262" s="2">
        <v>39</v>
      </c>
      <c r="L262" s="3" t="s">
        <v>2</v>
      </c>
      <c r="M262" s="4">
        <v>39689</v>
      </c>
      <c r="N262" s="3">
        <v>42.85</v>
      </c>
    </row>
    <row r="263" spans="1:14" x14ac:dyDescent="0.25">
      <c r="A263" s="2">
        <v>262</v>
      </c>
      <c r="B263" s="3">
        <v>13382729</v>
      </c>
      <c r="C263" s="2" t="s">
        <v>209</v>
      </c>
      <c r="D263" s="3">
        <v>1</v>
      </c>
      <c r="E263" s="2">
        <v>5</v>
      </c>
      <c r="F263" s="2" t="str">
        <f>"1062P"</f>
        <v>1062P</v>
      </c>
      <c r="G263" s="2" t="str">
        <f>"81305514"</f>
        <v>81305514</v>
      </c>
      <c r="I263">
        <v>20</v>
      </c>
      <c r="J263" s="3">
        <v>1</v>
      </c>
      <c r="K263" s="2">
        <v>4</v>
      </c>
      <c r="L263" s="3" t="s">
        <v>2</v>
      </c>
      <c r="M263" s="4">
        <v>39689</v>
      </c>
      <c r="N263" s="3">
        <v>42.85</v>
      </c>
    </row>
    <row r="264" spans="1:14" x14ac:dyDescent="0.25">
      <c r="A264" s="2">
        <v>263</v>
      </c>
      <c r="B264" s="3">
        <v>13184415</v>
      </c>
      <c r="C264" s="2" t="s">
        <v>177</v>
      </c>
      <c r="D264" s="3">
        <v>2</v>
      </c>
      <c r="E264" s="2">
        <v>76</v>
      </c>
      <c r="F264" s="2" t="str">
        <f t="shared" ref="F264:F297" si="10">"APILABLE"</f>
        <v>APILABLE</v>
      </c>
      <c r="G264" s="2" t="str">
        <f>"63445030113174"</f>
        <v>63445030113174</v>
      </c>
      <c r="I264">
        <v>20</v>
      </c>
      <c r="J264" s="3">
        <v>1</v>
      </c>
      <c r="K264" s="2">
        <v>9</v>
      </c>
      <c r="L264" s="3" t="s">
        <v>2</v>
      </c>
      <c r="M264" s="4">
        <v>39707</v>
      </c>
      <c r="N264" s="3">
        <v>26</v>
      </c>
    </row>
    <row r="265" spans="1:14" x14ac:dyDescent="0.25">
      <c r="A265" s="2">
        <v>264</v>
      </c>
      <c r="B265" s="3">
        <v>13184416</v>
      </c>
      <c r="C265" s="2" t="s">
        <v>177</v>
      </c>
      <c r="D265" s="3">
        <v>2</v>
      </c>
      <c r="E265" s="2">
        <v>76</v>
      </c>
      <c r="F265" s="2" t="str">
        <f t="shared" si="10"/>
        <v>APILABLE</v>
      </c>
      <c r="G265" s="2" t="str">
        <f>"63445030113175"</f>
        <v>63445030113175</v>
      </c>
      <c r="I265">
        <v>20</v>
      </c>
      <c r="J265" s="3">
        <v>1</v>
      </c>
      <c r="K265" s="2">
        <v>9</v>
      </c>
      <c r="L265" s="3" t="s">
        <v>2</v>
      </c>
      <c r="M265" s="4">
        <v>39707</v>
      </c>
      <c r="N265" s="3">
        <v>26</v>
      </c>
    </row>
    <row r="266" spans="1:14" x14ac:dyDescent="0.25">
      <c r="A266" s="2">
        <v>265</v>
      </c>
      <c r="B266" s="3">
        <v>13184417</v>
      </c>
      <c r="C266" s="2" t="s">
        <v>177</v>
      </c>
      <c r="D266" s="3">
        <v>2</v>
      </c>
      <c r="E266" s="2">
        <v>76</v>
      </c>
      <c r="F266" s="2" t="str">
        <f t="shared" si="10"/>
        <v>APILABLE</v>
      </c>
      <c r="G266" s="2" t="str">
        <f>"63445030113176"</f>
        <v>63445030113176</v>
      </c>
      <c r="I266">
        <v>20</v>
      </c>
      <c r="J266" s="3">
        <v>1</v>
      </c>
      <c r="K266" s="2">
        <v>9</v>
      </c>
      <c r="L266" s="3" t="s">
        <v>2</v>
      </c>
      <c r="M266" s="4">
        <v>39707</v>
      </c>
      <c r="N266" s="3">
        <v>26</v>
      </c>
    </row>
    <row r="267" spans="1:14" x14ac:dyDescent="0.25">
      <c r="A267" s="2">
        <v>266</v>
      </c>
      <c r="B267" s="3">
        <v>13184419</v>
      </c>
      <c r="C267" s="2" t="s">
        <v>177</v>
      </c>
      <c r="D267" s="3">
        <v>2</v>
      </c>
      <c r="E267" s="2">
        <v>76</v>
      </c>
      <c r="F267" s="2" t="str">
        <f t="shared" si="10"/>
        <v>APILABLE</v>
      </c>
      <c r="G267" s="2" t="str">
        <f>"63445030113178"</f>
        <v>63445030113178</v>
      </c>
      <c r="I267">
        <v>20</v>
      </c>
      <c r="J267" s="3">
        <v>1</v>
      </c>
      <c r="K267" s="2">
        <v>9</v>
      </c>
      <c r="L267" s="3" t="s">
        <v>2</v>
      </c>
      <c r="M267" s="4">
        <v>39707</v>
      </c>
      <c r="N267" s="3">
        <v>26</v>
      </c>
    </row>
    <row r="268" spans="1:14" x14ac:dyDescent="0.25">
      <c r="A268" s="2">
        <v>267</v>
      </c>
      <c r="B268" s="3">
        <v>13184420</v>
      </c>
      <c r="C268" s="2" t="s">
        <v>177</v>
      </c>
      <c r="D268" s="3">
        <v>2</v>
      </c>
      <c r="E268" s="2">
        <v>76</v>
      </c>
      <c r="F268" s="2" t="str">
        <f t="shared" si="10"/>
        <v>APILABLE</v>
      </c>
      <c r="G268" s="2" t="str">
        <f>"63445030113179"</f>
        <v>63445030113179</v>
      </c>
      <c r="I268">
        <v>20</v>
      </c>
      <c r="J268" s="3">
        <v>1</v>
      </c>
      <c r="K268" s="2">
        <v>9</v>
      </c>
      <c r="L268" s="3" t="s">
        <v>2</v>
      </c>
      <c r="M268" s="4">
        <v>39707</v>
      </c>
      <c r="N268" s="3">
        <v>26</v>
      </c>
    </row>
    <row r="269" spans="1:14" x14ac:dyDescent="0.25">
      <c r="A269" s="2">
        <v>268</v>
      </c>
      <c r="B269" s="3">
        <v>13184421</v>
      </c>
      <c r="C269" s="2" t="s">
        <v>177</v>
      </c>
      <c r="D269" s="3">
        <v>2</v>
      </c>
      <c r="E269" s="2">
        <v>76</v>
      </c>
      <c r="F269" s="2" t="str">
        <f t="shared" si="10"/>
        <v>APILABLE</v>
      </c>
      <c r="G269" s="2" t="str">
        <f>"63445030113180"</f>
        <v>63445030113180</v>
      </c>
      <c r="I269">
        <v>20</v>
      </c>
      <c r="J269" s="3">
        <v>1</v>
      </c>
      <c r="K269" s="2">
        <v>9</v>
      </c>
      <c r="L269" s="3" t="s">
        <v>2</v>
      </c>
      <c r="M269" s="4">
        <v>39707</v>
      </c>
      <c r="N269" s="3">
        <v>26</v>
      </c>
    </row>
    <row r="270" spans="1:14" x14ac:dyDescent="0.25">
      <c r="A270" s="2">
        <v>269</v>
      </c>
      <c r="B270" s="3">
        <v>13184422</v>
      </c>
      <c r="C270" s="2" t="s">
        <v>177</v>
      </c>
      <c r="D270" s="3">
        <v>2</v>
      </c>
      <c r="E270" s="2">
        <v>76</v>
      </c>
      <c r="F270" s="2" t="str">
        <f t="shared" si="10"/>
        <v>APILABLE</v>
      </c>
      <c r="G270" s="2" t="str">
        <f>"63445030113181"</f>
        <v>63445030113181</v>
      </c>
      <c r="I270">
        <v>20</v>
      </c>
      <c r="J270" s="3">
        <v>1</v>
      </c>
      <c r="K270" s="2">
        <v>9</v>
      </c>
      <c r="L270" s="3" t="s">
        <v>2</v>
      </c>
      <c r="M270" s="4">
        <v>39707</v>
      </c>
      <c r="N270" s="3">
        <v>26</v>
      </c>
    </row>
    <row r="271" spans="1:14" x14ac:dyDescent="0.25">
      <c r="A271" s="2">
        <v>270</v>
      </c>
      <c r="B271" s="3">
        <v>13184423</v>
      </c>
      <c r="C271" s="2" t="s">
        <v>177</v>
      </c>
      <c r="D271" s="3">
        <v>2</v>
      </c>
      <c r="E271" s="2">
        <v>76</v>
      </c>
      <c r="F271" s="2" t="str">
        <f t="shared" si="10"/>
        <v>APILABLE</v>
      </c>
      <c r="G271" s="2" t="str">
        <f>"63445030113182"</f>
        <v>63445030113182</v>
      </c>
      <c r="I271">
        <v>20</v>
      </c>
      <c r="J271" s="3">
        <v>1</v>
      </c>
      <c r="K271" s="2">
        <v>9</v>
      </c>
      <c r="L271" s="3" t="s">
        <v>2</v>
      </c>
      <c r="M271" s="4">
        <v>39707</v>
      </c>
      <c r="N271" s="3">
        <v>26</v>
      </c>
    </row>
    <row r="272" spans="1:14" x14ac:dyDescent="0.25">
      <c r="A272" s="2">
        <v>271</v>
      </c>
      <c r="B272" s="3">
        <v>13184424</v>
      </c>
      <c r="C272" s="2" t="s">
        <v>177</v>
      </c>
      <c r="D272" s="3">
        <v>2</v>
      </c>
      <c r="E272" s="2">
        <v>76</v>
      </c>
      <c r="F272" s="2" t="str">
        <f t="shared" si="10"/>
        <v>APILABLE</v>
      </c>
      <c r="G272" s="2" t="str">
        <f>"63445030113183"</f>
        <v>63445030113183</v>
      </c>
      <c r="I272">
        <v>20</v>
      </c>
      <c r="J272" s="3">
        <v>1</v>
      </c>
      <c r="K272" s="2">
        <v>9</v>
      </c>
      <c r="L272" s="3" t="s">
        <v>2</v>
      </c>
      <c r="M272" s="4">
        <v>39707</v>
      </c>
      <c r="N272" s="3">
        <v>26</v>
      </c>
    </row>
    <row r="273" spans="1:14" x14ac:dyDescent="0.25">
      <c r="A273" s="2">
        <v>272</v>
      </c>
      <c r="B273" s="3">
        <v>13184425</v>
      </c>
      <c r="C273" s="2" t="s">
        <v>177</v>
      </c>
      <c r="D273" s="3">
        <v>2</v>
      </c>
      <c r="E273" s="2">
        <v>76</v>
      </c>
      <c r="F273" s="2" t="str">
        <f t="shared" si="10"/>
        <v>APILABLE</v>
      </c>
      <c r="G273" s="2" t="str">
        <f>"63445030113184"</f>
        <v>63445030113184</v>
      </c>
      <c r="I273">
        <v>20</v>
      </c>
      <c r="J273" s="3">
        <v>1</v>
      </c>
      <c r="K273" s="2">
        <v>9</v>
      </c>
      <c r="L273" s="3" t="s">
        <v>2</v>
      </c>
      <c r="M273" s="4">
        <v>39707</v>
      </c>
      <c r="N273" s="3">
        <v>26</v>
      </c>
    </row>
    <row r="274" spans="1:14" x14ac:dyDescent="0.25">
      <c r="A274" s="2">
        <v>273</v>
      </c>
      <c r="B274" s="3">
        <v>13184426</v>
      </c>
      <c r="C274" s="2" t="s">
        <v>177</v>
      </c>
      <c r="D274" s="3">
        <v>2</v>
      </c>
      <c r="E274" s="2">
        <v>76</v>
      </c>
      <c r="F274" s="2" t="str">
        <f t="shared" si="10"/>
        <v>APILABLE</v>
      </c>
      <c r="G274" s="2" t="str">
        <f>"63445030113185"</f>
        <v>63445030113185</v>
      </c>
      <c r="I274">
        <v>20</v>
      </c>
      <c r="J274" s="3">
        <v>1</v>
      </c>
      <c r="K274" s="2">
        <v>9</v>
      </c>
      <c r="L274" s="3" t="s">
        <v>2</v>
      </c>
      <c r="M274" s="4">
        <v>39707</v>
      </c>
      <c r="N274" s="3">
        <v>26</v>
      </c>
    </row>
    <row r="275" spans="1:14" x14ac:dyDescent="0.25">
      <c r="A275" s="2">
        <v>274</v>
      </c>
      <c r="B275" s="3">
        <v>13184427</v>
      </c>
      <c r="C275" s="2" t="s">
        <v>177</v>
      </c>
      <c r="D275" s="3">
        <v>2</v>
      </c>
      <c r="E275" s="2">
        <v>76</v>
      </c>
      <c r="F275" s="2" t="str">
        <f t="shared" si="10"/>
        <v>APILABLE</v>
      </c>
      <c r="G275" s="2" t="str">
        <f>"63445030113186"</f>
        <v>63445030113186</v>
      </c>
      <c r="I275">
        <v>20</v>
      </c>
      <c r="J275" s="3">
        <v>1</v>
      </c>
      <c r="K275" s="2">
        <v>9</v>
      </c>
      <c r="L275" s="3" t="s">
        <v>2</v>
      </c>
      <c r="M275" s="4">
        <v>39707</v>
      </c>
      <c r="N275" s="3">
        <v>26</v>
      </c>
    </row>
    <row r="276" spans="1:14" x14ac:dyDescent="0.25">
      <c r="A276" s="2">
        <v>275</v>
      </c>
      <c r="B276" s="3">
        <v>13184428</v>
      </c>
      <c r="C276" s="2" t="s">
        <v>177</v>
      </c>
      <c r="D276" s="3">
        <v>2</v>
      </c>
      <c r="E276" s="2">
        <v>76</v>
      </c>
      <c r="F276" s="2" t="str">
        <f t="shared" si="10"/>
        <v>APILABLE</v>
      </c>
      <c r="G276" s="2" t="str">
        <f>"63445030113187"</f>
        <v>63445030113187</v>
      </c>
      <c r="I276">
        <v>20</v>
      </c>
      <c r="J276" s="3">
        <v>1</v>
      </c>
      <c r="K276" s="2">
        <v>9</v>
      </c>
      <c r="L276" s="3" t="s">
        <v>2</v>
      </c>
      <c r="M276" s="4">
        <v>39707</v>
      </c>
      <c r="N276" s="3">
        <v>26</v>
      </c>
    </row>
    <row r="277" spans="1:14" x14ac:dyDescent="0.25">
      <c r="A277" s="2">
        <v>276</v>
      </c>
      <c r="B277" s="3">
        <v>13184429</v>
      </c>
      <c r="C277" s="2" t="s">
        <v>177</v>
      </c>
      <c r="D277" s="3">
        <v>2</v>
      </c>
      <c r="E277" s="2">
        <v>76</v>
      </c>
      <c r="F277" s="2" t="str">
        <f t="shared" si="10"/>
        <v>APILABLE</v>
      </c>
      <c r="G277" s="2" t="str">
        <f>"63445030113188"</f>
        <v>63445030113188</v>
      </c>
      <c r="I277">
        <v>20</v>
      </c>
      <c r="J277" s="3">
        <v>1</v>
      </c>
      <c r="K277" s="2">
        <v>9</v>
      </c>
      <c r="L277" s="3" t="s">
        <v>2</v>
      </c>
      <c r="M277" s="4">
        <v>39707</v>
      </c>
      <c r="N277" s="3">
        <v>26</v>
      </c>
    </row>
    <row r="278" spans="1:14" x14ac:dyDescent="0.25">
      <c r="A278" s="2">
        <v>277</v>
      </c>
      <c r="B278" s="3">
        <v>13184430</v>
      </c>
      <c r="C278" s="2" t="s">
        <v>177</v>
      </c>
      <c r="D278" s="3">
        <v>2</v>
      </c>
      <c r="E278" s="2">
        <v>76</v>
      </c>
      <c r="F278" s="2" t="str">
        <f t="shared" si="10"/>
        <v>APILABLE</v>
      </c>
      <c r="G278" s="2" t="str">
        <f>"63445030113189"</f>
        <v>63445030113189</v>
      </c>
      <c r="I278">
        <v>20</v>
      </c>
      <c r="J278" s="3">
        <v>1</v>
      </c>
      <c r="K278" s="2">
        <v>9</v>
      </c>
      <c r="L278" s="3" t="s">
        <v>2</v>
      </c>
      <c r="M278" s="4">
        <v>39707</v>
      </c>
      <c r="N278" s="3">
        <v>26</v>
      </c>
    </row>
    <row r="279" spans="1:14" x14ac:dyDescent="0.25">
      <c r="A279" s="2">
        <v>278</v>
      </c>
      <c r="B279" s="3">
        <v>13184431</v>
      </c>
      <c r="C279" s="2" t="s">
        <v>177</v>
      </c>
      <c r="D279" s="3">
        <v>2</v>
      </c>
      <c r="E279" s="2">
        <v>76</v>
      </c>
      <c r="F279" s="2" t="str">
        <f t="shared" si="10"/>
        <v>APILABLE</v>
      </c>
      <c r="G279" s="2" t="str">
        <f>"63445030113190"</f>
        <v>63445030113190</v>
      </c>
      <c r="I279">
        <v>20</v>
      </c>
      <c r="J279" s="3">
        <v>1</v>
      </c>
      <c r="K279" s="2">
        <v>9</v>
      </c>
      <c r="L279" s="3" t="s">
        <v>2</v>
      </c>
      <c r="M279" s="4">
        <v>39707</v>
      </c>
      <c r="N279" s="3">
        <v>26</v>
      </c>
    </row>
    <row r="280" spans="1:14" x14ac:dyDescent="0.25">
      <c r="A280" s="2">
        <v>279</v>
      </c>
      <c r="B280" s="3">
        <v>13184432</v>
      </c>
      <c r="C280" s="2" t="s">
        <v>177</v>
      </c>
      <c r="D280" s="3">
        <v>2</v>
      </c>
      <c r="E280" s="2">
        <v>76</v>
      </c>
      <c r="F280" s="2" t="str">
        <f t="shared" si="10"/>
        <v>APILABLE</v>
      </c>
      <c r="G280" s="2" t="str">
        <f>"63445030113191"</f>
        <v>63445030113191</v>
      </c>
      <c r="I280">
        <v>20</v>
      </c>
      <c r="J280" s="3">
        <v>1</v>
      </c>
      <c r="K280" s="2">
        <v>9</v>
      </c>
      <c r="L280" s="3" t="s">
        <v>2</v>
      </c>
      <c r="M280" s="4">
        <v>39707</v>
      </c>
      <c r="N280" s="3">
        <v>26</v>
      </c>
    </row>
    <row r="281" spans="1:14" x14ac:dyDescent="0.25">
      <c r="A281" s="2">
        <v>280</v>
      </c>
      <c r="B281" s="3">
        <v>13184433</v>
      </c>
      <c r="C281" s="2" t="s">
        <v>177</v>
      </c>
      <c r="D281" s="3">
        <v>2</v>
      </c>
      <c r="E281" s="2">
        <v>76</v>
      </c>
      <c r="F281" s="2" t="str">
        <f t="shared" si="10"/>
        <v>APILABLE</v>
      </c>
      <c r="G281" s="2" t="str">
        <f>"63445030113192"</f>
        <v>63445030113192</v>
      </c>
      <c r="I281">
        <v>20</v>
      </c>
      <c r="J281" s="3">
        <v>1</v>
      </c>
      <c r="K281" s="2">
        <v>9</v>
      </c>
      <c r="L281" s="3" t="s">
        <v>2</v>
      </c>
      <c r="M281" s="4">
        <v>39707</v>
      </c>
      <c r="N281" s="3">
        <v>26</v>
      </c>
    </row>
    <row r="282" spans="1:14" x14ac:dyDescent="0.25">
      <c r="A282" s="2">
        <v>281</v>
      </c>
      <c r="B282" s="3">
        <v>13184434</v>
      </c>
      <c r="C282" s="2" t="s">
        <v>177</v>
      </c>
      <c r="D282" s="3">
        <v>2</v>
      </c>
      <c r="E282" s="2">
        <v>76</v>
      </c>
      <c r="F282" s="2" t="str">
        <f t="shared" si="10"/>
        <v>APILABLE</v>
      </c>
      <c r="G282" s="2" t="str">
        <f>"63445030113193"</f>
        <v>63445030113193</v>
      </c>
      <c r="I282">
        <v>20</v>
      </c>
      <c r="J282" s="3">
        <v>1</v>
      </c>
      <c r="K282" s="2">
        <v>9</v>
      </c>
      <c r="L282" s="3" t="s">
        <v>2</v>
      </c>
      <c r="M282" s="4">
        <v>39707</v>
      </c>
      <c r="N282" s="3">
        <v>26</v>
      </c>
    </row>
    <row r="283" spans="1:14" x14ac:dyDescent="0.25">
      <c r="A283" s="2">
        <v>282</v>
      </c>
      <c r="B283" s="3">
        <v>13184435</v>
      </c>
      <c r="C283" s="2" t="s">
        <v>177</v>
      </c>
      <c r="D283" s="3">
        <v>2</v>
      </c>
      <c r="E283" s="2">
        <v>76</v>
      </c>
      <c r="F283" s="2" t="str">
        <f t="shared" si="10"/>
        <v>APILABLE</v>
      </c>
      <c r="G283" s="2" t="str">
        <f>"63445030113194"</f>
        <v>63445030113194</v>
      </c>
      <c r="I283">
        <v>20</v>
      </c>
      <c r="J283" s="3">
        <v>1</v>
      </c>
      <c r="K283" s="2">
        <v>9</v>
      </c>
      <c r="L283" s="3" t="s">
        <v>2</v>
      </c>
      <c r="M283" s="4">
        <v>39707</v>
      </c>
      <c r="N283" s="3">
        <v>26</v>
      </c>
    </row>
    <row r="284" spans="1:14" x14ac:dyDescent="0.25">
      <c r="A284" s="2">
        <v>283</v>
      </c>
      <c r="B284" s="3">
        <v>13184436</v>
      </c>
      <c r="C284" s="2" t="s">
        <v>177</v>
      </c>
      <c r="D284" s="3">
        <v>2</v>
      </c>
      <c r="E284" s="2">
        <v>76</v>
      </c>
      <c r="F284" s="2" t="str">
        <f t="shared" si="10"/>
        <v>APILABLE</v>
      </c>
      <c r="G284" s="2" t="str">
        <f>"63445030113195"</f>
        <v>63445030113195</v>
      </c>
      <c r="I284">
        <v>20</v>
      </c>
      <c r="J284" s="3">
        <v>1</v>
      </c>
      <c r="K284" s="2">
        <v>9</v>
      </c>
      <c r="L284" s="3" t="s">
        <v>2</v>
      </c>
      <c r="M284" s="4">
        <v>39707</v>
      </c>
      <c r="N284" s="3">
        <v>26</v>
      </c>
    </row>
    <row r="285" spans="1:14" x14ac:dyDescent="0.25">
      <c r="A285" s="2">
        <v>284</v>
      </c>
      <c r="B285" s="3">
        <v>13184437</v>
      </c>
      <c r="C285" s="2" t="s">
        <v>177</v>
      </c>
      <c r="D285" s="3">
        <v>2</v>
      </c>
      <c r="E285" s="2">
        <v>76</v>
      </c>
      <c r="F285" s="2" t="str">
        <f t="shared" si="10"/>
        <v>APILABLE</v>
      </c>
      <c r="G285" s="2" t="str">
        <f>"63445030113196"</f>
        <v>63445030113196</v>
      </c>
      <c r="I285">
        <v>20</v>
      </c>
      <c r="J285" s="3">
        <v>1</v>
      </c>
      <c r="K285" s="2">
        <v>9</v>
      </c>
      <c r="L285" s="3" t="s">
        <v>2</v>
      </c>
      <c r="M285" s="4">
        <v>39707</v>
      </c>
      <c r="N285" s="3">
        <v>26</v>
      </c>
    </row>
    <row r="286" spans="1:14" x14ac:dyDescent="0.25">
      <c r="A286" s="2">
        <v>285</v>
      </c>
      <c r="B286" s="3">
        <v>13184438</v>
      </c>
      <c r="C286" s="2" t="s">
        <v>177</v>
      </c>
      <c r="D286" s="3">
        <v>2</v>
      </c>
      <c r="E286" s="2">
        <v>76</v>
      </c>
      <c r="F286" s="2" t="str">
        <f t="shared" si="10"/>
        <v>APILABLE</v>
      </c>
      <c r="G286" s="2" t="str">
        <f>"63445030113197"</f>
        <v>63445030113197</v>
      </c>
      <c r="I286">
        <v>20</v>
      </c>
      <c r="J286" s="3">
        <v>1</v>
      </c>
      <c r="K286" s="2">
        <v>9</v>
      </c>
      <c r="L286" s="3" t="s">
        <v>2</v>
      </c>
      <c r="M286" s="4">
        <v>39707</v>
      </c>
      <c r="N286" s="3">
        <v>26</v>
      </c>
    </row>
    <row r="287" spans="1:14" x14ac:dyDescent="0.25">
      <c r="A287" s="2">
        <v>286</v>
      </c>
      <c r="B287" s="3">
        <v>13184439</v>
      </c>
      <c r="C287" s="2" t="s">
        <v>177</v>
      </c>
      <c r="D287" s="3">
        <v>2</v>
      </c>
      <c r="E287" s="2">
        <v>76</v>
      </c>
      <c r="F287" s="2" t="str">
        <f t="shared" si="10"/>
        <v>APILABLE</v>
      </c>
      <c r="G287" s="2" t="str">
        <f>"63445030113198"</f>
        <v>63445030113198</v>
      </c>
      <c r="I287">
        <v>20</v>
      </c>
      <c r="J287" s="3">
        <v>1</v>
      </c>
      <c r="K287" s="2">
        <v>9</v>
      </c>
      <c r="L287" s="3" t="s">
        <v>2</v>
      </c>
      <c r="M287" s="4">
        <v>39707</v>
      </c>
      <c r="N287" s="3">
        <v>26</v>
      </c>
    </row>
    <row r="288" spans="1:14" x14ac:dyDescent="0.25">
      <c r="A288" s="2">
        <v>287</v>
      </c>
      <c r="B288" s="3">
        <v>13184440</v>
      </c>
      <c r="C288" s="2" t="s">
        <v>177</v>
      </c>
      <c r="D288" s="3">
        <v>2</v>
      </c>
      <c r="E288" s="2">
        <v>76</v>
      </c>
      <c r="F288" s="2" t="str">
        <f t="shared" si="10"/>
        <v>APILABLE</v>
      </c>
      <c r="G288" s="2" t="str">
        <f>"63445030113199"</f>
        <v>63445030113199</v>
      </c>
      <c r="I288">
        <v>20</v>
      </c>
      <c r="J288" s="3">
        <v>1</v>
      </c>
      <c r="K288" s="2">
        <v>9</v>
      </c>
      <c r="L288" s="3" t="s">
        <v>2</v>
      </c>
      <c r="M288" s="4">
        <v>39707</v>
      </c>
      <c r="N288" s="3">
        <v>26</v>
      </c>
    </row>
    <row r="289" spans="1:14" x14ac:dyDescent="0.25">
      <c r="A289" s="2">
        <v>288</v>
      </c>
      <c r="B289" s="3">
        <v>13184441</v>
      </c>
      <c r="C289" s="2" t="s">
        <v>177</v>
      </c>
      <c r="D289" s="3">
        <v>2</v>
      </c>
      <c r="E289" s="2">
        <v>76</v>
      </c>
      <c r="F289" s="2" t="str">
        <f t="shared" si="10"/>
        <v>APILABLE</v>
      </c>
      <c r="G289" s="2" t="str">
        <f>"63445030113200"</f>
        <v>63445030113200</v>
      </c>
      <c r="I289">
        <v>20</v>
      </c>
      <c r="J289" s="3">
        <v>1</v>
      </c>
      <c r="K289" s="2">
        <v>9</v>
      </c>
      <c r="L289" s="3" t="s">
        <v>2</v>
      </c>
      <c r="M289" s="4">
        <v>39707</v>
      </c>
      <c r="N289" s="3">
        <v>26</v>
      </c>
    </row>
    <row r="290" spans="1:14" x14ac:dyDescent="0.25">
      <c r="A290" s="2">
        <v>289</v>
      </c>
      <c r="B290" s="3">
        <v>13184442</v>
      </c>
      <c r="C290" s="2" t="s">
        <v>177</v>
      </c>
      <c r="D290" s="3">
        <v>2</v>
      </c>
      <c r="E290" s="2">
        <v>76</v>
      </c>
      <c r="F290" s="2" t="str">
        <f t="shared" si="10"/>
        <v>APILABLE</v>
      </c>
      <c r="G290" s="2" t="str">
        <f>"63445030113201"</f>
        <v>63445030113201</v>
      </c>
      <c r="I290">
        <v>20</v>
      </c>
      <c r="J290" s="3">
        <v>1</v>
      </c>
      <c r="K290" s="2">
        <v>9</v>
      </c>
      <c r="L290" s="3" t="s">
        <v>2</v>
      </c>
      <c r="M290" s="4">
        <v>39707</v>
      </c>
      <c r="N290" s="3">
        <v>26</v>
      </c>
    </row>
    <row r="291" spans="1:14" x14ac:dyDescent="0.25">
      <c r="A291" s="2">
        <v>290</v>
      </c>
      <c r="B291" s="3">
        <v>13184443</v>
      </c>
      <c r="C291" s="2" t="s">
        <v>177</v>
      </c>
      <c r="D291" s="3">
        <v>2</v>
      </c>
      <c r="E291" s="2">
        <v>76</v>
      </c>
      <c r="F291" s="2" t="str">
        <f t="shared" si="10"/>
        <v>APILABLE</v>
      </c>
      <c r="G291" s="2" t="str">
        <f>"63445030113202"</f>
        <v>63445030113202</v>
      </c>
      <c r="I291">
        <v>20</v>
      </c>
      <c r="J291" s="3">
        <v>1</v>
      </c>
      <c r="K291" s="2">
        <v>9</v>
      </c>
      <c r="L291" s="3" t="s">
        <v>2</v>
      </c>
      <c r="M291" s="4">
        <v>39707</v>
      </c>
      <c r="N291" s="3">
        <v>26</v>
      </c>
    </row>
    <row r="292" spans="1:14" x14ac:dyDescent="0.25">
      <c r="A292" s="2">
        <v>291</v>
      </c>
      <c r="B292" s="3">
        <v>13184444</v>
      </c>
      <c r="C292" s="2" t="s">
        <v>177</v>
      </c>
      <c r="D292" s="3">
        <v>2</v>
      </c>
      <c r="E292" s="2">
        <v>76</v>
      </c>
      <c r="F292" s="2" t="str">
        <f t="shared" si="10"/>
        <v>APILABLE</v>
      </c>
      <c r="G292" s="2" t="str">
        <f>"63445030113203"</f>
        <v>63445030113203</v>
      </c>
      <c r="I292">
        <v>20</v>
      </c>
      <c r="J292" s="3">
        <v>1</v>
      </c>
      <c r="K292" s="2">
        <v>9</v>
      </c>
      <c r="L292" s="3" t="s">
        <v>2</v>
      </c>
      <c r="M292" s="4">
        <v>39707</v>
      </c>
      <c r="N292" s="3">
        <v>26</v>
      </c>
    </row>
    <row r="293" spans="1:14" x14ac:dyDescent="0.25">
      <c r="A293" s="2">
        <v>292</v>
      </c>
      <c r="B293" s="3">
        <v>13184445</v>
      </c>
      <c r="C293" s="2" t="s">
        <v>177</v>
      </c>
      <c r="D293" s="3">
        <v>2</v>
      </c>
      <c r="E293" s="2">
        <v>76</v>
      </c>
      <c r="F293" s="2" t="str">
        <f t="shared" si="10"/>
        <v>APILABLE</v>
      </c>
      <c r="G293" s="2" t="str">
        <f>"63445030113204"</f>
        <v>63445030113204</v>
      </c>
      <c r="I293">
        <v>20</v>
      </c>
      <c r="J293" s="3">
        <v>1</v>
      </c>
      <c r="K293" s="2">
        <v>9</v>
      </c>
      <c r="L293" s="3" t="s">
        <v>2</v>
      </c>
      <c r="M293" s="4">
        <v>39707</v>
      </c>
      <c r="N293" s="3">
        <v>26</v>
      </c>
    </row>
    <row r="294" spans="1:14" x14ac:dyDescent="0.25">
      <c r="A294" s="2">
        <v>293</v>
      </c>
      <c r="B294" s="3">
        <v>13184446</v>
      </c>
      <c r="C294" s="2" t="s">
        <v>177</v>
      </c>
      <c r="D294" s="3">
        <v>2</v>
      </c>
      <c r="E294" s="2">
        <v>76</v>
      </c>
      <c r="F294" s="2" t="str">
        <f t="shared" si="10"/>
        <v>APILABLE</v>
      </c>
      <c r="G294" s="2" t="str">
        <f>"63445030113205"</f>
        <v>63445030113205</v>
      </c>
      <c r="I294">
        <v>20</v>
      </c>
      <c r="J294" s="3">
        <v>1</v>
      </c>
      <c r="K294" s="2">
        <v>9</v>
      </c>
      <c r="L294" s="3" t="s">
        <v>2</v>
      </c>
      <c r="M294" s="4">
        <v>39707</v>
      </c>
      <c r="N294" s="3">
        <v>26</v>
      </c>
    </row>
    <row r="295" spans="1:14" x14ac:dyDescent="0.25">
      <c r="A295" s="2">
        <v>294</v>
      </c>
      <c r="B295" s="3">
        <v>13184447</v>
      </c>
      <c r="C295" s="2" t="s">
        <v>177</v>
      </c>
      <c r="D295" s="3">
        <v>2</v>
      </c>
      <c r="E295" s="2">
        <v>76</v>
      </c>
      <c r="F295" s="2" t="str">
        <f t="shared" si="10"/>
        <v>APILABLE</v>
      </c>
      <c r="G295" s="2" t="str">
        <f>"63445030113206"</f>
        <v>63445030113206</v>
      </c>
      <c r="I295">
        <v>20</v>
      </c>
      <c r="J295" s="3">
        <v>1</v>
      </c>
      <c r="K295" s="2">
        <v>9</v>
      </c>
      <c r="L295" s="3" t="s">
        <v>2</v>
      </c>
      <c r="M295" s="4">
        <v>39707</v>
      </c>
      <c r="N295" s="3">
        <v>26</v>
      </c>
    </row>
    <row r="296" spans="1:14" x14ac:dyDescent="0.25">
      <c r="A296" s="2">
        <v>295</v>
      </c>
      <c r="B296" s="3">
        <v>13184448</v>
      </c>
      <c r="C296" s="2" t="s">
        <v>177</v>
      </c>
      <c r="D296" s="3">
        <v>2</v>
      </c>
      <c r="E296" s="2">
        <v>76</v>
      </c>
      <c r="F296" s="2" t="str">
        <f t="shared" si="10"/>
        <v>APILABLE</v>
      </c>
      <c r="G296" s="2" t="str">
        <f>"63445030113207"</f>
        <v>63445030113207</v>
      </c>
      <c r="I296">
        <v>20</v>
      </c>
      <c r="J296" s="3">
        <v>1</v>
      </c>
      <c r="K296" s="2">
        <v>9</v>
      </c>
      <c r="L296" s="3" t="s">
        <v>2</v>
      </c>
      <c r="M296" s="4">
        <v>39707</v>
      </c>
      <c r="N296" s="3">
        <v>26</v>
      </c>
    </row>
    <row r="297" spans="1:14" x14ac:dyDescent="0.25">
      <c r="A297" s="2">
        <v>296</v>
      </c>
      <c r="B297" s="3">
        <v>13184449</v>
      </c>
      <c r="C297" s="2" t="s">
        <v>177</v>
      </c>
      <c r="D297" s="3">
        <v>2</v>
      </c>
      <c r="E297" s="2">
        <v>76</v>
      </c>
      <c r="F297" s="2" t="str">
        <f t="shared" si="10"/>
        <v>APILABLE</v>
      </c>
      <c r="G297" s="2" t="str">
        <f>"63445030113208"</f>
        <v>63445030113208</v>
      </c>
      <c r="I297">
        <v>20</v>
      </c>
      <c r="J297" s="3">
        <v>1</v>
      </c>
      <c r="K297" s="2">
        <v>9</v>
      </c>
      <c r="L297" s="3" t="s">
        <v>2</v>
      </c>
      <c r="M297" s="4">
        <v>39707</v>
      </c>
      <c r="N297" s="3">
        <v>26</v>
      </c>
    </row>
    <row r="298" spans="1:14" x14ac:dyDescent="0.25">
      <c r="A298" s="2">
        <v>297</v>
      </c>
      <c r="B298" s="3">
        <v>13184462</v>
      </c>
      <c r="C298" s="2" t="s">
        <v>177</v>
      </c>
      <c r="D298" s="3">
        <v>2</v>
      </c>
      <c r="E298" s="2">
        <v>76</v>
      </c>
      <c r="F298" s="2" t="str">
        <f t="shared" ref="F298:F303" si="11">"SIN MODELO"</f>
        <v>SIN MODELO</v>
      </c>
      <c r="G298" s="2" t="str">
        <f>"63445030114005"</f>
        <v>63445030114005</v>
      </c>
      <c r="I298">
        <v>20</v>
      </c>
      <c r="J298" s="3">
        <v>2</v>
      </c>
      <c r="K298" s="2">
        <v>39</v>
      </c>
      <c r="L298" s="3" t="s">
        <v>2</v>
      </c>
      <c r="M298" s="4">
        <v>39707</v>
      </c>
      <c r="N298" s="3">
        <v>90</v>
      </c>
    </row>
    <row r="299" spans="1:14" x14ac:dyDescent="0.25">
      <c r="A299" s="2">
        <v>298</v>
      </c>
      <c r="B299" s="3">
        <v>13184463</v>
      </c>
      <c r="C299" s="2" t="s">
        <v>177</v>
      </c>
      <c r="D299" s="3">
        <v>2</v>
      </c>
      <c r="E299" s="2">
        <v>76</v>
      </c>
      <c r="F299" s="2" t="str">
        <f t="shared" si="11"/>
        <v>SIN MODELO</v>
      </c>
      <c r="G299" s="2" t="str">
        <f>"63445030114006"</f>
        <v>63445030114006</v>
      </c>
      <c r="I299">
        <v>20</v>
      </c>
      <c r="J299" s="3">
        <v>1</v>
      </c>
      <c r="K299" s="2">
        <v>39</v>
      </c>
      <c r="L299" s="3" t="s">
        <v>2</v>
      </c>
      <c r="M299" s="4">
        <v>39707</v>
      </c>
      <c r="N299" s="3">
        <v>90</v>
      </c>
    </row>
    <row r="300" spans="1:14" x14ac:dyDescent="0.25">
      <c r="A300" s="2">
        <v>299</v>
      </c>
      <c r="B300" s="3">
        <v>13184464</v>
      </c>
      <c r="C300" s="2" t="s">
        <v>177</v>
      </c>
      <c r="D300" s="3">
        <v>2</v>
      </c>
      <c r="E300" s="2">
        <v>76</v>
      </c>
      <c r="F300" s="2" t="str">
        <f t="shared" si="11"/>
        <v>SIN MODELO</v>
      </c>
      <c r="G300" s="2" t="str">
        <f>"63445030114007"</f>
        <v>63445030114007</v>
      </c>
      <c r="I300">
        <v>20</v>
      </c>
      <c r="J300" s="3">
        <v>2</v>
      </c>
      <c r="K300" s="2">
        <v>39</v>
      </c>
      <c r="L300" s="3" t="s">
        <v>2</v>
      </c>
      <c r="M300" s="4">
        <v>39707</v>
      </c>
      <c r="N300" s="3">
        <v>90</v>
      </c>
    </row>
    <row r="301" spans="1:14" x14ac:dyDescent="0.25">
      <c r="A301" s="2">
        <v>300</v>
      </c>
      <c r="B301" s="3">
        <v>13184465</v>
      </c>
      <c r="C301" s="2" t="s">
        <v>177</v>
      </c>
      <c r="D301" s="3">
        <v>2</v>
      </c>
      <c r="E301" s="2">
        <v>76</v>
      </c>
      <c r="F301" s="2" t="str">
        <f t="shared" si="11"/>
        <v>SIN MODELO</v>
      </c>
      <c r="G301" s="2" t="str">
        <f>"63445030114008"</f>
        <v>63445030114008</v>
      </c>
      <c r="I301">
        <v>20</v>
      </c>
      <c r="J301" s="3">
        <v>2</v>
      </c>
      <c r="K301" s="2">
        <v>39</v>
      </c>
      <c r="L301" s="3" t="s">
        <v>2</v>
      </c>
      <c r="M301" s="4">
        <v>39707</v>
      </c>
      <c r="N301" s="3">
        <v>90</v>
      </c>
    </row>
    <row r="302" spans="1:14" x14ac:dyDescent="0.25">
      <c r="A302" s="2">
        <v>301</v>
      </c>
      <c r="B302" s="3">
        <v>13184466</v>
      </c>
      <c r="C302" s="2" t="s">
        <v>177</v>
      </c>
      <c r="D302" s="3">
        <v>2</v>
      </c>
      <c r="E302" s="2">
        <v>76</v>
      </c>
      <c r="F302" s="2" t="str">
        <f t="shared" si="11"/>
        <v>SIN MODELO</v>
      </c>
      <c r="G302" s="2" t="str">
        <f>"63445030114009"</f>
        <v>63445030114009</v>
      </c>
      <c r="I302">
        <v>20</v>
      </c>
      <c r="J302" s="3">
        <v>2</v>
      </c>
      <c r="K302" s="2">
        <v>39</v>
      </c>
      <c r="L302" s="3" t="s">
        <v>2</v>
      </c>
      <c r="M302" s="4">
        <v>39707</v>
      </c>
      <c r="N302" s="3">
        <v>90</v>
      </c>
    </row>
    <row r="303" spans="1:14" x14ac:dyDescent="0.25">
      <c r="A303" s="2">
        <v>302</v>
      </c>
      <c r="B303" s="3">
        <v>13184467</v>
      </c>
      <c r="C303" s="2" t="s">
        <v>177</v>
      </c>
      <c r="D303" s="3">
        <v>2</v>
      </c>
      <c r="E303" s="2">
        <v>76</v>
      </c>
      <c r="F303" s="2" t="str">
        <f t="shared" si="11"/>
        <v>SIN MODELO</v>
      </c>
      <c r="G303" s="2" t="str">
        <f>"63445030114010"</f>
        <v>63445030114010</v>
      </c>
      <c r="I303">
        <v>20</v>
      </c>
      <c r="J303" s="3">
        <v>2</v>
      </c>
      <c r="K303" s="2">
        <v>39</v>
      </c>
      <c r="L303" s="3" t="s">
        <v>2</v>
      </c>
      <c r="M303" s="4">
        <v>39707</v>
      </c>
      <c r="N303" s="3">
        <v>90</v>
      </c>
    </row>
    <row r="304" spans="1:14" x14ac:dyDescent="0.25">
      <c r="A304" s="2">
        <v>303</v>
      </c>
      <c r="B304" s="3">
        <v>13184468</v>
      </c>
      <c r="C304" s="2" t="s">
        <v>177</v>
      </c>
      <c r="D304" s="3">
        <v>2</v>
      </c>
      <c r="E304" s="2">
        <v>76</v>
      </c>
      <c r="F304" s="2" t="str">
        <f>"TRES PUESTOS"</f>
        <v>TRES PUESTOS</v>
      </c>
      <c r="G304" s="2" t="str">
        <f>"63445030114011"</f>
        <v>63445030114011</v>
      </c>
      <c r="I304">
        <v>20</v>
      </c>
      <c r="J304" s="3">
        <v>1</v>
      </c>
      <c r="K304" s="2">
        <v>9</v>
      </c>
      <c r="L304" s="3" t="s">
        <v>2</v>
      </c>
      <c r="M304" s="4">
        <v>39707</v>
      </c>
      <c r="N304" s="3">
        <v>90</v>
      </c>
    </row>
    <row r="305" spans="1:14" x14ac:dyDescent="0.25">
      <c r="A305" s="2">
        <v>304</v>
      </c>
      <c r="B305" s="3">
        <v>13184322</v>
      </c>
      <c r="C305" s="2" t="s">
        <v>183</v>
      </c>
      <c r="D305" s="3">
        <v>2</v>
      </c>
      <c r="E305" s="2">
        <v>76</v>
      </c>
      <c r="F305" s="2" t="str">
        <f>"SECRETARIA"</f>
        <v>SECRETARIA</v>
      </c>
      <c r="G305" s="2" t="str">
        <f>"63445030113017"</f>
        <v>63445030113017</v>
      </c>
      <c r="I305">
        <v>20</v>
      </c>
      <c r="J305" s="3">
        <v>1</v>
      </c>
      <c r="K305" s="2">
        <v>39</v>
      </c>
      <c r="L305" s="3" t="s">
        <v>2</v>
      </c>
      <c r="M305" s="4">
        <v>39707</v>
      </c>
      <c r="N305" s="3">
        <v>75</v>
      </c>
    </row>
    <row r="306" spans="1:14" x14ac:dyDescent="0.25">
      <c r="A306" s="2">
        <v>305</v>
      </c>
      <c r="B306" s="3">
        <v>13184323</v>
      </c>
      <c r="C306" s="2" t="s">
        <v>183</v>
      </c>
      <c r="D306" s="3">
        <v>2</v>
      </c>
      <c r="E306" s="2">
        <v>76</v>
      </c>
      <c r="F306" s="2" t="str">
        <f>"SECRETARIA"</f>
        <v>SECRETARIA</v>
      </c>
      <c r="G306" s="2" t="str">
        <f>"63445030113018"</f>
        <v>63445030113018</v>
      </c>
      <c r="I306">
        <v>20</v>
      </c>
      <c r="J306" s="3">
        <v>2</v>
      </c>
      <c r="K306" s="2">
        <v>34</v>
      </c>
      <c r="L306" s="3" t="s">
        <v>2</v>
      </c>
      <c r="M306" s="4">
        <v>39707</v>
      </c>
      <c r="N306" s="3">
        <v>43.62</v>
      </c>
    </row>
    <row r="307" spans="1:14" x14ac:dyDescent="0.25">
      <c r="A307" s="2">
        <v>306</v>
      </c>
      <c r="B307" s="3">
        <v>13184324</v>
      </c>
      <c r="C307" s="2" t="s">
        <v>183</v>
      </c>
      <c r="D307" s="3">
        <v>2</v>
      </c>
      <c r="E307" s="2">
        <v>76</v>
      </c>
      <c r="F307" s="2" t="str">
        <f>"SECRETARIA"</f>
        <v>SECRETARIA</v>
      </c>
      <c r="G307" s="2" t="str">
        <f>"63445030113019"</f>
        <v>63445030113019</v>
      </c>
      <c r="I307">
        <v>20</v>
      </c>
      <c r="J307" s="3">
        <v>1</v>
      </c>
      <c r="K307" s="2">
        <v>39</v>
      </c>
      <c r="L307" s="3" t="s">
        <v>2</v>
      </c>
      <c r="M307" s="4">
        <v>39707</v>
      </c>
      <c r="N307" s="3">
        <v>43.62</v>
      </c>
    </row>
    <row r="308" spans="1:14" x14ac:dyDescent="0.25">
      <c r="A308" s="2">
        <v>307</v>
      </c>
      <c r="B308" s="3">
        <v>13184325</v>
      </c>
      <c r="C308" s="2" t="s">
        <v>183</v>
      </c>
      <c r="D308" s="3">
        <v>2</v>
      </c>
      <c r="E308" s="2">
        <v>76</v>
      </c>
      <c r="F308" s="2" t="str">
        <f>"SECRETARIA"</f>
        <v>SECRETARIA</v>
      </c>
      <c r="G308" s="2" t="str">
        <f>"63445030113020"</f>
        <v>63445030113020</v>
      </c>
      <c r="I308">
        <v>20</v>
      </c>
      <c r="J308" s="3">
        <v>2</v>
      </c>
      <c r="K308" s="2">
        <v>39</v>
      </c>
      <c r="L308" s="3" t="s">
        <v>2</v>
      </c>
      <c r="M308" s="4">
        <v>39707</v>
      </c>
      <c r="N308" s="3">
        <v>55</v>
      </c>
    </row>
    <row r="309" spans="1:14" x14ac:dyDescent="0.25">
      <c r="A309" s="2">
        <v>308</v>
      </c>
      <c r="B309" s="3">
        <v>13181989</v>
      </c>
      <c r="C309" s="2" t="s">
        <v>169</v>
      </c>
      <c r="D309" s="3">
        <v>1</v>
      </c>
      <c r="E309" s="2">
        <v>76</v>
      </c>
      <c r="F309" s="2" t="str">
        <f t="shared" ref="F309:F315" si="12">"TUMBADO"</f>
        <v>TUMBADO</v>
      </c>
      <c r="G309" s="2" t="str">
        <f>"63445040103002"</f>
        <v>63445040103002</v>
      </c>
      <c r="I309">
        <v>5</v>
      </c>
      <c r="J309" s="3">
        <v>1</v>
      </c>
      <c r="K309" s="2">
        <v>39</v>
      </c>
      <c r="L309" s="3" t="s">
        <v>2</v>
      </c>
      <c r="M309" s="4">
        <v>39722</v>
      </c>
      <c r="N309" s="3">
        <v>28</v>
      </c>
    </row>
    <row r="310" spans="1:14" x14ac:dyDescent="0.25">
      <c r="A310" s="2">
        <v>309</v>
      </c>
      <c r="B310" s="3">
        <v>13181990</v>
      </c>
      <c r="C310" s="2" t="s">
        <v>169</v>
      </c>
      <c r="D310" s="3">
        <v>1</v>
      </c>
      <c r="E310" s="2">
        <v>76</v>
      </c>
      <c r="F310" s="2" t="str">
        <f t="shared" si="12"/>
        <v>TUMBADO</v>
      </c>
      <c r="G310" s="2" t="str">
        <f>"63445040103003"</f>
        <v>63445040103003</v>
      </c>
      <c r="I310">
        <v>5</v>
      </c>
      <c r="J310" s="3">
        <v>1</v>
      </c>
      <c r="K310" s="2">
        <v>4</v>
      </c>
      <c r="L310" s="3" t="s">
        <v>2</v>
      </c>
      <c r="M310" s="4">
        <v>39722</v>
      </c>
      <c r="N310" s="3">
        <v>28</v>
      </c>
    </row>
    <row r="311" spans="1:14" x14ac:dyDescent="0.25">
      <c r="A311" s="2">
        <v>310</v>
      </c>
      <c r="B311" s="3">
        <v>13181991</v>
      </c>
      <c r="C311" s="2" t="s">
        <v>169</v>
      </c>
      <c r="D311" s="3">
        <v>1</v>
      </c>
      <c r="E311" s="2">
        <v>76</v>
      </c>
      <c r="F311" s="2" t="str">
        <f t="shared" si="12"/>
        <v>TUMBADO</v>
      </c>
      <c r="G311" s="2" t="str">
        <f>"63445040103004"</f>
        <v>63445040103004</v>
      </c>
      <c r="I311">
        <v>5</v>
      </c>
      <c r="J311" s="3">
        <v>1</v>
      </c>
      <c r="K311" s="2">
        <v>4</v>
      </c>
      <c r="L311" s="3" t="s">
        <v>2</v>
      </c>
      <c r="M311" s="4">
        <v>39722</v>
      </c>
      <c r="N311" s="3">
        <v>28</v>
      </c>
    </row>
    <row r="312" spans="1:14" x14ac:dyDescent="0.25">
      <c r="A312" s="2">
        <v>311</v>
      </c>
      <c r="B312" s="3">
        <v>13181992</v>
      </c>
      <c r="C312" s="2" t="s">
        <v>169</v>
      </c>
      <c r="D312" s="3">
        <v>1</v>
      </c>
      <c r="E312" s="2">
        <v>76</v>
      </c>
      <c r="F312" s="2" t="str">
        <f t="shared" si="12"/>
        <v>TUMBADO</v>
      </c>
      <c r="G312" s="2" t="str">
        <f>"63445040103005"</f>
        <v>63445040103005</v>
      </c>
      <c r="I312">
        <v>5</v>
      </c>
      <c r="J312" s="3">
        <v>1</v>
      </c>
      <c r="K312" s="2">
        <v>4</v>
      </c>
      <c r="L312" s="3" t="s">
        <v>2</v>
      </c>
      <c r="M312" s="4">
        <v>39722</v>
      </c>
      <c r="N312" s="3">
        <v>28</v>
      </c>
    </row>
    <row r="313" spans="1:14" x14ac:dyDescent="0.25">
      <c r="A313" s="2">
        <v>312</v>
      </c>
      <c r="B313" s="3">
        <v>13181993</v>
      </c>
      <c r="C313" s="2" t="s">
        <v>169</v>
      </c>
      <c r="D313" s="3">
        <v>1</v>
      </c>
      <c r="E313" s="2">
        <v>76</v>
      </c>
      <c r="F313" s="2" t="str">
        <f t="shared" si="12"/>
        <v>TUMBADO</v>
      </c>
      <c r="G313" s="2" t="str">
        <f>"63445040103006"</f>
        <v>63445040103006</v>
      </c>
      <c r="I313">
        <v>5</v>
      </c>
      <c r="J313" s="3">
        <v>1</v>
      </c>
      <c r="K313" s="2">
        <v>34</v>
      </c>
      <c r="L313" s="3" t="s">
        <v>2</v>
      </c>
      <c r="M313" s="4">
        <v>39722</v>
      </c>
      <c r="N313" s="3">
        <v>28</v>
      </c>
    </row>
    <row r="314" spans="1:14" x14ac:dyDescent="0.25">
      <c r="A314" s="2">
        <v>313</v>
      </c>
      <c r="B314" s="3">
        <v>13181994</v>
      </c>
      <c r="C314" s="2" t="s">
        <v>169</v>
      </c>
      <c r="D314" s="3">
        <v>1</v>
      </c>
      <c r="E314" s="2">
        <v>76</v>
      </c>
      <c r="F314" s="2" t="str">
        <f t="shared" si="12"/>
        <v>TUMBADO</v>
      </c>
      <c r="G314" s="2" t="str">
        <f>"63445040103007"</f>
        <v>63445040103007</v>
      </c>
      <c r="I314">
        <v>5</v>
      </c>
      <c r="J314" s="3">
        <v>1</v>
      </c>
      <c r="K314" s="2">
        <v>18</v>
      </c>
      <c r="L314" s="3" t="s">
        <v>2</v>
      </c>
      <c r="M314" s="4">
        <v>39722</v>
      </c>
      <c r="N314" s="3">
        <v>28</v>
      </c>
    </row>
    <row r="315" spans="1:14" x14ac:dyDescent="0.25">
      <c r="A315" s="2">
        <v>314</v>
      </c>
      <c r="B315" s="3">
        <v>13181995</v>
      </c>
      <c r="C315" s="2" t="s">
        <v>169</v>
      </c>
      <c r="D315" s="3">
        <v>1</v>
      </c>
      <c r="E315" s="2">
        <v>76</v>
      </c>
      <c r="F315" s="2" t="str">
        <f t="shared" si="12"/>
        <v>TUMBADO</v>
      </c>
      <c r="G315" s="2" t="str">
        <f>"63445040103008"</f>
        <v>63445040103008</v>
      </c>
      <c r="I315">
        <v>5</v>
      </c>
      <c r="J315" s="3">
        <v>1</v>
      </c>
      <c r="K315" s="2">
        <v>26</v>
      </c>
      <c r="L315" s="3" t="s">
        <v>2</v>
      </c>
      <c r="M315" s="4">
        <v>39722</v>
      </c>
      <c r="N315" s="3">
        <v>28</v>
      </c>
    </row>
    <row r="316" spans="1:14" x14ac:dyDescent="0.25">
      <c r="A316" s="2">
        <v>315</v>
      </c>
      <c r="B316" s="3">
        <v>7602782</v>
      </c>
      <c r="C316" s="2" t="s">
        <v>210</v>
      </c>
      <c r="D316" s="3">
        <v>1</v>
      </c>
      <c r="E316" s="2">
        <v>9</v>
      </c>
      <c r="F316" s="2" t="str">
        <f>"PA 451 DVD"</f>
        <v>PA 451 DVD</v>
      </c>
      <c r="G316" s="2" t="str">
        <f>"14101040201001"</f>
        <v>14101040201001</v>
      </c>
      <c r="I316">
        <v>20</v>
      </c>
      <c r="J316" s="3">
        <v>1</v>
      </c>
      <c r="K316" s="2">
        <v>9</v>
      </c>
      <c r="L316" s="3" t="s">
        <v>2</v>
      </c>
      <c r="M316" s="4">
        <v>39899</v>
      </c>
      <c r="N316" s="3">
        <v>240</v>
      </c>
    </row>
    <row r="317" spans="1:14" x14ac:dyDescent="0.25">
      <c r="A317" s="2">
        <v>316</v>
      </c>
      <c r="B317" s="3">
        <v>7602783</v>
      </c>
      <c r="C317" s="2" t="s">
        <v>211</v>
      </c>
      <c r="D317" s="3">
        <v>1</v>
      </c>
      <c r="E317" s="2">
        <v>52</v>
      </c>
      <c r="F317" s="2" t="str">
        <f>"CFX12 MKII"</f>
        <v>CFX12 MKII</v>
      </c>
      <c r="G317" s="2" t="str">
        <f>"PX27112"</f>
        <v>PX27112</v>
      </c>
      <c r="I317">
        <v>13</v>
      </c>
      <c r="J317" s="3">
        <v>2</v>
      </c>
      <c r="K317" s="2">
        <v>9</v>
      </c>
      <c r="L317" s="3" t="s">
        <v>2</v>
      </c>
      <c r="M317" s="4">
        <v>39899</v>
      </c>
      <c r="N317" s="5">
        <v>1008</v>
      </c>
    </row>
    <row r="318" spans="1:14" x14ac:dyDescent="0.25">
      <c r="A318" s="2">
        <v>317</v>
      </c>
      <c r="B318" s="3">
        <v>7602784</v>
      </c>
      <c r="C318" s="2" t="s">
        <v>212</v>
      </c>
      <c r="D318" s="3">
        <v>1</v>
      </c>
      <c r="E318" s="2">
        <v>62</v>
      </c>
      <c r="F318" s="2" t="str">
        <f>"CDJ 400"</f>
        <v>CDJ 400</v>
      </c>
      <c r="G318" s="2" t="str">
        <f>"HHMP010128LW"</f>
        <v>HHMP010128LW</v>
      </c>
      <c r="I318">
        <v>20</v>
      </c>
      <c r="J318" s="3">
        <v>1</v>
      </c>
      <c r="K318" s="2">
        <v>9</v>
      </c>
      <c r="L318" s="3" t="s">
        <v>2</v>
      </c>
      <c r="M318" s="4">
        <v>39899</v>
      </c>
      <c r="N318" s="3">
        <v>896</v>
      </c>
    </row>
    <row r="319" spans="1:14" x14ac:dyDescent="0.25">
      <c r="A319" s="2">
        <v>318</v>
      </c>
      <c r="B319" s="3">
        <v>7602785</v>
      </c>
      <c r="C319" s="2" t="s">
        <v>213</v>
      </c>
      <c r="D319" s="3">
        <v>1</v>
      </c>
      <c r="E319" s="2">
        <v>4</v>
      </c>
      <c r="F319" s="2" t="str">
        <f>"SR 40 D"</f>
        <v>SR 40 D</v>
      </c>
      <c r="G319" s="2" t="str">
        <f>"V08101607860"</f>
        <v>V08101607860</v>
      </c>
      <c r="I319">
        <v>20</v>
      </c>
      <c r="J319" s="3">
        <v>1</v>
      </c>
      <c r="K319" s="2">
        <v>9</v>
      </c>
      <c r="L319" s="3" t="s">
        <v>2</v>
      </c>
      <c r="M319" s="4">
        <v>39899</v>
      </c>
      <c r="N319" s="3">
        <v>352.8</v>
      </c>
    </row>
    <row r="320" spans="1:14" x14ac:dyDescent="0.25">
      <c r="A320" s="2">
        <v>319</v>
      </c>
      <c r="B320" s="3">
        <v>7602786</v>
      </c>
      <c r="C320" s="2" t="s">
        <v>213</v>
      </c>
      <c r="D320" s="3">
        <v>1</v>
      </c>
      <c r="E320" s="2">
        <v>4</v>
      </c>
      <c r="F320" s="2" t="str">
        <f>"SR 40 S"</f>
        <v>SR 40 S</v>
      </c>
      <c r="G320" s="2" t="str">
        <f>"VO8100601935"</f>
        <v>VO8100601935</v>
      </c>
      <c r="I320">
        <v>20</v>
      </c>
      <c r="J320" s="3">
        <v>1</v>
      </c>
      <c r="K320" s="2">
        <v>9</v>
      </c>
      <c r="L320" s="3" t="s">
        <v>2</v>
      </c>
      <c r="M320" s="4">
        <v>39899</v>
      </c>
      <c r="N320" s="3">
        <v>201.6</v>
      </c>
    </row>
    <row r="321" spans="1:14" x14ac:dyDescent="0.25">
      <c r="A321" s="2">
        <v>320</v>
      </c>
      <c r="B321" s="3">
        <v>7602787</v>
      </c>
      <c r="C321" s="2" t="s">
        <v>214</v>
      </c>
      <c r="D321" s="3">
        <v>1</v>
      </c>
      <c r="E321" s="2">
        <v>4</v>
      </c>
      <c r="F321" s="2" t="str">
        <f>"PT 40PRO"</f>
        <v>PT 40PRO</v>
      </c>
      <c r="G321" s="2" t="str">
        <f>"14101040201006"</f>
        <v>14101040201006</v>
      </c>
      <c r="I321">
        <v>20</v>
      </c>
      <c r="J321" s="3">
        <v>1</v>
      </c>
      <c r="K321" s="2">
        <v>9</v>
      </c>
      <c r="L321" s="3" t="s">
        <v>2</v>
      </c>
      <c r="M321" s="4">
        <v>39899</v>
      </c>
      <c r="N321" s="3">
        <v>448</v>
      </c>
    </row>
    <row r="322" spans="1:14" x14ac:dyDescent="0.25">
      <c r="A322" s="2">
        <v>321</v>
      </c>
      <c r="B322" s="3">
        <v>7602794</v>
      </c>
      <c r="C322" s="2" t="s">
        <v>215</v>
      </c>
      <c r="D322" s="3">
        <v>1</v>
      </c>
      <c r="E322" s="2">
        <v>87</v>
      </c>
      <c r="F322" s="2" t="str">
        <f>"SVP X15"</f>
        <v>SVP X15</v>
      </c>
      <c r="G322" s="2" t="str">
        <f>"SVPX15000060B"</f>
        <v>SVPX15000060B</v>
      </c>
      <c r="I322">
        <v>20</v>
      </c>
      <c r="J322" s="3">
        <v>1</v>
      </c>
      <c r="K322" s="2">
        <v>9</v>
      </c>
      <c r="L322" s="3" t="s">
        <v>2</v>
      </c>
      <c r="M322" s="4">
        <v>39899</v>
      </c>
      <c r="N322" s="3">
        <v>200</v>
      </c>
    </row>
    <row r="323" spans="1:14" x14ac:dyDescent="0.25">
      <c r="A323" s="2">
        <v>322</v>
      </c>
      <c r="B323" s="3">
        <v>7602795</v>
      </c>
      <c r="C323" s="2" t="s">
        <v>215</v>
      </c>
      <c r="D323" s="3">
        <v>1</v>
      </c>
      <c r="E323" s="2">
        <v>88</v>
      </c>
      <c r="F323" s="2" t="str">
        <f>"FBT 350 W"</f>
        <v>FBT 350 W</v>
      </c>
      <c r="G323" s="2" t="str">
        <f>"470174I0199"</f>
        <v>470174I0199</v>
      </c>
      <c r="I323">
        <v>20</v>
      </c>
      <c r="J323" s="3">
        <v>1</v>
      </c>
      <c r="K323" s="2">
        <v>9</v>
      </c>
      <c r="L323" s="3" t="s">
        <v>2</v>
      </c>
      <c r="M323" s="4">
        <v>39899</v>
      </c>
      <c r="N323" s="5">
        <v>1008</v>
      </c>
    </row>
    <row r="324" spans="1:14" x14ac:dyDescent="0.25">
      <c r="A324" s="2">
        <v>323</v>
      </c>
      <c r="B324" s="3">
        <v>7602796</v>
      </c>
      <c r="C324" s="2" t="s">
        <v>215</v>
      </c>
      <c r="D324" s="3">
        <v>1</v>
      </c>
      <c r="E324" s="2">
        <v>88</v>
      </c>
      <c r="F324" s="2" t="str">
        <f>"FBT 350 W"</f>
        <v>FBT 350 W</v>
      </c>
      <c r="G324" s="2" t="str">
        <f>"470174I0171"</f>
        <v>470174I0171</v>
      </c>
      <c r="I324">
        <v>20</v>
      </c>
      <c r="J324" s="3">
        <v>1</v>
      </c>
      <c r="K324" s="2">
        <v>9</v>
      </c>
      <c r="L324" s="3" t="s">
        <v>2</v>
      </c>
      <c r="M324" s="4">
        <v>39899</v>
      </c>
      <c r="N324" s="5">
        <v>1008</v>
      </c>
    </row>
    <row r="325" spans="1:14" x14ac:dyDescent="0.25">
      <c r="A325" s="2">
        <v>324</v>
      </c>
      <c r="B325" s="3">
        <v>6794398</v>
      </c>
      <c r="C325" s="2" t="s">
        <v>145</v>
      </c>
      <c r="D325" s="3">
        <v>1</v>
      </c>
      <c r="E325" s="2">
        <v>37</v>
      </c>
      <c r="F325" s="2" t="str">
        <f>"SIN MODELO"</f>
        <v>SIN MODELO</v>
      </c>
      <c r="G325" s="2" t="str">
        <f>"14101070101024"</f>
        <v>14101070101024</v>
      </c>
      <c r="I325">
        <v>23</v>
      </c>
      <c r="J325" s="3">
        <v>2</v>
      </c>
      <c r="K325" s="2">
        <v>2</v>
      </c>
      <c r="L325" s="3" t="s">
        <v>2</v>
      </c>
      <c r="M325" s="4">
        <v>39930</v>
      </c>
      <c r="N325" s="3">
        <v>765.44</v>
      </c>
    </row>
    <row r="326" spans="1:14" x14ac:dyDescent="0.25">
      <c r="A326" s="2">
        <v>325</v>
      </c>
      <c r="B326" s="3">
        <v>6794401</v>
      </c>
      <c r="C326" s="2" t="s">
        <v>145</v>
      </c>
      <c r="D326" s="3">
        <v>1</v>
      </c>
      <c r="E326" s="2">
        <v>37</v>
      </c>
      <c r="F326" s="2" t="str">
        <f>"SIN MODELO"</f>
        <v>SIN MODELO</v>
      </c>
      <c r="G326" s="2" t="str">
        <f>"14101070101027"</f>
        <v>14101070101027</v>
      </c>
      <c r="I326">
        <v>23</v>
      </c>
      <c r="J326" s="3">
        <v>2</v>
      </c>
      <c r="K326" s="2">
        <v>39</v>
      </c>
      <c r="L326" s="3" t="s">
        <v>2</v>
      </c>
      <c r="M326" s="4">
        <v>39930</v>
      </c>
      <c r="N326" s="3">
        <v>765.44</v>
      </c>
    </row>
    <row r="327" spans="1:14" x14ac:dyDescent="0.25">
      <c r="A327" s="2">
        <v>326</v>
      </c>
      <c r="B327" s="3">
        <v>6794522</v>
      </c>
      <c r="C327" s="2" t="s">
        <v>195</v>
      </c>
      <c r="D327" s="3">
        <v>1</v>
      </c>
      <c r="E327" s="2">
        <v>74</v>
      </c>
      <c r="F327" s="2" t="str">
        <f>"920NW"</f>
        <v>920NW</v>
      </c>
      <c r="G327" s="2" t="str">
        <f>"HA19H9FM342095L"</f>
        <v>HA19H9FM342095L</v>
      </c>
      <c r="I327">
        <v>20</v>
      </c>
      <c r="J327" s="3">
        <v>1</v>
      </c>
      <c r="K327" s="2">
        <v>39</v>
      </c>
      <c r="L327" s="3" t="s">
        <v>2</v>
      </c>
      <c r="M327" s="4">
        <v>39930</v>
      </c>
      <c r="N327" s="3">
        <v>136.25</v>
      </c>
    </row>
    <row r="328" spans="1:14" x14ac:dyDescent="0.25">
      <c r="A328" s="2">
        <v>327</v>
      </c>
      <c r="B328" s="3">
        <v>6794525</v>
      </c>
      <c r="C328" s="2" t="s">
        <v>195</v>
      </c>
      <c r="D328" s="3">
        <v>1</v>
      </c>
      <c r="E328" s="2">
        <v>50</v>
      </c>
      <c r="F328" s="2" t="str">
        <f>"W1943SS"</f>
        <v>W1943SS</v>
      </c>
      <c r="G328" s="2" t="str">
        <f>"102UXUN58878"</f>
        <v>102UXUN58878</v>
      </c>
      <c r="I328">
        <v>20</v>
      </c>
      <c r="J328" s="3">
        <v>1</v>
      </c>
      <c r="K328" s="2">
        <v>23</v>
      </c>
      <c r="L328" s="3" t="s">
        <v>2</v>
      </c>
      <c r="M328" s="4">
        <v>39930</v>
      </c>
      <c r="N328" s="3">
        <v>136.25</v>
      </c>
    </row>
    <row r="329" spans="1:14" x14ac:dyDescent="0.25">
      <c r="A329" s="2">
        <v>328</v>
      </c>
      <c r="B329" s="3">
        <v>13382654</v>
      </c>
      <c r="C329" s="2" t="s">
        <v>198</v>
      </c>
      <c r="D329" s="3">
        <v>1</v>
      </c>
      <c r="E329" s="2">
        <v>42</v>
      </c>
      <c r="F329" s="2" t="str">
        <f>"KB 0316"</f>
        <v>KB 0316</v>
      </c>
      <c r="G329" s="2" t="str">
        <f>"BC3370FVBW36NM"</f>
        <v>BC3370FVBW36NM</v>
      </c>
      <c r="I329">
        <v>20</v>
      </c>
      <c r="J329" s="3">
        <v>1</v>
      </c>
      <c r="K329" s="2">
        <v>39</v>
      </c>
      <c r="L329" s="3" t="s">
        <v>2</v>
      </c>
      <c r="M329" s="4">
        <v>39930</v>
      </c>
      <c r="N329" s="3">
        <v>12.42</v>
      </c>
    </row>
    <row r="330" spans="1:14" x14ac:dyDescent="0.25">
      <c r="A330" s="2">
        <v>329</v>
      </c>
      <c r="B330" s="3">
        <v>13382657</v>
      </c>
      <c r="C330" s="2" t="s">
        <v>198</v>
      </c>
      <c r="D330" s="3">
        <v>1</v>
      </c>
      <c r="E330" s="2">
        <v>38</v>
      </c>
      <c r="F330" s="2" t="str">
        <f>"K639"</f>
        <v>K639</v>
      </c>
      <c r="G330" s="2" t="str">
        <f>"ZM4803200439"</f>
        <v>ZM4803200439</v>
      </c>
      <c r="I330">
        <v>20</v>
      </c>
      <c r="J330" s="3">
        <v>1</v>
      </c>
      <c r="K330" s="2">
        <v>8</v>
      </c>
      <c r="L330" s="3" t="s">
        <v>2</v>
      </c>
      <c r="M330" s="4">
        <v>39930</v>
      </c>
      <c r="N330" s="3">
        <v>12.42</v>
      </c>
    </row>
    <row r="331" spans="1:14" x14ac:dyDescent="0.25">
      <c r="A331" s="2">
        <v>330</v>
      </c>
      <c r="B331" s="3">
        <v>13382693</v>
      </c>
      <c r="C331" s="2" t="s">
        <v>197</v>
      </c>
      <c r="D331" s="3">
        <v>1</v>
      </c>
      <c r="E331" s="2">
        <v>38</v>
      </c>
      <c r="F331" s="2" t="str">
        <f>"GM 04003A"</f>
        <v>GM 04003A</v>
      </c>
      <c r="G331" s="2" t="str">
        <f>"133735704685"</f>
        <v>133735704685</v>
      </c>
      <c r="I331">
        <v>20</v>
      </c>
      <c r="J331" s="3">
        <v>1</v>
      </c>
      <c r="K331" s="2">
        <v>39</v>
      </c>
      <c r="L331" s="3" t="s">
        <v>2</v>
      </c>
      <c r="M331" s="4">
        <v>39930</v>
      </c>
      <c r="N331" s="3">
        <v>5.89</v>
      </c>
    </row>
    <row r="332" spans="1:14" x14ac:dyDescent="0.25">
      <c r="A332" s="2">
        <v>331</v>
      </c>
      <c r="B332" s="3">
        <v>13382696</v>
      </c>
      <c r="C332" s="2" t="s">
        <v>197</v>
      </c>
      <c r="D332" s="3">
        <v>1</v>
      </c>
      <c r="E332" s="2">
        <v>38</v>
      </c>
      <c r="F332" s="2" t="str">
        <f>"NETSCROLL"</f>
        <v>NETSCROLL</v>
      </c>
      <c r="G332" s="2" t="str">
        <f>"121095006810"</f>
        <v>121095006810</v>
      </c>
      <c r="I332">
        <v>23</v>
      </c>
      <c r="J332" s="3">
        <v>1</v>
      </c>
      <c r="K332" s="2">
        <v>39</v>
      </c>
      <c r="L332" s="3" t="s">
        <v>2</v>
      </c>
      <c r="M332" s="4">
        <v>39930</v>
      </c>
      <c r="N332" s="3">
        <v>5.89</v>
      </c>
    </row>
    <row r="333" spans="1:14" x14ac:dyDescent="0.25">
      <c r="A333" s="2">
        <v>332</v>
      </c>
      <c r="B333" s="3">
        <v>6794450</v>
      </c>
      <c r="C333" s="2" t="s">
        <v>204</v>
      </c>
      <c r="D333" s="3">
        <v>1</v>
      </c>
      <c r="E333" s="2">
        <v>31</v>
      </c>
      <c r="F333" s="2" t="str">
        <f>"FX 890"</f>
        <v>FX 890</v>
      </c>
      <c r="G333" s="2" t="str">
        <f>"E8BY316807"</f>
        <v>E8BY316807</v>
      </c>
      <c r="I333">
        <v>13</v>
      </c>
      <c r="J333" s="3">
        <v>1</v>
      </c>
      <c r="K333" s="2">
        <v>18</v>
      </c>
      <c r="L333" s="3" t="s">
        <v>2</v>
      </c>
      <c r="M333" s="4">
        <v>39933</v>
      </c>
      <c r="N333" s="3">
        <v>598</v>
      </c>
    </row>
    <row r="334" spans="1:14" x14ac:dyDescent="0.25">
      <c r="A334" s="2">
        <v>333</v>
      </c>
      <c r="B334" s="3">
        <v>6794452</v>
      </c>
      <c r="C334" s="2" t="s">
        <v>192</v>
      </c>
      <c r="D334" s="3">
        <v>1</v>
      </c>
      <c r="E334" s="2">
        <v>42</v>
      </c>
      <c r="F334" s="2" t="str">
        <f>"P4014N"</f>
        <v>P4014N</v>
      </c>
      <c r="G334" s="2" t="str">
        <f>"CNDX118445"</f>
        <v>CNDX118445</v>
      </c>
      <c r="I334">
        <v>13</v>
      </c>
      <c r="J334" s="3">
        <v>1</v>
      </c>
      <c r="K334" s="2">
        <v>4</v>
      </c>
      <c r="L334" s="3" t="s">
        <v>2</v>
      </c>
      <c r="M334" s="4">
        <v>39934</v>
      </c>
      <c r="N334" s="5">
        <v>1105</v>
      </c>
    </row>
    <row r="335" spans="1:14" x14ac:dyDescent="0.25">
      <c r="A335" s="2">
        <v>334</v>
      </c>
      <c r="B335" s="3">
        <v>6794594</v>
      </c>
      <c r="C335" s="2" t="s">
        <v>216</v>
      </c>
      <c r="D335" s="3">
        <v>1</v>
      </c>
      <c r="E335" s="2">
        <v>42</v>
      </c>
      <c r="F335" s="2" t="str">
        <f>"PROLIANT ML 150"</f>
        <v>PROLIANT ML 150</v>
      </c>
      <c r="G335" s="2" t="str">
        <f>"MXS9120ERV"</f>
        <v>MXS9120ERV</v>
      </c>
      <c r="I335">
        <v>20</v>
      </c>
      <c r="J335" s="3">
        <v>1</v>
      </c>
      <c r="K335" s="2">
        <v>4</v>
      </c>
      <c r="L335" s="3" t="s">
        <v>2</v>
      </c>
      <c r="M335" s="4">
        <v>39966</v>
      </c>
      <c r="N335" s="5">
        <v>1240.53</v>
      </c>
    </row>
    <row r="336" spans="1:14" x14ac:dyDescent="0.25">
      <c r="A336" s="2">
        <v>335</v>
      </c>
      <c r="B336" s="3">
        <v>6794595</v>
      </c>
      <c r="C336" s="2" t="s">
        <v>216</v>
      </c>
      <c r="D336" s="3">
        <v>1</v>
      </c>
      <c r="E336" s="2">
        <v>42</v>
      </c>
      <c r="F336" s="2" t="str">
        <f>"PROLIANT ML 150"</f>
        <v>PROLIANT ML 150</v>
      </c>
      <c r="G336" s="2" t="str">
        <f>"MXS9120ERW"</f>
        <v>MXS9120ERW</v>
      </c>
      <c r="I336">
        <v>20</v>
      </c>
      <c r="J336" s="3">
        <v>1</v>
      </c>
      <c r="K336" s="2">
        <v>4</v>
      </c>
      <c r="L336" s="3" t="s">
        <v>2</v>
      </c>
      <c r="M336" s="4">
        <v>39966</v>
      </c>
      <c r="N336" s="5">
        <v>1240.53</v>
      </c>
    </row>
    <row r="337" spans="1:14" x14ac:dyDescent="0.25">
      <c r="A337" s="2">
        <v>336</v>
      </c>
      <c r="B337" s="3">
        <v>6794596</v>
      </c>
      <c r="C337" s="2" t="s">
        <v>216</v>
      </c>
      <c r="D337" s="3">
        <v>1</v>
      </c>
      <c r="E337" s="2">
        <v>42</v>
      </c>
      <c r="F337" s="2" t="str">
        <f>"PROLIANT ML 150"</f>
        <v>PROLIANT ML 150</v>
      </c>
      <c r="G337" s="2" t="str">
        <f>"MXS9110ENP"</f>
        <v>MXS9110ENP</v>
      </c>
      <c r="I337">
        <v>20</v>
      </c>
      <c r="J337" s="3">
        <v>1</v>
      </c>
      <c r="K337" s="2">
        <v>4</v>
      </c>
      <c r="L337" s="3" t="s">
        <v>2</v>
      </c>
      <c r="M337" s="4">
        <v>39966</v>
      </c>
      <c r="N337" s="5">
        <v>1240.53</v>
      </c>
    </row>
    <row r="338" spans="1:14" x14ac:dyDescent="0.25">
      <c r="A338" s="2">
        <v>337</v>
      </c>
      <c r="B338" s="3">
        <v>13184473</v>
      </c>
      <c r="C338" s="2" t="s">
        <v>217</v>
      </c>
      <c r="D338" s="3">
        <v>2</v>
      </c>
      <c r="E338" s="2">
        <v>76</v>
      </c>
      <c r="F338" s="2" t="str">
        <f>"CAJONERA"</f>
        <v>CAJONERA</v>
      </c>
      <c r="G338" s="2" t="str">
        <f>"63445030126001"</f>
        <v>63445030126001</v>
      </c>
      <c r="I338">
        <v>5</v>
      </c>
      <c r="J338" s="3">
        <v>2</v>
      </c>
      <c r="K338" s="2">
        <v>39</v>
      </c>
      <c r="L338" s="3" t="s">
        <v>2</v>
      </c>
      <c r="M338" s="4">
        <v>39969</v>
      </c>
      <c r="N338" s="3">
        <v>55</v>
      </c>
    </row>
    <row r="339" spans="1:14" x14ac:dyDescent="0.25">
      <c r="A339" s="2">
        <v>338</v>
      </c>
      <c r="B339" s="3">
        <v>13184474</v>
      </c>
      <c r="C339" s="2" t="s">
        <v>217</v>
      </c>
      <c r="D339" s="3">
        <v>2</v>
      </c>
      <c r="E339" s="2">
        <v>76</v>
      </c>
      <c r="F339" s="2" t="str">
        <f>"CAJONERA"</f>
        <v>CAJONERA</v>
      </c>
      <c r="G339" s="2" t="str">
        <f>"63445030126002"</f>
        <v>63445030126002</v>
      </c>
      <c r="I339">
        <v>5</v>
      </c>
      <c r="J339" s="3">
        <v>1</v>
      </c>
      <c r="K339" s="2">
        <v>4</v>
      </c>
      <c r="L339" s="3" t="s">
        <v>2</v>
      </c>
      <c r="M339" s="4">
        <v>40150</v>
      </c>
      <c r="N339" s="3">
        <v>98.21</v>
      </c>
    </row>
    <row r="340" spans="1:14" x14ac:dyDescent="0.25">
      <c r="A340" s="2">
        <v>339</v>
      </c>
      <c r="B340" s="3">
        <v>7606360</v>
      </c>
      <c r="C340" s="2" t="s">
        <v>274</v>
      </c>
      <c r="D340" s="3">
        <v>2</v>
      </c>
      <c r="E340" s="2">
        <v>76</v>
      </c>
      <c r="F340" s="2" t="str">
        <f>"SIN MODELO"</f>
        <v>SIN MODELO</v>
      </c>
      <c r="G340" s="2" t="str">
        <f>"14101030110001"</f>
        <v>14101030110001</v>
      </c>
      <c r="I340">
        <v>5</v>
      </c>
      <c r="J340" s="3">
        <v>2</v>
      </c>
      <c r="K340" s="2">
        <v>23</v>
      </c>
      <c r="L340" s="3" t="s">
        <v>2</v>
      </c>
      <c r="M340" s="4">
        <v>40151</v>
      </c>
      <c r="N340" s="3">
        <v>125</v>
      </c>
    </row>
    <row r="341" spans="1:14" x14ac:dyDescent="0.25">
      <c r="A341" s="2">
        <v>340</v>
      </c>
      <c r="B341" s="3">
        <v>7606361</v>
      </c>
      <c r="C341" s="2" t="s">
        <v>274</v>
      </c>
      <c r="D341" s="3">
        <v>2</v>
      </c>
      <c r="E341" s="2">
        <v>76</v>
      </c>
      <c r="F341" s="2" t="str">
        <f>"SIN MODELO"</f>
        <v>SIN MODELO</v>
      </c>
      <c r="G341" s="2" t="str">
        <f>"14101030110002"</f>
        <v>14101030110002</v>
      </c>
      <c r="I341">
        <v>5</v>
      </c>
      <c r="J341" s="3">
        <v>2</v>
      </c>
      <c r="K341" s="2">
        <v>23</v>
      </c>
      <c r="L341" s="3" t="s">
        <v>2</v>
      </c>
      <c r="M341" s="4">
        <v>40151</v>
      </c>
      <c r="N341" s="3">
        <v>125</v>
      </c>
    </row>
    <row r="342" spans="1:14" x14ac:dyDescent="0.25">
      <c r="A342" s="2">
        <v>341</v>
      </c>
      <c r="B342" s="3">
        <v>7606362</v>
      </c>
      <c r="C342" s="2" t="s">
        <v>274</v>
      </c>
      <c r="D342" s="3">
        <v>2</v>
      </c>
      <c r="E342" s="2">
        <v>76</v>
      </c>
      <c r="F342" s="2" t="str">
        <f>"SIN MODELO"</f>
        <v>SIN MODELO</v>
      </c>
      <c r="G342" s="2" t="str">
        <f>"14101030110003"</f>
        <v>14101030110003</v>
      </c>
      <c r="I342">
        <v>5</v>
      </c>
      <c r="J342" s="3">
        <v>2</v>
      </c>
      <c r="K342" s="2">
        <v>15</v>
      </c>
      <c r="L342" s="3" t="s">
        <v>2</v>
      </c>
      <c r="M342" s="4">
        <v>40151</v>
      </c>
      <c r="N342" s="3">
        <v>125</v>
      </c>
    </row>
    <row r="343" spans="1:14" x14ac:dyDescent="0.25">
      <c r="A343" s="2">
        <v>342</v>
      </c>
      <c r="B343" s="3">
        <v>7602765</v>
      </c>
      <c r="C343" s="2" t="s">
        <v>193</v>
      </c>
      <c r="D343" s="3">
        <v>1</v>
      </c>
      <c r="E343" s="2">
        <v>28</v>
      </c>
      <c r="F343" s="2" t="str">
        <f>"MS5145"</f>
        <v>MS5145</v>
      </c>
      <c r="G343" s="2" t="str">
        <f>"5208212150"</f>
        <v>5208212150</v>
      </c>
      <c r="I343">
        <v>20</v>
      </c>
      <c r="J343" s="3">
        <v>1</v>
      </c>
      <c r="K343" s="2">
        <v>4</v>
      </c>
      <c r="L343" s="3" t="s">
        <v>2</v>
      </c>
      <c r="M343" s="4">
        <v>40156</v>
      </c>
      <c r="N343" s="3">
        <v>145</v>
      </c>
    </row>
    <row r="344" spans="1:14" x14ac:dyDescent="0.25">
      <c r="A344" s="2">
        <v>343</v>
      </c>
      <c r="B344" s="3">
        <v>7602766</v>
      </c>
      <c r="C344" s="2" t="s">
        <v>193</v>
      </c>
      <c r="D344" s="3">
        <v>1</v>
      </c>
      <c r="E344" s="2">
        <v>81</v>
      </c>
      <c r="F344" s="2" t="str">
        <f>"LS 2208"</f>
        <v>LS 2208</v>
      </c>
      <c r="G344" s="2" t="str">
        <f>"Y48M9Y"</f>
        <v>Y48M9Y</v>
      </c>
      <c r="I344">
        <v>13</v>
      </c>
      <c r="J344" s="3">
        <v>1</v>
      </c>
      <c r="K344" s="2">
        <v>4</v>
      </c>
      <c r="L344" s="3" t="s">
        <v>2</v>
      </c>
      <c r="M344" s="4">
        <v>40156</v>
      </c>
      <c r="N344" s="3">
        <v>193</v>
      </c>
    </row>
    <row r="345" spans="1:14" x14ac:dyDescent="0.25">
      <c r="A345" s="2">
        <v>344</v>
      </c>
      <c r="B345" s="3">
        <v>13182003</v>
      </c>
      <c r="C345" s="2" t="s">
        <v>218</v>
      </c>
      <c r="D345" s="3">
        <v>1</v>
      </c>
      <c r="E345" s="2">
        <v>87</v>
      </c>
      <c r="F345" s="2" t="str">
        <f>"DM 2.0S"</f>
        <v>DM 2.0S</v>
      </c>
      <c r="G345" s="2" t="str">
        <f>"63445040203001"</f>
        <v>63445040203001</v>
      </c>
      <c r="I345">
        <v>20</v>
      </c>
      <c r="J345" s="3">
        <v>2</v>
      </c>
      <c r="K345" s="2">
        <v>9</v>
      </c>
      <c r="L345" s="3" t="s">
        <v>2</v>
      </c>
      <c r="M345" s="4">
        <v>40156</v>
      </c>
      <c r="N345" s="3">
        <v>28</v>
      </c>
    </row>
    <row r="346" spans="1:14" x14ac:dyDescent="0.25">
      <c r="A346" s="2">
        <v>345</v>
      </c>
      <c r="B346" s="3">
        <v>13182004</v>
      </c>
      <c r="C346" s="2" t="s">
        <v>218</v>
      </c>
      <c r="D346" s="3">
        <v>1</v>
      </c>
      <c r="E346" s="2">
        <v>68</v>
      </c>
      <c r="F346" s="2" t="str">
        <f>"HT 40"</f>
        <v>HT 40</v>
      </c>
      <c r="G346" s="2" t="str">
        <f>"63445040203002"</f>
        <v>63445040203002</v>
      </c>
      <c r="I346">
        <v>20</v>
      </c>
      <c r="J346" s="3">
        <v>1</v>
      </c>
      <c r="K346" s="2">
        <v>9</v>
      </c>
      <c r="L346" s="3" t="s">
        <v>2</v>
      </c>
      <c r="M346" s="4">
        <v>40156</v>
      </c>
      <c r="N346" s="3">
        <v>95.2</v>
      </c>
    </row>
    <row r="347" spans="1:14" x14ac:dyDescent="0.25">
      <c r="A347" s="2">
        <v>346</v>
      </c>
      <c r="B347" s="3">
        <v>13182005</v>
      </c>
      <c r="C347" s="2" t="s">
        <v>218</v>
      </c>
      <c r="D347" s="3">
        <v>1</v>
      </c>
      <c r="E347" s="2">
        <v>68</v>
      </c>
      <c r="F347" s="2" t="str">
        <f>"HT 40"</f>
        <v>HT 40</v>
      </c>
      <c r="G347" s="2" t="str">
        <f>"63445040203003"</f>
        <v>63445040203003</v>
      </c>
      <c r="I347">
        <v>20</v>
      </c>
      <c r="J347" s="3">
        <v>1</v>
      </c>
      <c r="K347" s="2">
        <v>9</v>
      </c>
      <c r="L347" s="3" t="s">
        <v>2</v>
      </c>
      <c r="M347" s="4">
        <v>40156</v>
      </c>
      <c r="N347" s="3">
        <v>95.2</v>
      </c>
    </row>
    <row r="348" spans="1:14" x14ac:dyDescent="0.25">
      <c r="A348" s="2">
        <v>347</v>
      </c>
      <c r="B348" s="3">
        <v>7602816</v>
      </c>
      <c r="C348" s="2" t="s">
        <v>219</v>
      </c>
      <c r="D348" s="3">
        <v>1</v>
      </c>
      <c r="E348" s="2">
        <v>59</v>
      </c>
      <c r="F348" s="2" t="str">
        <f>"DK51278"</f>
        <v>DK51278</v>
      </c>
      <c r="G348" s="2" t="str">
        <f>"U219497T"</f>
        <v>U219497T</v>
      </c>
      <c r="I348">
        <v>20</v>
      </c>
      <c r="J348" s="3">
        <v>1</v>
      </c>
      <c r="K348" s="2">
        <v>3</v>
      </c>
      <c r="L348" s="3" t="s">
        <v>2</v>
      </c>
      <c r="M348" s="4">
        <v>40157</v>
      </c>
      <c r="N348" s="5">
        <v>20473.28</v>
      </c>
    </row>
    <row r="349" spans="1:14" x14ac:dyDescent="0.25">
      <c r="A349" s="2">
        <v>348</v>
      </c>
      <c r="B349" s="3">
        <v>7602830</v>
      </c>
      <c r="C349" s="2" t="s">
        <v>194</v>
      </c>
      <c r="D349" s="3">
        <v>1</v>
      </c>
      <c r="E349" s="2">
        <v>35</v>
      </c>
      <c r="F349" s="2" t="str">
        <f>"OREGON 550T"</f>
        <v>OREGON 550T</v>
      </c>
      <c r="G349" s="2" t="str">
        <f>"1MY024349"</f>
        <v>1MY024349</v>
      </c>
      <c r="I349">
        <v>13</v>
      </c>
      <c r="J349" s="3">
        <v>2</v>
      </c>
      <c r="K349" s="2">
        <v>39</v>
      </c>
      <c r="L349" s="3" t="s">
        <v>2</v>
      </c>
      <c r="M349" s="4">
        <v>40589</v>
      </c>
      <c r="N349" s="3">
        <v>595</v>
      </c>
    </row>
    <row r="350" spans="1:14" x14ac:dyDescent="0.25">
      <c r="A350" s="2">
        <v>349</v>
      </c>
      <c r="B350" s="3">
        <v>7602831</v>
      </c>
      <c r="C350" s="2" t="s">
        <v>194</v>
      </c>
      <c r="D350" s="3">
        <v>1</v>
      </c>
      <c r="E350" s="2">
        <v>35</v>
      </c>
      <c r="F350" s="2" t="str">
        <f>"OREGON 550T"</f>
        <v>OREGON 550T</v>
      </c>
      <c r="G350" s="2" t="str">
        <f>"1MY024348"</f>
        <v>1MY024348</v>
      </c>
      <c r="I350">
        <v>13</v>
      </c>
      <c r="J350" s="3">
        <v>2</v>
      </c>
      <c r="K350" s="2">
        <v>30</v>
      </c>
      <c r="L350" s="3" t="s">
        <v>2</v>
      </c>
      <c r="M350" s="4">
        <v>40589</v>
      </c>
      <c r="N350" s="3">
        <v>595</v>
      </c>
    </row>
    <row r="351" spans="1:14" x14ac:dyDescent="0.25">
      <c r="A351" s="2">
        <v>350</v>
      </c>
      <c r="B351" s="3">
        <v>6794495</v>
      </c>
      <c r="C351" s="2" t="s">
        <v>220</v>
      </c>
      <c r="D351" s="3">
        <v>1</v>
      </c>
      <c r="E351" s="2">
        <v>40</v>
      </c>
      <c r="F351" s="2" t="str">
        <f t="shared" ref="F351:F356" si="13">"GXP2000"</f>
        <v>GXP2000</v>
      </c>
      <c r="G351" s="2" t="str">
        <f>"20EYVGNA8029CA18"</f>
        <v>20EYVGNA8029CA18</v>
      </c>
      <c r="I351">
        <v>20</v>
      </c>
      <c r="J351" s="3">
        <v>1</v>
      </c>
      <c r="K351" s="2">
        <v>26</v>
      </c>
      <c r="L351" s="3" t="s">
        <v>2</v>
      </c>
      <c r="M351" s="4">
        <v>40616</v>
      </c>
      <c r="N351" s="3">
        <v>131</v>
      </c>
    </row>
    <row r="352" spans="1:14" x14ac:dyDescent="0.25">
      <c r="A352" s="2">
        <v>351</v>
      </c>
      <c r="B352" s="3">
        <v>6794496</v>
      </c>
      <c r="C352" s="2" t="s">
        <v>220</v>
      </c>
      <c r="D352" s="3">
        <v>1</v>
      </c>
      <c r="E352" s="2">
        <v>40</v>
      </c>
      <c r="F352" s="2" t="str">
        <f t="shared" si="13"/>
        <v>GXP2000</v>
      </c>
      <c r="G352" s="2" t="str">
        <f>"20EYVGNA8029CA1A"</f>
        <v>20EYVGNA8029CA1A</v>
      </c>
      <c r="I352">
        <v>20</v>
      </c>
      <c r="J352" s="3">
        <v>1</v>
      </c>
      <c r="K352" s="2">
        <v>8</v>
      </c>
      <c r="L352" s="3" t="s">
        <v>2</v>
      </c>
      <c r="M352" s="4">
        <v>40616</v>
      </c>
      <c r="N352" s="3">
        <v>131</v>
      </c>
    </row>
    <row r="353" spans="1:14" x14ac:dyDescent="0.25">
      <c r="A353" s="2">
        <v>352</v>
      </c>
      <c r="B353" s="3">
        <v>6794499</v>
      </c>
      <c r="C353" s="2" t="s">
        <v>220</v>
      </c>
      <c r="D353" s="3">
        <v>1</v>
      </c>
      <c r="E353" s="2">
        <v>40</v>
      </c>
      <c r="F353" s="2" t="str">
        <f t="shared" si="13"/>
        <v>GXP2000</v>
      </c>
      <c r="G353" s="2" t="str">
        <f>"20EYVGNA8029CA1C"</f>
        <v>20EYVGNA8029CA1C</v>
      </c>
      <c r="I353">
        <v>20</v>
      </c>
      <c r="J353" s="3">
        <v>1</v>
      </c>
      <c r="K353" s="2">
        <v>39</v>
      </c>
      <c r="L353" s="3" t="s">
        <v>2</v>
      </c>
      <c r="M353" s="4">
        <v>40616</v>
      </c>
      <c r="N353" s="3">
        <v>131</v>
      </c>
    </row>
    <row r="354" spans="1:14" x14ac:dyDescent="0.25">
      <c r="A354" s="2">
        <v>353</v>
      </c>
      <c r="B354" s="3">
        <v>6794500</v>
      </c>
      <c r="C354" s="2" t="s">
        <v>220</v>
      </c>
      <c r="D354" s="3">
        <v>1</v>
      </c>
      <c r="E354" s="2">
        <v>40</v>
      </c>
      <c r="F354" s="2" t="str">
        <f t="shared" si="13"/>
        <v>GXP2000</v>
      </c>
      <c r="G354" s="2" t="str">
        <f>"20EYVGNA8029CA1D"</f>
        <v>20EYVGNA8029CA1D</v>
      </c>
      <c r="I354">
        <v>20</v>
      </c>
      <c r="J354" s="3">
        <v>1</v>
      </c>
      <c r="K354" s="2">
        <v>37</v>
      </c>
      <c r="L354" s="3" t="s">
        <v>2</v>
      </c>
      <c r="M354" s="4">
        <v>40616</v>
      </c>
      <c r="N354" s="3">
        <v>131</v>
      </c>
    </row>
    <row r="355" spans="1:14" x14ac:dyDescent="0.25">
      <c r="A355" s="2">
        <v>354</v>
      </c>
      <c r="B355" s="3">
        <v>6794501</v>
      </c>
      <c r="C355" s="2" t="s">
        <v>220</v>
      </c>
      <c r="D355" s="3">
        <v>1</v>
      </c>
      <c r="E355" s="2">
        <v>40</v>
      </c>
      <c r="F355" s="2" t="str">
        <f t="shared" si="13"/>
        <v>GXP2000</v>
      </c>
      <c r="G355" s="2" t="str">
        <f>"20EYVGNA8029CA1E"</f>
        <v>20EYVGNA8029CA1E</v>
      </c>
      <c r="I355">
        <v>20</v>
      </c>
      <c r="J355" s="3">
        <v>2</v>
      </c>
      <c r="K355" s="2">
        <v>18</v>
      </c>
      <c r="L355" s="3" t="s">
        <v>2</v>
      </c>
      <c r="M355" s="4">
        <v>40616</v>
      </c>
      <c r="N355" s="3">
        <v>131</v>
      </c>
    </row>
    <row r="356" spans="1:14" x14ac:dyDescent="0.25">
      <c r="A356" s="2">
        <v>355</v>
      </c>
      <c r="B356" s="3">
        <v>6794502</v>
      </c>
      <c r="C356" s="2" t="s">
        <v>220</v>
      </c>
      <c r="D356" s="3">
        <v>1</v>
      </c>
      <c r="E356" s="2">
        <v>40</v>
      </c>
      <c r="F356" s="2" t="str">
        <f t="shared" si="13"/>
        <v>GXP2000</v>
      </c>
      <c r="G356" s="2" t="str">
        <f>"20EYVGNA8029CA1F"</f>
        <v>20EYVGNA8029CA1F</v>
      </c>
      <c r="I356">
        <v>20</v>
      </c>
      <c r="J356" s="3">
        <v>1</v>
      </c>
      <c r="K356" s="2">
        <v>34</v>
      </c>
      <c r="L356" s="3" t="s">
        <v>2</v>
      </c>
      <c r="M356" s="4">
        <v>40616</v>
      </c>
      <c r="N356" s="3">
        <v>131</v>
      </c>
    </row>
    <row r="357" spans="1:14" x14ac:dyDescent="0.25">
      <c r="A357" s="2">
        <v>356</v>
      </c>
      <c r="B357" s="3">
        <v>6794569</v>
      </c>
      <c r="C357" s="2" t="s">
        <v>192</v>
      </c>
      <c r="D357" s="3">
        <v>1</v>
      </c>
      <c r="E357" s="2">
        <v>42</v>
      </c>
      <c r="F357" s="2" t="str">
        <f>"2025 DN"</f>
        <v>2025 DN</v>
      </c>
      <c r="G357" s="2" t="str">
        <f>"CNGS448387"</f>
        <v>CNGS448387</v>
      </c>
      <c r="I357">
        <v>17</v>
      </c>
      <c r="J357" s="3">
        <v>1</v>
      </c>
      <c r="K357" s="2">
        <v>39</v>
      </c>
      <c r="L357" s="3" t="s">
        <v>2</v>
      </c>
      <c r="M357" s="4">
        <v>40634</v>
      </c>
      <c r="N357" s="3">
        <v>558.6</v>
      </c>
    </row>
    <row r="358" spans="1:14" x14ac:dyDescent="0.25">
      <c r="A358" s="2">
        <v>357</v>
      </c>
      <c r="B358" s="3">
        <v>6794592</v>
      </c>
      <c r="C358" s="2" t="s">
        <v>216</v>
      </c>
      <c r="D358" s="3">
        <v>1</v>
      </c>
      <c r="E358" s="2">
        <v>42</v>
      </c>
      <c r="F358" s="2" t="str">
        <f>"PRO 3130MT"</f>
        <v>PRO 3130MT</v>
      </c>
      <c r="G358" s="2" t="str">
        <f>"MXL10318JM"</f>
        <v>MXL10318JM</v>
      </c>
      <c r="I358">
        <v>20</v>
      </c>
      <c r="J358" s="3">
        <v>1</v>
      </c>
      <c r="K358" s="2">
        <v>18</v>
      </c>
      <c r="L358" s="3" t="s">
        <v>2</v>
      </c>
      <c r="M358" s="4">
        <v>40645</v>
      </c>
      <c r="N358" s="3">
        <v>667.8</v>
      </c>
    </row>
    <row r="359" spans="1:14" x14ac:dyDescent="0.25">
      <c r="A359" s="2">
        <v>358</v>
      </c>
      <c r="B359" s="3">
        <v>6794593</v>
      </c>
      <c r="C359" s="2" t="s">
        <v>216</v>
      </c>
      <c r="D359" s="3">
        <v>1</v>
      </c>
      <c r="E359" s="2">
        <v>42</v>
      </c>
      <c r="F359" s="2" t="str">
        <f>"PRO 3130MT"</f>
        <v>PRO 3130MT</v>
      </c>
      <c r="G359" s="2" t="str">
        <f>"MXL10318LJ"</f>
        <v>MXL10318LJ</v>
      </c>
      <c r="I359">
        <v>20</v>
      </c>
      <c r="J359" s="3">
        <v>1</v>
      </c>
      <c r="K359" s="2">
        <v>4</v>
      </c>
      <c r="L359" s="3" t="s">
        <v>2</v>
      </c>
      <c r="M359" s="4">
        <v>40645</v>
      </c>
      <c r="N359" s="3">
        <v>667.8</v>
      </c>
    </row>
    <row r="360" spans="1:14" x14ac:dyDescent="0.25">
      <c r="A360" s="2">
        <v>359</v>
      </c>
      <c r="B360" s="3">
        <v>6794600</v>
      </c>
      <c r="C360" s="2" t="s">
        <v>195</v>
      </c>
      <c r="D360" s="3">
        <v>1</v>
      </c>
      <c r="E360" s="2">
        <v>42</v>
      </c>
      <c r="F360" s="2" t="str">
        <f>"S1933"</f>
        <v>S1933</v>
      </c>
      <c r="G360" s="2" t="str">
        <f>"CNC044SBRN"</f>
        <v>CNC044SBRN</v>
      </c>
      <c r="I360">
        <v>20</v>
      </c>
      <c r="J360" s="3">
        <v>1</v>
      </c>
      <c r="K360" s="2">
        <v>4</v>
      </c>
      <c r="L360" s="3" t="s">
        <v>2</v>
      </c>
      <c r="M360" s="4">
        <v>40645</v>
      </c>
      <c r="N360" s="3">
        <v>198</v>
      </c>
    </row>
    <row r="361" spans="1:14" x14ac:dyDescent="0.25">
      <c r="A361" s="2">
        <v>360</v>
      </c>
      <c r="B361" s="3">
        <v>13382738</v>
      </c>
      <c r="C361" s="2" t="s">
        <v>197</v>
      </c>
      <c r="D361" s="3">
        <v>1</v>
      </c>
      <c r="E361" s="2">
        <v>42</v>
      </c>
      <c r="F361" s="2" t="str">
        <f>"SBJ96"</f>
        <v>SBJ96</v>
      </c>
      <c r="G361" s="2" t="str">
        <f>"F93AA6AN3VHOP16"</f>
        <v>F93AA6AN3VHOP16</v>
      </c>
      <c r="I361">
        <v>20</v>
      </c>
      <c r="J361" s="3">
        <v>1</v>
      </c>
      <c r="K361" s="2">
        <v>4</v>
      </c>
      <c r="L361" s="3" t="s">
        <v>2</v>
      </c>
      <c r="M361" s="4">
        <v>40645</v>
      </c>
      <c r="N361" s="3">
        <v>10</v>
      </c>
    </row>
    <row r="362" spans="1:14" x14ac:dyDescent="0.25">
      <c r="A362" s="2">
        <v>361</v>
      </c>
      <c r="B362" s="3">
        <v>13382739</v>
      </c>
      <c r="C362" s="2" t="s">
        <v>197</v>
      </c>
      <c r="D362" s="3">
        <v>1</v>
      </c>
      <c r="E362" s="2">
        <v>42</v>
      </c>
      <c r="F362" s="2" t="str">
        <f>"MOFXKO"</f>
        <v>MOFXKO</v>
      </c>
      <c r="G362" s="2" t="str">
        <f>"FATSK0JUJZFTZ"</f>
        <v>FATSK0JUJZFTZ</v>
      </c>
      <c r="I362">
        <v>20</v>
      </c>
      <c r="J362" s="3">
        <v>1</v>
      </c>
      <c r="K362" s="2">
        <v>4</v>
      </c>
      <c r="L362" s="3" t="s">
        <v>2</v>
      </c>
      <c r="M362" s="4">
        <v>40645</v>
      </c>
      <c r="N362" s="3">
        <v>10</v>
      </c>
    </row>
    <row r="363" spans="1:14" x14ac:dyDescent="0.25">
      <c r="A363" s="2">
        <v>362</v>
      </c>
      <c r="B363" s="3">
        <v>6794570</v>
      </c>
      <c r="C363" s="2" t="s">
        <v>145</v>
      </c>
      <c r="D363" s="3">
        <v>1</v>
      </c>
      <c r="E363" s="2">
        <v>69</v>
      </c>
      <c r="F363" s="2" t="str">
        <f>"APOLO 4900"</f>
        <v>APOLO 4900</v>
      </c>
      <c r="G363" s="2" t="str">
        <f>"B290311228095"</f>
        <v>B290311228095</v>
      </c>
      <c r="I363">
        <v>20</v>
      </c>
      <c r="J363" s="3">
        <v>1</v>
      </c>
      <c r="K363" s="2">
        <v>9</v>
      </c>
      <c r="L363" s="3" t="s">
        <v>2</v>
      </c>
      <c r="M363" s="4">
        <v>40654</v>
      </c>
      <c r="N363" s="3">
        <v>695.2</v>
      </c>
    </row>
    <row r="364" spans="1:14" x14ac:dyDescent="0.25">
      <c r="A364" s="2">
        <v>363</v>
      </c>
      <c r="B364" s="3">
        <v>6794571</v>
      </c>
      <c r="C364" s="2" t="s">
        <v>145</v>
      </c>
      <c r="D364" s="3">
        <v>1</v>
      </c>
      <c r="E364" s="2">
        <v>69</v>
      </c>
      <c r="F364" s="2" t="str">
        <f>"APOLO 4900"</f>
        <v>APOLO 4900</v>
      </c>
      <c r="G364" s="2" t="str">
        <f>"B290311228093"</f>
        <v>B290311228093</v>
      </c>
      <c r="I364">
        <v>20</v>
      </c>
      <c r="J364" s="3">
        <v>1</v>
      </c>
      <c r="K364" s="2">
        <v>37</v>
      </c>
      <c r="L364" s="3" t="s">
        <v>2</v>
      </c>
      <c r="M364" s="4">
        <v>40654</v>
      </c>
      <c r="N364" s="3">
        <v>695.2</v>
      </c>
    </row>
    <row r="365" spans="1:14" x14ac:dyDescent="0.25">
      <c r="A365" s="2">
        <v>364</v>
      </c>
      <c r="B365" s="3">
        <v>6794572</v>
      </c>
      <c r="C365" s="2" t="s">
        <v>195</v>
      </c>
      <c r="D365" s="3">
        <v>1</v>
      </c>
      <c r="E365" s="2">
        <v>69</v>
      </c>
      <c r="F365" s="2" t="str">
        <f>"VW1910"</f>
        <v>VW1910</v>
      </c>
      <c r="G365" s="2" t="str">
        <f>"7112401030900067"</f>
        <v>7112401030900067</v>
      </c>
      <c r="I365">
        <v>20</v>
      </c>
      <c r="J365" s="3">
        <v>2</v>
      </c>
      <c r="K365" s="2">
        <v>39</v>
      </c>
      <c r="L365" s="3" t="s">
        <v>2</v>
      </c>
      <c r="M365" s="4">
        <v>40654</v>
      </c>
      <c r="N365" s="3">
        <v>148</v>
      </c>
    </row>
    <row r="366" spans="1:14" x14ac:dyDescent="0.25">
      <c r="A366" s="2">
        <v>365</v>
      </c>
      <c r="B366" s="3">
        <v>6794573</v>
      </c>
      <c r="C366" s="2" t="s">
        <v>195</v>
      </c>
      <c r="D366" s="3">
        <v>1</v>
      </c>
      <c r="E366" s="2">
        <v>69</v>
      </c>
      <c r="F366" s="2" t="str">
        <f>"VW1910"</f>
        <v>VW1910</v>
      </c>
      <c r="G366" s="2" t="str">
        <f>"7112401030901489"</f>
        <v>7112401030901489</v>
      </c>
      <c r="I366">
        <v>20</v>
      </c>
      <c r="J366" s="3">
        <v>2</v>
      </c>
      <c r="K366" s="2">
        <v>37</v>
      </c>
      <c r="L366" s="3" t="s">
        <v>2</v>
      </c>
      <c r="M366" s="4">
        <v>40654</v>
      </c>
      <c r="N366" s="3">
        <v>148</v>
      </c>
    </row>
    <row r="367" spans="1:14" x14ac:dyDescent="0.25">
      <c r="A367" s="2">
        <v>366</v>
      </c>
      <c r="B367" s="3">
        <v>13382736</v>
      </c>
      <c r="C367" s="2" t="s">
        <v>197</v>
      </c>
      <c r="D367" s="3">
        <v>1</v>
      </c>
      <c r="E367" s="2">
        <v>69</v>
      </c>
      <c r="F367" s="2" t="str">
        <f>"M668"</f>
        <v>M668</v>
      </c>
      <c r="G367" s="2" t="str">
        <f>"63445070104040"</f>
        <v>63445070104040</v>
      </c>
      <c r="I367">
        <v>20</v>
      </c>
      <c r="J367" s="3">
        <v>1</v>
      </c>
      <c r="K367" s="2">
        <v>39</v>
      </c>
      <c r="L367" s="3" t="s">
        <v>2</v>
      </c>
      <c r="M367" s="4">
        <v>40654</v>
      </c>
      <c r="N367" s="3">
        <v>4.54</v>
      </c>
    </row>
    <row r="368" spans="1:14" x14ac:dyDescent="0.25">
      <c r="A368" s="2">
        <v>367</v>
      </c>
      <c r="B368" s="3">
        <v>13382737</v>
      </c>
      <c r="C368" s="2" t="s">
        <v>197</v>
      </c>
      <c r="D368" s="3">
        <v>1</v>
      </c>
      <c r="E368" s="2">
        <v>69</v>
      </c>
      <c r="F368" s="2" t="str">
        <f>"SIN MODELO"</f>
        <v>SIN MODELO</v>
      </c>
      <c r="G368" s="2" t="str">
        <f>"121113048"</f>
        <v>121113048</v>
      </c>
      <c r="I368">
        <v>20</v>
      </c>
      <c r="J368" s="3">
        <v>1</v>
      </c>
      <c r="K368" s="2">
        <v>9</v>
      </c>
      <c r="L368" s="3" t="s">
        <v>2</v>
      </c>
      <c r="M368" s="4">
        <v>40654</v>
      </c>
      <c r="N368" s="3">
        <v>4.54</v>
      </c>
    </row>
    <row r="369" spans="1:14" x14ac:dyDescent="0.25">
      <c r="A369" s="2">
        <v>368</v>
      </c>
      <c r="B369" s="3">
        <v>6794394</v>
      </c>
      <c r="C369" s="2" t="s">
        <v>145</v>
      </c>
      <c r="D369" s="3">
        <v>1</v>
      </c>
      <c r="E369" s="2">
        <v>37</v>
      </c>
      <c r="F369" s="2" t="str">
        <f>"SIN MODELO"</f>
        <v>SIN MODELO</v>
      </c>
      <c r="G369" s="2" t="str">
        <f>"14101070101010"</f>
        <v>14101070101010</v>
      </c>
      <c r="I369">
        <v>20</v>
      </c>
      <c r="J369" s="3">
        <v>2</v>
      </c>
      <c r="K369" s="2">
        <v>39</v>
      </c>
      <c r="L369" s="3" t="s">
        <v>2</v>
      </c>
      <c r="M369" s="4">
        <v>40660</v>
      </c>
      <c r="N369" s="3">
        <v>742.14</v>
      </c>
    </row>
    <row r="370" spans="1:14" x14ac:dyDescent="0.25">
      <c r="A370" s="2">
        <v>369</v>
      </c>
      <c r="B370" s="3">
        <v>6794395</v>
      </c>
      <c r="C370" s="2" t="s">
        <v>145</v>
      </c>
      <c r="D370" s="3">
        <v>1</v>
      </c>
      <c r="E370" s="2">
        <v>37</v>
      </c>
      <c r="F370" s="2" t="str">
        <f>"SIN MODELO"</f>
        <v>SIN MODELO</v>
      </c>
      <c r="G370" s="2" t="str">
        <f>"14101070101011"</f>
        <v>14101070101011</v>
      </c>
      <c r="I370">
        <v>20</v>
      </c>
      <c r="J370" s="3">
        <v>2</v>
      </c>
      <c r="K370" s="2">
        <v>39</v>
      </c>
      <c r="L370" s="3" t="s">
        <v>2</v>
      </c>
      <c r="M370" s="4">
        <v>40660</v>
      </c>
      <c r="N370" s="3">
        <v>742.14</v>
      </c>
    </row>
    <row r="371" spans="1:14" x14ac:dyDescent="0.25">
      <c r="A371" s="2">
        <v>370</v>
      </c>
      <c r="B371" s="3">
        <v>6794396</v>
      </c>
      <c r="C371" s="2" t="s">
        <v>145</v>
      </c>
      <c r="D371" s="3">
        <v>1</v>
      </c>
      <c r="E371" s="2">
        <v>37</v>
      </c>
      <c r="F371" s="2" t="str">
        <f>"SIN MODELO"</f>
        <v>SIN MODELO</v>
      </c>
      <c r="G371" s="2" t="str">
        <f>"14101070101012"</f>
        <v>14101070101012</v>
      </c>
      <c r="I371">
        <v>20</v>
      </c>
      <c r="J371" s="3">
        <v>2</v>
      </c>
      <c r="K371" s="2">
        <v>30</v>
      </c>
      <c r="L371" s="3" t="s">
        <v>2</v>
      </c>
      <c r="M371" s="4">
        <v>40660</v>
      </c>
      <c r="N371" s="3">
        <v>742.14</v>
      </c>
    </row>
    <row r="372" spans="1:14" x14ac:dyDescent="0.25">
      <c r="A372" s="2">
        <v>371</v>
      </c>
      <c r="B372" s="3">
        <v>6794397</v>
      </c>
      <c r="C372" s="2" t="s">
        <v>145</v>
      </c>
      <c r="D372" s="3">
        <v>1</v>
      </c>
      <c r="E372" s="2">
        <v>37</v>
      </c>
      <c r="F372" s="2" t="str">
        <f>"SIN MODELO"</f>
        <v>SIN MODELO</v>
      </c>
      <c r="G372" s="2" t="str">
        <f>"14101070101013"</f>
        <v>14101070101013</v>
      </c>
      <c r="I372">
        <v>20</v>
      </c>
      <c r="J372" s="3">
        <v>2</v>
      </c>
      <c r="K372" s="2">
        <v>4</v>
      </c>
      <c r="L372" s="3" t="s">
        <v>2</v>
      </c>
      <c r="M372" s="4">
        <v>40660</v>
      </c>
      <c r="N372" s="3">
        <v>742.14</v>
      </c>
    </row>
    <row r="373" spans="1:14" x14ac:dyDescent="0.25">
      <c r="A373" s="2">
        <v>372</v>
      </c>
      <c r="B373" s="3">
        <v>6794518</v>
      </c>
      <c r="C373" s="2" t="s">
        <v>195</v>
      </c>
      <c r="D373" s="3">
        <v>1</v>
      </c>
      <c r="E373" s="2">
        <v>50</v>
      </c>
      <c r="F373" s="2" t="str">
        <f>"W1943SS"</f>
        <v>W1943SS</v>
      </c>
      <c r="G373" s="2" t="str">
        <f>"102UXJX58860"</f>
        <v>102UXJX58860</v>
      </c>
      <c r="I373">
        <v>20</v>
      </c>
      <c r="J373" s="3">
        <v>1</v>
      </c>
      <c r="K373" s="2">
        <v>39</v>
      </c>
      <c r="L373" s="3" t="s">
        <v>2</v>
      </c>
      <c r="M373" s="4">
        <v>40660</v>
      </c>
      <c r="N373" s="3">
        <v>132.11000000000001</v>
      </c>
    </row>
    <row r="374" spans="1:14" x14ac:dyDescent="0.25">
      <c r="A374" s="2">
        <v>373</v>
      </c>
      <c r="B374" s="3">
        <v>6794519</v>
      </c>
      <c r="C374" s="2" t="s">
        <v>195</v>
      </c>
      <c r="D374" s="3">
        <v>1</v>
      </c>
      <c r="E374" s="2">
        <v>50</v>
      </c>
      <c r="F374" s="2" t="str">
        <f>"W1943SS"</f>
        <v>W1943SS</v>
      </c>
      <c r="G374" s="2" t="str">
        <f>"102UXEZ58900"</f>
        <v>102UXEZ58900</v>
      </c>
      <c r="I374">
        <v>20</v>
      </c>
      <c r="J374" s="3">
        <v>1</v>
      </c>
      <c r="K374" s="2">
        <v>23</v>
      </c>
      <c r="L374" s="3" t="s">
        <v>2</v>
      </c>
      <c r="M374" s="4">
        <v>40660</v>
      </c>
      <c r="N374" s="3">
        <v>132.11000000000001</v>
      </c>
    </row>
    <row r="375" spans="1:14" x14ac:dyDescent="0.25">
      <c r="A375" s="2">
        <v>374</v>
      </c>
      <c r="B375" s="3">
        <v>6794520</v>
      </c>
      <c r="C375" s="2" t="s">
        <v>195</v>
      </c>
      <c r="D375" s="3">
        <v>1</v>
      </c>
      <c r="E375" s="2">
        <v>42</v>
      </c>
      <c r="F375" s="2" t="str">
        <f>"L1710"</f>
        <v>L1710</v>
      </c>
      <c r="G375" s="2" t="str">
        <f>"CNC903Q7B8"</f>
        <v>CNC903Q7B8</v>
      </c>
      <c r="I375">
        <v>22</v>
      </c>
      <c r="J375" s="3">
        <v>1</v>
      </c>
      <c r="K375" s="2">
        <v>30</v>
      </c>
      <c r="L375" s="3" t="s">
        <v>2</v>
      </c>
      <c r="M375" s="4">
        <v>40660</v>
      </c>
      <c r="N375" s="3">
        <v>132.11000000000001</v>
      </c>
    </row>
    <row r="376" spans="1:14" x14ac:dyDescent="0.25">
      <c r="A376" s="2">
        <v>375</v>
      </c>
      <c r="B376" s="3">
        <v>6794521</v>
      </c>
      <c r="C376" s="2" t="s">
        <v>195</v>
      </c>
      <c r="D376" s="3">
        <v>1</v>
      </c>
      <c r="E376" s="2">
        <v>74</v>
      </c>
      <c r="F376" s="2" t="str">
        <f>"920NW"</f>
        <v>920NW</v>
      </c>
      <c r="G376" s="2" t="str">
        <f>"HA19H9FM342835R"</f>
        <v>HA19H9FM342835R</v>
      </c>
      <c r="I376">
        <v>20</v>
      </c>
      <c r="J376" s="3">
        <v>1</v>
      </c>
      <c r="K376" s="2">
        <v>4</v>
      </c>
      <c r="L376" s="3" t="s">
        <v>2</v>
      </c>
      <c r="M376" s="4">
        <v>40660</v>
      </c>
      <c r="N376" s="3">
        <v>132.11000000000001</v>
      </c>
    </row>
    <row r="377" spans="1:14" x14ac:dyDescent="0.25">
      <c r="A377" s="2">
        <v>376</v>
      </c>
      <c r="B377" s="3">
        <v>13382650</v>
      </c>
      <c r="C377" s="2" t="s">
        <v>198</v>
      </c>
      <c r="D377" s="3">
        <v>1</v>
      </c>
      <c r="E377" s="2">
        <v>38</v>
      </c>
      <c r="F377" s="2" t="str">
        <f>"K640"</f>
        <v>K640</v>
      </c>
      <c r="G377" s="2" t="str">
        <f>"ZM7305002165"</f>
        <v>ZM7305002165</v>
      </c>
      <c r="I377">
        <v>20</v>
      </c>
      <c r="J377" s="3">
        <v>1</v>
      </c>
      <c r="K377" s="2">
        <v>2</v>
      </c>
      <c r="L377" s="3" t="s">
        <v>2</v>
      </c>
      <c r="M377" s="4">
        <v>40660</v>
      </c>
      <c r="N377" s="3">
        <v>12.04</v>
      </c>
    </row>
    <row r="378" spans="1:14" x14ac:dyDescent="0.25">
      <c r="A378" s="2">
        <v>377</v>
      </c>
      <c r="B378" s="3">
        <v>13382651</v>
      </c>
      <c r="C378" s="2" t="s">
        <v>198</v>
      </c>
      <c r="D378" s="3">
        <v>1</v>
      </c>
      <c r="E378" s="2">
        <v>38</v>
      </c>
      <c r="F378" s="2" t="str">
        <f>"GK070006 U"</f>
        <v>GK070006 U</v>
      </c>
      <c r="G378" s="2" t="str">
        <f>"YB29C1U13385"</f>
        <v>YB29C1U13385</v>
      </c>
      <c r="I378">
        <v>20</v>
      </c>
      <c r="J378" s="3">
        <v>1</v>
      </c>
      <c r="K378" s="2">
        <v>23</v>
      </c>
      <c r="L378" s="3" t="s">
        <v>2</v>
      </c>
      <c r="M378" s="4">
        <v>40660</v>
      </c>
      <c r="N378" s="3">
        <v>12.04</v>
      </c>
    </row>
    <row r="379" spans="1:14" x14ac:dyDescent="0.25">
      <c r="A379" s="2">
        <v>378</v>
      </c>
      <c r="B379" s="3">
        <v>13382652</v>
      </c>
      <c r="C379" s="2" t="s">
        <v>198</v>
      </c>
      <c r="D379" s="3">
        <v>1</v>
      </c>
      <c r="E379" s="2">
        <v>42</v>
      </c>
      <c r="F379" s="2" t="str">
        <f>"KB 0316"</f>
        <v>KB 0316</v>
      </c>
      <c r="G379" s="2" t="str">
        <f>"BAUDU0OVB2M5GX"</f>
        <v>BAUDU0OVB2M5GX</v>
      </c>
      <c r="I379">
        <v>20</v>
      </c>
      <c r="J379" s="3">
        <v>1</v>
      </c>
      <c r="K379" s="2">
        <v>4</v>
      </c>
      <c r="L379" s="3" t="s">
        <v>2</v>
      </c>
      <c r="M379" s="4">
        <v>40660</v>
      </c>
      <c r="N379" s="3">
        <v>12.04</v>
      </c>
    </row>
    <row r="380" spans="1:14" x14ac:dyDescent="0.25">
      <c r="A380" s="2">
        <v>379</v>
      </c>
      <c r="B380" s="3">
        <v>13382653</v>
      </c>
      <c r="C380" s="2" t="s">
        <v>198</v>
      </c>
      <c r="D380" s="3">
        <v>1</v>
      </c>
      <c r="E380" s="2">
        <v>42</v>
      </c>
      <c r="F380" s="2" t="str">
        <f>"KB 0316"</f>
        <v>KB 0316</v>
      </c>
      <c r="G380" s="2" t="str">
        <f>"BC3370FVBW36NA"</f>
        <v>BC3370FVBW36NA</v>
      </c>
      <c r="I380">
        <v>20</v>
      </c>
      <c r="J380" s="3">
        <v>1</v>
      </c>
      <c r="K380" s="2">
        <v>4</v>
      </c>
      <c r="L380" s="3" t="s">
        <v>2</v>
      </c>
      <c r="M380" s="4">
        <v>40660</v>
      </c>
      <c r="N380" s="3">
        <v>12.04</v>
      </c>
    </row>
    <row r="381" spans="1:14" x14ac:dyDescent="0.25">
      <c r="A381" s="2">
        <v>380</v>
      </c>
      <c r="B381" s="3">
        <v>13382689</v>
      </c>
      <c r="C381" s="2" t="s">
        <v>197</v>
      </c>
      <c r="D381" s="3">
        <v>1</v>
      </c>
      <c r="E381" s="2">
        <v>38</v>
      </c>
      <c r="F381" s="2" t="str">
        <f>"GM 050008U"</f>
        <v>GM 050008U</v>
      </c>
      <c r="G381" s="2" t="str">
        <f>"139512102807"</f>
        <v>139512102807</v>
      </c>
      <c r="I381">
        <v>20</v>
      </c>
      <c r="J381" s="3">
        <v>1</v>
      </c>
      <c r="K381" s="2">
        <v>39</v>
      </c>
      <c r="L381" s="3" t="s">
        <v>2</v>
      </c>
      <c r="M381" s="4">
        <v>40660</v>
      </c>
      <c r="N381" s="3">
        <v>5.71</v>
      </c>
    </row>
    <row r="382" spans="1:14" x14ac:dyDescent="0.25">
      <c r="A382" s="2">
        <v>381</v>
      </c>
      <c r="B382" s="3">
        <v>13382690</v>
      </c>
      <c r="C382" s="2" t="s">
        <v>197</v>
      </c>
      <c r="D382" s="3">
        <v>1</v>
      </c>
      <c r="E382" s="2">
        <v>70</v>
      </c>
      <c r="F382" s="2" t="str">
        <f>"S/MODELO"</f>
        <v>S/MODELO</v>
      </c>
      <c r="G382" s="2" t="str">
        <f>"63445070104002"</f>
        <v>63445070104002</v>
      </c>
      <c r="I382">
        <v>20</v>
      </c>
      <c r="J382" s="3">
        <v>1</v>
      </c>
      <c r="K382" s="2">
        <v>23</v>
      </c>
      <c r="L382" s="3" t="s">
        <v>2</v>
      </c>
      <c r="M382" s="4">
        <v>40660</v>
      </c>
      <c r="N382" s="3">
        <v>5.71</v>
      </c>
    </row>
    <row r="383" spans="1:14" x14ac:dyDescent="0.25">
      <c r="A383" s="2">
        <v>382</v>
      </c>
      <c r="B383" s="3">
        <v>13382692</v>
      </c>
      <c r="C383" s="2" t="s">
        <v>197</v>
      </c>
      <c r="D383" s="3">
        <v>1</v>
      </c>
      <c r="E383" s="2">
        <v>42</v>
      </c>
      <c r="F383" s="2" t="str">
        <f>"SBF96"</f>
        <v>SBF96</v>
      </c>
      <c r="G383" s="2" t="str">
        <f>"F93AA0W5DWW0BWL"</f>
        <v>F93AA0W5DWW0BWL</v>
      </c>
      <c r="I383">
        <v>20</v>
      </c>
      <c r="J383" s="3">
        <v>1</v>
      </c>
      <c r="K383" s="2">
        <v>4</v>
      </c>
      <c r="L383" s="3" t="s">
        <v>2</v>
      </c>
      <c r="M383" s="4">
        <v>40660</v>
      </c>
      <c r="N383" s="3">
        <v>5.71</v>
      </c>
    </row>
    <row r="384" spans="1:14" x14ac:dyDescent="0.25">
      <c r="A384" s="2">
        <v>383</v>
      </c>
      <c r="B384" s="3">
        <v>6794484</v>
      </c>
      <c r="C384" s="2" t="s">
        <v>201</v>
      </c>
      <c r="D384" s="3">
        <v>1</v>
      </c>
      <c r="E384" s="2">
        <v>1</v>
      </c>
      <c r="F384" s="2" t="str">
        <f>"3CBLSF50H"</f>
        <v>3CBLSF50H</v>
      </c>
      <c r="G384" s="2" t="str">
        <f>"923FD4RFA6D8D"</f>
        <v>923FD4RFA6D8D</v>
      </c>
      <c r="I384">
        <v>13</v>
      </c>
      <c r="J384" s="3">
        <v>1</v>
      </c>
      <c r="K384" s="2">
        <v>9</v>
      </c>
      <c r="L384" s="3" t="s">
        <v>2</v>
      </c>
      <c r="M384" s="4">
        <v>40679</v>
      </c>
      <c r="N384" s="3">
        <v>450</v>
      </c>
    </row>
    <row r="385" spans="1:14" x14ac:dyDescent="0.25">
      <c r="A385" s="2">
        <v>384</v>
      </c>
      <c r="B385" s="3">
        <v>13184475</v>
      </c>
      <c r="C385" s="2" t="s">
        <v>221</v>
      </c>
      <c r="D385" s="3">
        <v>2</v>
      </c>
      <c r="E385" s="2">
        <v>71</v>
      </c>
      <c r="F385" s="2" t="str">
        <f>"SIN MODELO"</f>
        <v>SIN MODELO</v>
      </c>
      <c r="G385" s="2" t="str">
        <f>"63445030125001"</f>
        <v>63445030125001</v>
      </c>
      <c r="I385">
        <v>29</v>
      </c>
      <c r="J385" s="3">
        <v>2</v>
      </c>
      <c r="K385" s="2">
        <v>23</v>
      </c>
      <c r="L385" s="3" t="s">
        <v>2</v>
      </c>
      <c r="M385" s="4">
        <v>40952</v>
      </c>
      <c r="N385" s="3">
        <v>69.459999999999994</v>
      </c>
    </row>
    <row r="386" spans="1:14" x14ac:dyDescent="0.25">
      <c r="A386" s="2">
        <v>385</v>
      </c>
      <c r="B386" s="3">
        <v>13184476</v>
      </c>
      <c r="C386" s="2" t="s">
        <v>221</v>
      </c>
      <c r="D386" s="3">
        <v>2</v>
      </c>
      <c r="E386" s="2">
        <v>71</v>
      </c>
      <c r="F386" s="2" t="str">
        <f>"SIN MODELO"</f>
        <v>SIN MODELO</v>
      </c>
      <c r="G386" s="2" t="str">
        <f>"63445030125002"</f>
        <v>63445030125002</v>
      </c>
      <c r="I386">
        <v>28</v>
      </c>
      <c r="J386" s="3">
        <v>2</v>
      </c>
      <c r="K386" s="2">
        <v>23</v>
      </c>
      <c r="L386" s="3" t="s">
        <v>2</v>
      </c>
      <c r="M386" s="4">
        <v>40952</v>
      </c>
      <c r="N386" s="3">
        <v>69.459999999999994</v>
      </c>
    </row>
    <row r="387" spans="1:14" x14ac:dyDescent="0.25">
      <c r="A387" s="2">
        <v>386</v>
      </c>
      <c r="B387" s="3">
        <v>13182051</v>
      </c>
      <c r="C387" s="2" t="s">
        <v>222</v>
      </c>
      <c r="D387" s="3">
        <v>2</v>
      </c>
      <c r="E387" s="2">
        <v>57</v>
      </c>
      <c r="F387" s="2" t="str">
        <f>"609019"</f>
        <v>609019</v>
      </c>
      <c r="G387" s="2" t="str">
        <f>"63445040501001"</f>
        <v>63445040501001</v>
      </c>
      <c r="I387">
        <v>9</v>
      </c>
      <c r="J387" s="3">
        <v>2</v>
      </c>
      <c r="K387" s="2">
        <v>39</v>
      </c>
      <c r="L387" s="3" t="s">
        <v>2</v>
      </c>
      <c r="M387" s="4">
        <v>40952</v>
      </c>
      <c r="N387" s="3">
        <v>57.14</v>
      </c>
    </row>
    <row r="388" spans="1:14" x14ac:dyDescent="0.25">
      <c r="A388" s="2">
        <v>387</v>
      </c>
      <c r="B388" s="3">
        <v>13182052</v>
      </c>
      <c r="C388" s="2" t="s">
        <v>222</v>
      </c>
      <c r="D388" s="3">
        <v>2</v>
      </c>
      <c r="E388" s="2">
        <v>57</v>
      </c>
      <c r="F388" s="2" t="str">
        <f>"609019"</f>
        <v>609019</v>
      </c>
      <c r="G388" s="2" t="str">
        <f>"63445040501002"</f>
        <v>63445040501002</v>
      </c>
      <c r="I388">
        <v>29</v>
      </c>
      <c r="J388" s="3">
        <v>2</v>
      </c>
      <c r="K388" s="2">
        <v>23</v>
      </c>
      <c r="L388" s="3" t="s">
        <v>2</v>
      </c>
      <c r="M388" s="4">
        <v>40952</v>
      </c>
      <c r="N388" s="3">
        <v>57.14</v>
      </c>
    </row>
    <row r="389" spans="1:14" x14ac:dyDescent="0.25">
      <c r="A389" s="2">
        <v>388</v>
      </c>
      <c r="B389" s="3">
        <v>13182054</v>
      </c>
      <c r="C389" s="2" t="s">
        <v>222</v>
      </c>
      <c r="D389" s="3">
        <v>2</v>
      </c>
      <c r="E389" s="2">
        <v>57</v>
      </c>
      <c r="F389" s="2" t="str">
        <f>"609019"</f>
        <v>609019</v>
      </c>
      <c r="G389" s="2" t="str">
        <f>"63445040501004"</f>
        <v>63445040501004</v>
      </c>
      <c r="I389">
        <v>9</v>
      </c>
      <c r="J389" s="3">
        <v>2</v>
      </c>
      <c r="K389" s="2">
        <v>23</v>
      </c>
      <c r="L389" s="3" t="s">
        <v>2</v>
      </c>
      <c r="M389" s="4">
        <v>40952</v>
      </c>
      <c r="N389" s="3">
        <v>57.14</v>
      </c>
    </row>
    <row r="390" spans="1:14" x14ac:dyDescent="0.25">
      <c r="A390" s="2">
        <v>389</v>
      </c>
      <c r="B390" s="3">
        <v>13182081</v>
      </c>
      <c r="C390" s="2" t="s">
        <v>181</v>
      </c>
      <c r="D390" s="3">
        <v>1</v>
      </c>
      <c r="E390" s="2">
        <v>13</v>
      </c>
      <c r="F390" s="2" t="str">
        <f>"PC 09"</f>
        <v>PC 09</v>
      </c>
      <c r="G390" s="2" t="str">
        <f>"81023213"</f>
        <v>81023213</v>
      </c>
      <c r="I390">
        <v>13</v>
      </c>
      <c r="J390" s="3">
        <v>1</v>
      </c>
      <c r="K390" s="2">
        <v>9</v>
      </c>
      <c r="L390" s="3" t="s">
        <v>2</v>
      </c>
      <c r="M390" s="4">
        <v>39899</v>
      </c>
      <c r="N390" s="3">
        <v>44.8</v>
      </c>
    </row>
    <row r="391" spans="1:14" x14ac:dyDescent="0.25">
      <c r="A391" s="2">
        <v>390</v>
      </c>
      <c r="B391" s="3">
        <v>13182053</v>
      </c>
      <c r="C391" s="2" t="s">
        <v>222</v>
      </c>
      <c r="D391" s="3">
        <v>2</v>
      </c>
      <c r="E391" s="2">
        <v>57</v>
      </c>
      <c r="F391" s="2" t="str">
        <f>"609019"</f>
        <v>609019</v>
      </c>
      <c r="G391" s="2" t="str">
        <f>"63445040501003"</f>
        <v>63445040501003</v>
      </c>
      <c r="I391">
        <v>29</v>
      </c>
      <c r="J391" s="3">
        <v>2</v>
      </c>
      <c r="K391" s="2">
        <v>23</v>
      </c>
      <c r="L391" s="3" t="s">
        <v>2</v>
      </c>
      <c r="M391" s="4">
        <v>40952</v>
      </c>
      <c r="N391" s="3">
        <v>57.14</v>
      </c>
    </row>
    <row r="392" spans="1:14" x14ac:dyDescent="0.25">
      <c r="A392" s="2">
        <v>391</v>
      </c>
      <c r="B392" s="3">
        <v>6794601</v>
      </c>
      <c r="C392" s="2" t="s">
        <v>195</v>
      </c>
      <c r="D392" s="3">
        <v>1</v>
      </c>
      <c r="E392" s="2">
        <v>17</v>
      </c>
      <c r="F392" s="2" t="str">
        <f>"S 2021"</f>
        <v>S 2021</v>
      </c>
      <c r="G392" s="2" t="str">
        <f>"CN4023066F"</f>
        <v>CN4023066F</v>
      </c>
      <c r="I392">
        <v>20</v>
      </c>
      <c r="J392" s="3">
        <v>1</v>
      </c>
      <c r="K392" s="2">
        <v>4</v>
      </c>
      <c r="L392" s="3" t="s">
        <v>2</v>
      </c>
      <c r="M392" s="4">
        <v>40645</v>
      </c>
      <c r="N392" s="3">
        <v>198</v>
      </c>
    </row>
    <row r="393" spans="1:14" x14ac:dyDescent="0.25">
      <c r="A393" s="2">
        <v>392</v>
      </c>
      <c r="B393" s="3">
        <v>13382758</v>
      </c>
      <c r="C393" s="2" t="s">
        <v>198</v>
      </c>
      <c r="D393" s="3">
        <v>1</v>
      </c>
      <c r="E393" s="2">
        <v>42</v>
      </c>
      <c r="F393" s="2" t="str">
        <f>"KB0316"</f>
        <v>KB0316</v>
      </c>
      <c r="G393" s="2" t="str">
        <f>"BAUDU0OVB2H331"</f>
        <v>BAUDU0OVB2H331</v>
      </c>
      <c r="I393">
        <v>20</v>
      </c>
      <c r="J393" s="3">
        <v>1</v>
      </c>
      <c r="K393" s="2">
        <v>4</v>
      </c>
      <c r="L393" s="3" t="s">
        <v>2</v>
      </c>
      <c r="M393" s="4">
        <v>40645</v>
      </c>
      <c r="N393" s="3">
        <v>17</v>
      </c>
    </row>
    <row r="394" spans="1:14" x14ac:dyDescent="0.25">
      <c r="A394" s="2">
        <v>393</v>
      </c>
      <c r="B394" s="3">
        <v>13382759</v>
      </c>
      <c r="C394" s="2" t="s">
        <v>198</v>
      </c>
      <c r="D394" s="3">
        <v>1</v>
      </c>
      <c r="E394" s="2">
        <v>42</v>
      </c>
      <c r="F394" s="2" t="str">
        <f>"KU 0316"</f>
        <v>KU 0316</v>
      </c>
      <c r="G394" s="2" t="str">
        <f>"BAUHR0IVBZQFD6"</f>
        <v>BAUHR0IVBZQFD6</v>
      </c>
      <c r="I394">
        <v>20</v>
      </c>
      <c r="J394" s="3">
        <v>1</v>
      </c>
      <c r="K394" s="2">
        <v>39</v>
      </c>
      <c r="L394" s="3" t="s">
        <v>2</v>
      </c>
      <c r="M394" s="4">
        <v>40645</v>
      </c>
      <c r="N394" s="3">
        <v>17</v>
      </c>
    </row>
    <row r="395" spans="1:14" x14ac:dyDescent="0.25">
      <c r="A395" s="2">
        <v>394</v>
      </c>
      <c r="B395" s="3">
        <v>13382756</v>
      </c>
      <c r="C395" s="2" t="s">
        <v>198</v>
      </c>
      <c r="D395" s="3">
        <v>1</v>
      </c>
      <c r="E395" s="2">
        <v>69</v>
      </c>
      <c r="F395" s="2" t="str">
        <f>"K399B"</f>
        <v>K399B</v>
      </c>
      <c r="G395" s="2" t="str">
        <f>"63445070103040"</f>
        <v>63445070103040</v>
      </c>
      <c r="I395">
        <v>20</v>
      </c>
      <c r="J395" s="3">
        <v>1</v>
      </c>
      <c r="K395" s="2">
        <v>39</v>
      </c>
      <c r="L395" s="3" t="s">
        <v>2</v>
      </c>
      <c r="M395" s="4">
        <v>40654</v>
      </c>
      <c r="N395" s="3">
        <v>9.5399999999999991</v>
      </c>
    </row>
    <row r="396" spans="1:14" x14ac:dyDescent="0.25">
      <c r="A396" s="2">
        <v>395</v>
      </c>
      <c r="B396" s="3">
        <v>13382757</v>
      </c>
      <c r="C396" s="2" t="s">
        <v>198</v>
      </c>
      <c r="D396" s="3">
        <v>1</v>
      </c>
      <c r="E396" s="2">
        <v>69</v>
      </c>
      <c r="F396" s="2" t="str">
        <f>"K399B"</f>
        <v>K399B</v>
      </c>
      <c r="G396" s="2" t="str">
        <f>"63445070103041"</f>
        <v>63445070103041</v>
      </c>
      <c r="I396">
        <v>20</v>
      </c>
      <c r="J396" s="3">
        <v>1</v>
      </c>
      <c r="K396" s="2">
        <v>2</v>
      </c>
      <c r="L396" s="3" t="s">
        <v>2</v>
      </c>
      <c r="M396" s="4">
        <v>40654</v>
      </c>
      <c r="N396" s="3">
        <v>9.5399999999999991</v>
      </c>
    </row>
    <row r="397" spans="1:14" x14ac:dyDescent="0.25">
      <c r="A397" s="2">
        <v>396</v>
      </c>
      <c r="B397" s="3">
        <v>13184477</v>
      </c>
      <c r="C397" s="2" t="s">
        <v>221</v>
      </c>
      <c r="D397" s="3">
        <v>2</v>
      </c>
      <c r="E397" s="2">
        <v>71</v>
      </c>
      <c r="F397" s="2" t="str">
        <f t="shared" ref="F397:F413" si="14">"SIN MODELO"</f>
        <v>SIN MODELO</v>
      </c>
      <c r="G397" s="2" t="str">
        <f>"63445030125003"</f>
        <v>63445030125003</v>
      </c>
      <c r="I397">
        <v>1</v>
      </c>
      <c r="J397" s="3">
        <v>2</v>
      </c>
      <c r="K397" s="2">
        <v>23</v>
      </c>
      <c r="L397" s="3" t="s">
        <v>2</v>
      </c>
      <c r="M397" s="4">
        <v>40952</v>
      </c>
      <c r="N397" s="3">
        <v>69.459999999999994</v>
      </c>
    </row>
    <row r="398" spans="1:14" x14ac:dyDescent="0.25">
      <c r="A398" s="2">
        <v>397</v>
      </c>
      <c r="B398" s="3">
        <v>13184478</v>
      </c>
      <c r="C398" s="2" t="s">
        <v>221</v>
      </c>
      <c r="D398" s="3">
        <v>2</v>
      </c>
      <c r="E398" s="2">
        <v>71</v>
      </c>
      <c r="F398" s="2" t="str">
        <f t="shared" si="14"/>
        <v>SIN MODELO</v>
      </c>
      <c r="G398" s="2" t="str">
        <f>"63445030125004"</f>
        <v>63445030125004</v>
      </c>
      <c r="I398">
        <v>28</v>
      </c>
      <c r="J398" s="3">
        <v>2</v>
      </c>
      <c r="K398" s="2">
        <v>23</v>
      </c>
      <c r="L398" s="3" t="s">
        <v>2</v>
      </c>
      <c r="M398" s="4">
        <v>40952</v>
      </c>
      <c r="N398" s="3">
        <v>69.459999999999994</v>
      </c>
    </row>
    <row r="399" spans="1:14" x14ac:dyDescent="0.25">
      <c r="A399" s="2">
        <v>398</v>
      </c>
      <c r="B399" s="3">
        <v>13182075</v>
      </c>
      <c r="C399" s="2" t="s">
        <v>223</v>
      </c>
      <c r="D399" s="3">
        <v>2</v>
      </c>
      <c r="E399" s="2">
        <v>16</v>
      </c>
      <c r="F399" s="2" t="str">
        <f t="shared" si="14"/>
        <v>SIN MODELO</v>
      </c>
      <c r="G399" s="2" t="str">
        <f>"63445040502001"</f>
        <v>63445040502001</v>
      </c>
      <c r="I399">
        <v>15</v>
      </c>
      <c r="J399" s="3">
        <v>2</v>
      </c>
      <c r="K399" s="2">
        <v>39</v>
      </c>
      <c r="L399" s="3" t="s">
        <v>2</v>
      </c>
      <c r="M399" s="4">
        <v>40952</v>
      </c>
      <c r="N399" s="3">
        <v>31.58</v>
      </c>
    </row>
    <row r="400" spans="1:14" x14ac:dyDescent="0.25">
      <c r="A400" s="2">
        <v>399</v>
      </c>
      <c r="B400" s="3">
        <v>13182076</v>
      </c>
      <c r="C400" s="2" t="s">
        <v>223</v>
      </c>
      <c r="D400" s="3">
        <v>2</v>
      </c>
      <c r="E400" s="2">
        <v>16</v>
      </c>
      <c r="F400" s="2" t="str">
        <f t="shared" si="14"/>
        <v>SIN MODELO</v>
      </c>
      <c r="G400" s="2" t="str">
        <f>"63445040502002"</f>
        <v>63445040502002</v>
      </c>
      <c r="I400">
        <v>15</v>
      </c>
      <c r="J400" s="3">
        <v>2</v>
      </c>
      <c r="K400" s="2">
        <v>39</v>
      </c>
      <c r="L400" s="3" t="s">
        <v>2</v>
      </c>
      <c r="M400" s="4">
        <v>40952</v>
      </c>
      <c r="N400" s="3">
        <v>31.58</v>
      </c>
    </row>
    <row r="401" spans="1:14" x14ac:dyDescent="0.25">
      <c r="A401" s="2">
        <v>400</v>
      </c>
      <c r="B401" s="3">
        <v>13182077</v>
      </c>
      <c r="C401" s="2" t="s">
        <v>223</v>
      </c>
      <c r="D401" s="3">
        <v>2</v>
      </c>
      <c r="E401" s="2">
        <v>16</v>
      </c>
      <c r="F401" s="2" t="str">
        <f t="shared" si="14"/>
        <v>SIN MODELO</v>
      </c>
      <c r="G401" s="2" t="str">
        <f>"63445040502003"</f>
        <v>63445040502003</v>
      </c>
      <c r="I401">
        <v>15</v>
      </c>
      <c r="J401" s="3">
        <v>2</v>
      </c>
      <c r="K401" s="2">
        <v>39</v>
      </c>
      <c r="L401" s="3" t="s">
        <v>2</v>
      </c>
      <c r="M401" s="4">
        <v>40952</v>
      </c>
      <c r="N401" s="3">
        <v>31.58</v>
      </c>
    </row>
    <row r="402" spans="1:14" x14ac:dyDescent="0.25">
      <c r="A402" s="2">
        <v>401</v>
      </c>
      <c r="B402" s="3">
        <v>13182078</v>
      </c>
      <c r="C402" s="2" t="s">
        <v>223</v>
      </c>
      <c r="D402" s="3">
        <v>2</v>
      </c>
      <c r="E402" s="2">
        <v>16</v>
      </c>
      <c r="F402" s="2" t="str">
        <f t="shared" si="14"/>
        <v>SIN MODELO</v>
      </c>
      <c r="G402" s="2" t="str">
        <f>"63445040502004"</f>
        <v>63445040502004</v>
      </c>
      <c r="I402">
        <v>15</v>
      </c>
      <c r="J402" s="3">
        <v>2</v>
      </c>
      <c r="K402" s="2">
        <v>39</v>
      </c>
      <c r="L402" s="3" t="s">
        <v>2</v>
      </c>
      <c r="M402" s="4">
        <v>40952</v>
      </c>
      <c r="N402" s="3">
        <v>31.58</v>
      </c>
    </row>
    <row r="403" spans="1:14" x14ac:dyDescent="0.25">
      <c r="A403" s="2">
        <v>402</v>
      </c>
      <c r="B403" s="3">
        <v>13460224</v>
      </c>
      <c r="C403" s="2" t="s">
        <v>224</v>
      </c>
      <c r="D403" s="3">
        <v>2</v>
      </c>
      <c r="E403" s="2">
        <v>86</v>
      </c>
      <c r="F403" s="2" t="str">
        <f t="shared" si="14"/>
        <v>SIN MODELO</v>
      </c>
      <c r="G403" s="2" t="str">
        <f>"63445060112002"</f>
        <v>63445060112002</v>
      </c>
      <c r="I403">
        <v>24</v>
      </c>
      <c r="J403" s="3">
        <v>1</v>
      </c>
      <c r="K403" s="2">
        <v>39</v>
      </c>
      <c r="L403" s="3" t="s">
        <v>2</v>
      </c>
      <c r="M403" s="4">
        <v>40952</v>
      </c>
      <c r="N403" s="3">
        <v>54.46</v>
      </c>
    </row>
    <row r="404" spans="1:14" x14ac:dyDescent="0.25">
      <c r="A404" s="2">
        <v>403</v>
      </c>
      <c r="B404" s="3">
        <v>13460203</v>
      </c>
      <c r="C404" s="2" t="s">
        <v>225</v>
      </c>
      <c r="D404" s="3">
        <v>1</v>
      </c>
      <c r="E404" s="2">
        <v>76</v>
      </c>
      <c r="F404" s="2" t="str">
        <f t="shared" si="14"/>
        <v>SIN MODELO</v>
      </c>
      <c r="G404" s="2" t="str">
        <f>"63445060101006"</f>
        <v>63445060101006</v>
      </c>
      <c r="I404">
        <v>20</v>
      </c>
      <c r="J404" s="3">
        <v>1</v>
      </c>
      <c r="K404" s="2">
        <v>9</v>
      </c>
      <c r="L404" s="3" t="s">
        <v>2</v>
      </c>
      <c r="M404" s="4">
        <v>39899</v>
      </c>
      <c r="N404" s="3">
        <v>21.84</v>
      </c>
    </row>
    <row r="405" spans="1:14" x14ac:dyDescent="0.25">
      <c r="A405" s="2">
        <v>404</v>
      </c>
      <c r="B405" s="3">
        <v>13460204</v>
      </c>
      <c r="C405" s="2" t="s">
        <v>225</v>
      </c>
      <c r="D405" s="3">
        <v>1</v>
      </c>
      <c r="E405" s="2">
        <v>76</v>
      </c>
      <c r="F405" s="2" t="str">
        <f t="shared" si="14"/>
        <v>SIN MODELO</v>
      </c>
      <c r="G405" s="2" t="str">
        <f>"63445060101003"</f>
        <v>63445060101003</v>
      </c>
      <c r="I405">
        <v>25</v>
      </c>
      <c r="J405" s="3">
        <v>1</v>
      </c>
      <c r="K405" s="2">
        <v>39</v>
      </c>
      <c r="L405" s="3" t="s">
        <v>2</v>
      </c>
      <c r="M405" s="4">
        <v>39899</v>
      </c>
      <c r="N405" s="3">
        <v>20.56</v>
      </c>
    </row>
    <row r="406" spans="1:14" x14ac:dyDescent="0.25">
      <c r="A406" s="2">
        <v>405</v>
      </c>
      <c r="B406" s="3">
        <v>13460223</v>
      </c>
      <c r="C406" s="2" t="s">
        <v>224</v>
      </c>
      <c r="D406" s="3">
        <v>2</v>
      </c>
      <c r="E406" s="2">
        <v>79</v>
      </c>
      <c r="F406" s="2" t="str">
        <f t="shared" si="14"/>
        <v>SIN MODELO</v>
      </c>
      <c r="G406" s="2" t="str">
        <f>"63445060112001"</f>
        <v>63445060112001</v>
      </c>
      <c r="I406">
        <v>24</v>
      </c>
      <c r="J406" s="3">
        <v>1</v>
      </c>
      <c r="K406" s="2">
        <v>39</v>
      </c>
      <c r="L406" s="3" t="s">
        <v>2</v>
      </c>
      <c r="M406" s="4">
        <v>40952</v>
      </c>
      <c r="N406" s="3">
        <v>54.46</v>
      </c>
    </row>
    <row r="407" spans="1:14" x14ac:dyDescent="0.25">
      <c r="A407" s="2">
        <v>406</v>
      </c>
      <c r="B407" s="3">
        <v>13460245</v>
      </c>
      <c r="C407" s="2" t="s">
        <v>226</v>
      </c>
      <c r="D407" s="3">
        <v>1</v>
      </c>
      <c r="E407" s="2">
        <v>30</v>
      </c>
      <c r="F407" s="2" t="str">
        <f t="shared" si="14"/>
        <v>SIN MODELO</v>
      </c>
      <c r="G407" s="2" t="str">
        <f>"63445060113021"</f>
        <v>63445060113021</v>
      </c>
      <c r="I407">
        <v>26</v>
      </c>
      <c r="J407" s="3">
        <v>2</v>
      </c>
      <c r="K407" s="2">
        <v>23</v>
      </c>
      <c r="L407" s="3" t="s">
        <v>2</v>
      </c>
      <c r="M407" s="4">
        <v>40952</v>
      </c>
      <c r="N407" s="3">
        <v>22.9</v>
      </c>
    </row>
    <row r="408" spans="1:14" x14ac:dyDescent="0.25">
      <c r="A408" s="2">
        <v>407</v>
      </c>
      <c r="B408" s="3">
        <v>13460246</v>
      </c>
      <c r="C408" s="2" t="s">
        <v>226</v>
      </c>
      <c r="D408" s="3">
        <v>1</v>
      </c>
      <c r="E408" s="2">
        <v>30</v>
      </c>
      <c r="F408" s="2" t="str">
        <f t="shared" si="14"/>
        <v>SIN MODELO</v>
      </c>
      <c r="G408" s="2" t="str">
        <f>"63445060113022"</f>
        <v>63445060113022</v>
      </c>
      <c r="I408">
        <v>29</v>
      </c>
      <c r="J408" s="3">
        <v>2</v>
      </c>
      <c r="K408" s="2">
        <v>39</v>
      </c>
      <c r="L408" s="3" t="s">
        <v>2</v>
      </c>
      <c r="M408" s="4">
        <v>40952</v>
      </c>
      <c r="N408" s="3">
        <v>22.9</v>
      </c>
    </row>
    <row r="409" spans="1:14" x14ac:dyDescent="0.25">
      <c r="A409" s="2">
        <v>408</v>
      </c>
      <c r="B409" s="3">
        <v>13460247</v>
      </c>
      <c r="C409" s="2" t="s">
        <v>226</v>
      </c>
      <c r="D409" s="3">
        <v>1</v>
      </c>
      <c r="E409" s="2">
        <v>30</v>
      </c>
      <c r="F409" s="2" t="str">
        <f t="shared" si="14"/>
        <v>SIN MODELO</v>
      </c>
      <c r="G409" s="2" t="str">
        <f>"63445060113023"</f>
        <v>63445060113023</v>
      </c>
      <c r="I409">
        <v>26</v>
      </c>
      <c r="J409" s="3">
        <v>2</v>
      </c>
      <c r="K409" s="2">
        <v>23</v>
      </c>
      <c r="L409" s="3" t="s">
        <v>2</v>
      </c>
      <c r="M409" s="4">
        <v>40952</v>
      </c>
      <c r="N409" s="3">
        <v>22.9</v>
      </c>
    </row>
    <row r="410" spans="1:14" x14ac:dyDescent="0.25">
      <c r="A410" s="2">
        <v>409</v>
      </c>
      <c r="B410" s="3">
        <v>13460248</v>
      </c>
      <c r="C410" s="2" t="s">
        <v>226</v>
      </c>
      <c r="D410" s="3">
        <v>1</v>
      </c>
      <c r="E410" s="2">
        <v>30</v>
      </c>
      <c r="F410" s="2" t="str">
        <f t="shared" si="14"/>
        <v>SIN MODELO</v>
      </c>
      <c r="G410" s="2" t="str">
        <f>"63445060113024"</f>
        <v>63445060113024</v>
      </c>
      <c r="I410">
        <v>26</v>
      </c>
      <c r="J410" s="3">
        <v>2</v>
      </c>
      <c r="K410" s="2">
        <v>23</v>
      </c>
      <c r="L410" s="3" t="s">
        <v>2</v>
      </c>
      <c r="M410" s="4">
        <v>40952</v>
      </c>
      <c r="N410" s="3">
        <v>22.9</v>
      </c>
    </row>
    <row r="411" spans="1:14" x14ac:dyDescent="0.25">
      <c r="A411" s="2">
        <v>410</v>
      </c>
      <c r="B411" s="3">
        <v>7606342</v>
      </c>
      <c r="C411" s="2" t="s">
        <v>283</v>
      </c>
      <c r="D411" s="3">
        <v>2</v>
      </c>
      <c r="E411" s="2">
        <v>76</v>
      </c>
      <c r="F411" s="2" t="str">
        <f t="shared" si="14"/>
        <v>SIN MODELO</v>
      </c>
      <c r="G411" s="2" t="str">
        <f>"14101030107001"</f>
        <v>14101030107001</v>
      </c>
      <c r="I411">
        <v>20</v>
      </c>
      <c r="J411" s="3">
        <v>1</v>
      </c>
      <c r="K411" s="2">
        <v>4</v>
      </c>
      <c r="L411" s="3" t="s">
        <v>2</v>
      </c>
      <c r="M411" s="4">
        <v>41026</v>
      </c>
      <c r="N411" s="3">
        <v>230</v>
      </c>
    </row>
    <row r="412" spans="1:14" x14ac:dyDescent="0.25">
      <c r="A412" s="2">
        <v>411</v>
      </c>
      <c r="B412" s="3">
        <v>7606343</v>
      </c>
      <c r="C412" s="2" t="s">
        <v>283</v>
      </c>
      <c r="D412" s="3">
        <v>2</v>
      </c>
      <c r="E412" s="2">
        <v>76</v>
      </c>
      <c r="F412" s="2" t="str">
        <f t="shared" si="14"/>
        <v>SIN MODELO</v>
      </c>
      <c r="G412" s="2" t="str">
        <f>"14101030107002"</f>
        <v>14101030107002</v>
      </c>
      <c r="I412">
        <v>20</v>
      </c>
      <c r="J412" s="3">
        <v>1</v>
      </c>
      <c r="K412" s="2">
        <v>4</v>
      </c>
      <c r="L412" s="3" t="s">
        <v>2</v>
      </c>
      <c r="M412" s="4">
        <v>41026</v>
      </c>
      <c r="N412" s="3">
        <v>230</v>
      </c>
    </row>
    <row r="413" spans="1:14" x14ac:dyDescent="0.25">
      <c r="A413" s="2">
        <v>412</v>
      </c>
      <c r="B413" s="3">
        <v>7602823</v>
      </c>
      <c r="C413" s="2" t="s">
        <v>227</v>
      </c>
      <c r="D413" s="3">
        <v>2</v>
      </c>
      <c r="E413" s="2">
        <v>76</v>
      </c>
      <c r="F413" s="2" t="str">
        <f t="shared" si="14"/>
        <v>SIN MODELO</v>
      </c>
      <c r="G413" s="2" t="str">
        <f>"14101040801001"</f>
        <v>14101040801001</v>
      </c>
      <c r="I413">
        <v>20</v>
      </c>
      <c r="J413" s="3">
        <v>1</v>
      </c>
      <c r="K413" s="2">
        <v>26</v>
      </c>
      <c r="L413" s="3" t="s">
        <v>2</v>
      </c>
      <c r="M413" s="4">
        <v>41044</v>
      </c>
      <c r="N413" s="3">
        <v>100</v>
      </c>
    </row>
    <row r="414" spans="1:14" x14ac:dyDescent="0.25">
      <c r="A414" s="2">
        <v>413</v>
      </c>
      <c r="B414" s="3">
        <v>13184472</v>
      </c>
      <c r="C414" s="2" t="s">
        <v>228</v>
      </c>
      <c r="D414" s="3">
        <v>2</v>
      </c>
      <c r="E414" s="2">
        <v>76</v>
      </c>
      <c r="F414" s="2" t="str">
        <f>"INFORMATIVA"</f>
        <v>INFORMATIVA</v>
      </c>
      <c r="G414" s="2" t="str">
        <f>"63445030117001"</f>
        <v>63445030117001</v>
      </c>
      <c r="I414">
        <v>18</v>
      </c>
      <c r="J414" s="3">
        <v>2</v>
      </c>
      <c r="K414" s="2">
        <v>9</v>
      </c>
      <c r="L414" s="3" t="s">
        <v>2</v>
      </c>
      <c r="M414" s="4">
        <v>41044</v>
      </c>
      <c r="N414" s="3">
        <v>34</v>
      </c>
    </row>
    <row r="415" spans="1:14" x14ac:dyDescent="0.25">
      <c r="A415" s="2">
        <v>414</v>
      </c>
      <c r="B415" s="3">
        <v>13182011</v>
      </c>
      <c r="C415" s="2" t="s">
        <v>181</v>
      </c>
      <c r="D415" s="3">
        <v>1</v>
      </c>
      <c r="E415" s="2">
        <v>27</v>
      </c>
      <c r="F415" s="2" t="str">
        <f>"ESCB1136B"</f>
        <v>ESCB1136B</v>
      </c>
      <c r="G415" s="2" t="str">
        <f>"E145449"</f>
        <v>E145449</v>
      </c>
      <c r="I415">
        <v>11</v>
      </c>
      <c r="J415" s="3">
        <v>2</v>
      </c>
      <c r="K415" s="2">
        <v>34</v>
      </c>
      <c r="L415" s="3" t="s">
        <v>2</v>
      </c>
      <c r="M415" s="4">
        <v>41044</v>
      </c>
      <c r="N415" s="3">
        <v>5.5</v>
      </c>
    </row>
    <row r="416" spans="1:14" x14ac:dyDescent="0.25">
      <c r="A416" s="2">
        <v>415</v>
      </c>
      <c r="B416" s="3">
        <v>13182012</v>
      </c>
      <c r="C416" s="2" t="s">
        <v>181</v>
      </c>
      <c r="D416" s="3">
        <v>1</v>
      </c>
      <c r="E416" s="2">
        <v>2</v>
      </c>
      <c r="F416" s="2" t="str">
        <f>"ELTS CXB"</f>
        <v>ELTS CXB</v>
      </c>
      <c r="G416" s="2" t="str">
        <f>"63445040401006"</f>
        <v>63445040401006</v>
      </c>
      <c r="I416">
        <v>11</v>
      </c>
      <c r="J416" s="3">
        <v>1</v>
      </c>
      <c r="K416" s="2">
        <v>25</v>
      </c>
      <c r="L416" s="3" t="s">
        <v>2</v>
      </c>
      <c r="M416" s="4">
        <v>41044</v>
      </c>
      <c r="N416" s="3">
        <v>5.5</v>
      </c>
    </row>
    <row r="417" spans="1:14" x14ac:dyDescent="0.25">
      <c r="A417" s="2">
        <v>416</v>
      </c>
      <c r="B417" s="3">
        <v>13182013</v>
      </c>
      <c r="C417" s="2" t="s">
        <v>181</v>
      </c>
      <c r="D417" s="3">
        <v>1</v>
      </c>
      <c r="E417" s="2">
        <v>39</v>
      </c>
      <c r="F417" s="2" t="str">
        <f>"GEE316"</f>
        <v>GEE316</v>
      </c>
      <c r="G417" s="2" t="str">
        <f>"63445040401007"</f>
        <v>63445040401007</v>
      </c>
      <c r="I417">
        <v>24</v>
      </c>
      <c r="J417" s="3">
        <v>1</v>
      </c>
      <c r="K417" s="2">
        <v>9</v>
      </c>
      <c r="L417" s="3" t="s">
        <v>2</v>
      </c>
      <c r="M417" s="4">
        <v>41044</v>
      </c>
      <c r="N417" s="3">
        <v>5.5</v>
      </c>
    </row>
    <row r="418" spans="1:14" x14ac:dyDescent="0.25">
      <c r="A418" s="2">
        <v>417</v>
      </c>
      <c r="B418" s="3">
        <v>13182014</v>
      </c>
      <c r="C418" s="2" t="s">
        <v>181</v>
      </c>
      <c r="D418" s="3">
        <v>1</v>
      </c>
      <c r="E418" s="2">
        <v>76</v>
      </c>
      <c r="F418" s="2" t="str">
        <f t="shared" ref="F418:F432" si="15">"SIN MODELO"</f>
        <v>SIN MODELO</v>
      </c>
      <c r="G418" s="2" t="str">
        <f>"63445040401008"</f>
        <v>63445040401008</v>
      </c>
      <c r="I418">
        <v>23</v>
      </c>
      <c r="J418" s="3">
        <v>1</v>
      </c>
      <c r="K418" s="2">
        <v>4</v>
      </c>
      <c r="L418" s="3" t="s">
        <v>2</v>
      </c>
      <c r="M418" s="4">
        <v>41044</v>
      </c>
      <c r="N418" s="3">
        <v>5.5</v>
      </c>
    </row>
    <row r="419" spans="1:14" x14ac:dyDescent="0.25">
      <c r="A419" s="2">
        <v>418</v>
      </c>
      <c r="B419" s="3">
        <v>13182015</v>
      </c>
      <c r="C419" s="2" t="s">
        <v>181</v>
      </c>
      <c r="D419" s="3">
        <v>1</v>
      </c>
      <c r="E419" s="2">
        <v>80</v>
      </c>
      <c r="F419" s="2" t="str">
        <f t="shared" si="15"/>
        <v>SIN MODELO</v>
      </c>
      <c r="G419" s="2" t="str">
        <f>"63445040401009"</f>
        <v>63445040401009</v>
      </c>
      <c r="I419">
        <v>11</v>
      </c>
      <c r="J419" s="3">
        <v>2</v>
      </c>
      <c r="K419" s="2">
        <v>4</v>
      </c>
      <c r="L419" s="3" t="s">
        <v>2</v>
      </c>
      <c r="M419" s="4">
        <v>41044</v>
      </c>
      <c r="N419" s="3">
        <v>5.5</v>
      </c>
    </row>
    <row r="420" spans="1:14" x14ac:dyDescent="0.25">
      <c r="A420" s="2">
        <v>419</v>
      </c>
      <c r="B420" s="3">
        <v>13182016</v>
      </c>
      <c r="C420" s="2" t="s">
        <v>181</v>
      </c>
      <c r="D420" s="3">
        <v>1</v>
      </c>
      <c r="E420" s="2">
        <v>76</v>
      </c>
      <c r="F420" s="2" t="str">
        <f t="shared" si="15"/>
        <v>SIN MODELO</v>
      </c>
      <c r="G420" s="2" t="str">
        <f>"63445040401010"</f>
        <v>63445040401010</v>
      </c>
      <c r="I420">
        <v>23</v>
      </c>
      <c r="J420" s="3">
        <v>1</v>
      </c>
      <c r="K420" s="2">
        <v>4</v>
      </c>
      <c r="L420" s="3" t="s">
        <v>2</v>
      </c>
      <c r="M420" s="4">
        <v>41044</v>
      </c>
      <c r="N420" s="3">
        <v>5.5</v>
      </c>
    </row>
    <row r="421" spans="1:14" x14ac:dyDescent="0.25">
      <c r="A421" s="2">
        <v>420</v>
      </c>
      <c r="B421" s="3">
        <v>13182017</v>
      </c>
      <c r="C421" s="2" t="s">
        <v>181</v>
      </c>
      <c r="D421" s="3">
        <v>1</v>
      </c>
      <c r="E421" s="2">
        <v>76</v>
      </c>
      <c r="F421" s="2" t="str">
        <f t="shared" si="15"/>
        <v>SIN MODELO</v>
      </c>
      <c r="G421" s="2" t="str">
        <f>"63445040401011"</f>
        <v>63445040401011</v>
      </c>
      <c r="I421">
        <v>23</v>
      </c>
      <c r="J421" s="3">
        <v>2</v>
      </c>
      <c r="K421" s="2">
        <v>18</v>
      </c>
      <c r="L421" s="3" t="s">
        <v>2</v>
      </c>
      <c r="M421" s="4">
        <v>41044</v>
      </c>
      <c r="N421" s="3">
        <v>5.5</v>
      </c>
    </row>
    <row r="422" spans="1:14" x14ac:dyDescent="0.25">
      <c r="A422" s="2">
        <v>421</v>
      </c>
      <c r="B422" s="3">
        <v>13182018</v>
      </c>
      <c r="C422" s="2" t="s">
        <v>181</v>
      </c>
      <c r="D422" s="3">
        <v>1</v>
      </c>
      <c r="E422" s="2">
        <v>76</v>
      </c>
      <c r="F422" s="2" t="str">
        <f t="shared" si="15"/>
        <v>SIN MODELO</v>
      </c>
      <c r="G422" s="2" t="str">
        <f>"63445040401012"</f>
        <v>63445040401012</v>
      </c>
      <c r="I422">
        <v>23</v>
      </c>
      <c r="J422" s="3">
        <v>1</v>
      </c>
      <c r="K422" s="2">
        <v>15</v>
      </c>
      <c r="L422" s="3" t="s">
        <v>2</v>
      </c>
      <c r="M422" s="4">
        <v>41044</v>
      </c>
      <c r="N422" s="3">
        <v>5.5</v>
      </c>
    </row>
    <row r="423" spans="1:14" x14ac:dyDescent="0.25">
      <c r="A423" s="2">
        <v>422</v>
      </c>
      <c r="B423" s="3">
        <v>13182019</v>
      </c>
      <c r="C423" s="2" t="s">
        <v>229</v>
      </c>
      <c r="D423" s="3">
        <v>2</v>
      </c>
      <c r="E423" s="2">
        <v>76</v>
      </c>
      <c r="F423" s="2" t="str">
        <f t="shared" si="15"/>
        <v>SIN MODELO</v>
      </c>
      <c r="G423" s="2" t="str">
        <f>"63445040402001"</f>
        <v>63445040402001</v>
      </c>
      <c r="I423">
        <v>24</v>
      </c>
      <c r="J423" s="3">
        <v>1</v>
      </c>
      <c r="K423" s="2">
        <v>39</v>
      </c>
      <c r="L423" s="3" t="s">
        <v>2</v>
      </c>
      <c r="M423" s="4">
        <v>41044</v>
      </c>
      <c r="N423" s="3">
        <v>69.64</v>
      </c>
    </row>
    <row r="424" spans="1:14" x14ac:dyDescent="0.25">
      <c r="A424" s="2">
        <v>423</v>
      </c>
      <c r="B424" s="3">
        <v>13182023</v>
      </c>
      <c r="C424" s="2" t="s">
        <v>229</v>
      </c>
      <c r="D424" s="3">
        <v>2</v>
      </c>
      <c r="E424" s="2">
        <v>76</v>
      </c>
      <c r="F424" s="2" t="str">
        <f t="shared" si="15"/>
        <v>SIN MODELO</v>
      </c>
      <c r="G424" s="2" t="str">
        <f>"63445040402005"</f>
        <v>63445040402005</v>
      </c>
      <c r="I424">
        <v>24</v>
      </c>
      <c r="J424" s="3">
        <v>1</v>
      </c>
      <c r="K424" s="2">
        <v>39</v>
      </c>
      <c r="L424" s="3" t="s">
        <v>2</v>
      </c>
      <c r="M424" s="4">
        <v>41044</v>
      </c>
      <c r="N424" s="3">
        <v>26.79</v>
      </c>
    </row>
    <row r="425" spans="1:14" x14ac:dyDescent="0.25">
      <c r="A425" s="2">
        <v>424</v>
      </c>
      <c r="B425" s="3">
        <v>13182020</v>
      </c>
      <c r="C425" s="2" t="s">
        <v>229</v>
      </c>
      <c r="D425" s="3">
        <v>2</v>
      </c>
      <c r="E425" s="2">
        <v>76</v>
      </c>
      <c r="F425" s="2" t="str">
        <f t="shared" si="15"/>
        <v>SIN MODELO</v>
      </c>
      <c r="G425" s="2" t="str">
        <f>"63445040402002"</f>
        <v>63445040402002</v>
      </c>
      <c r="I425">
        <v>24</v>
      </c>
      <c r="J425" s="3">
        <v>1</v>
      </c>
      <c r="K425" s="2">
        <v>39</v>
      </c>
      <c r="L425" s="3" t="s">
        <v>2</v>
      </c>
      <c r="M425" s="4">
        <v>41044</v>
      </c>
      <c r="N425" s="3">
        <v>20.54</v>
      </c>
    </row>
    <row r="426" spans="1:14" x14ac:dyDescent="0.25">
      <c r="A426" s="2">
        <v>425</v>
      </c>
      <c r="B426" s="3">
        <v>13182021</v>
      </c>
      <c r="C426" s="2" t="s">
        <v>230</v>
      </c>
      <c r="D426" s="3">
        <v>2</v>
      </c>
      <c r="E426" s="2">
        <v>76</v>
      </c>
      <c r="F426" s="2" t="str">
        <f t="shared" si="15"/>
        <v>SIN MODELO</v>
      </c>
      <c r="G426" s="2" t="str">
        <f>"63445040402003"</f>
        <v>63445040402003</v>
      </c>
      <c r="I426">
        <v>24</v>
      </c>
      <c r="J426" s="3">
        <v>1</v>
      </c>
      <c r="K426" s="2">
        <v>39</v>
      </c>
      <c r="L426" s="3" t="s">
        <v>2</v>
      </c>
      <c r="M426" s="4">
        <v>41044</v>
      </c>
      <c r="N426" s="3">
        <v>20.54</v>
      </c>
    </row>
    <row r="427" spans="1:14" x14ac:dyDescent="0.25">
      <c r="A427" s="2">
        <v>426</v>
      </c>
      <c r="B427" s="3">
        <v>13182022</v>
      </c>
      <c r="C427" s="2" t="s">
        <v>230</v>
      </c>
      <c r="D427" s="3">
        <v>2</v>
      </c>
      <c r="E427" s="2">
        <v>76</v>
      </c>
      <c r="F427" s="2" t="str">
        <f t="shared" si="15"/>
        <v>SIN MODELO</v>
      </c>
      <c r="G427" s="2" t="str">
        <f>"63445040402004"</f>
        <v>63445040402004</v>
      </c>
      <c r="I427">
        <v>24</v>
      </c>
      <c r="J427" s="3">
        <v>1</v>
      </c>
      <c r="K427" s="2">
        <v>39</v>
      </c>
      <c r="L427" s="3" t="s">
        <v>2</v>
      </c>
      <c r="M427" s="4">
        <v>41044</v>
      </c>
      <c r="N427" s="3">
        <v>35</v>
      </c>
    </row>
    <row r="428" spans="1:14" x14ac:dyDescent="0.25">
      <c r="A428" s="2">
        <v>427</v>
      </c>
      <c r="B428" s="3">
        <v>13182024</v>
      </c>
      <c r="C428" s="2" t="s">
        <v>230</v>
      </c>
      <c r="D428" s="3">
        <v>2</v>
      </c>
      <c r="E428" s="2">
        <v>76</v>
      </c>
      <c r="F428" s="2" t="str">
        <f t="shared" si="15"/>
        <v>SIN MODELO</v>
      </c>
      <c r="G428" s="2" t="str">
        <f>"63445040402006"</f>
        <v>63445040402006</v>
      </c>
      <c r="I428">
        <v>24</v>
      </c>
      <c r="J428" s="3">
        <v>1</v>
      </c>
      <c r="K428" s="2">
        <v>4</v>
      </c>
      <c r="L428" s="3" t="s">
        <v>2</v>
      </c>
      <c r="M428" s="4">
        <v>41044</v>
      </c>
      <c r="N428" s="3">
        <v>35</v>
      </c>
    </row>
    <row r="429" spans="1:14" x14ac:dyDescent="0.25">
      <c r="A429" s="2">
        <v>428</v>
      </c>
      <c r="B429" s="3">
        <v>13182025</v>
      </c>
      <c r="C429" s="2" t="s">
        <v>230</v>
      </c>
      <c r="D429" s="3">
        <v>2</v>
      </c>
      <c r="E429" s="2">
        <v>76</v>
      </c>
      <c r="F429" s="2" t="str">
        <f t="shared" si="15"/>
        <v>SIN MODELO</v>
      </c>
      <c r="G429" s="2" t="str">
        <f>"63445040402007"</f>
        <v>63445040402007</v>
      </c>
      <c r="I429">
        <v>24</v>
      </c>
      <c r="J429" s="3">
        <v>1</v>
      </c>
      <c r="K429" s="2">
        <v>4</v>
      </c>
      <c r="L429" s="3" t="s">
        <v>2</v>
      </c>
      <c r="M429" s="4">
        <v>41044</v>
      </c>
      <c r="N429" s="3">
        <v>35</v>
      </c>
    </row>
    <row r="430" spans="1:14" x14ac:dyDescent="0.25">
      <c r="A430" s="2">
        <v>429</v>
      </c>
      <c r="B430" s="3">
        <v>13182026</v>
      </c>
      <c r="C430" s="2" t="s">
        <v>230</v>
      </c>
      <c r="D430" s="3">
        <v>2</v>
      </c>
      <c r="E430" s="2">
        <v>76</v>
      </c>
      <c r="F430" s="2" t="str">
        <f t="shared" si="15"/>
        <v>SIN MODELO</v>
      </c>
      <c r="G430" s="2" t="str">
        <f>"63445040402008"</f>
        <v>63445040402008</v>
      </c>
      <c r="I430">
        <v>24</v>
      </c>
      <c r="J430" s="3">
        <v>1</v>
      </c>
      <c r="K430" s="2">
        <v>30</v>
      </c>
      <c r="L430" s="3" t="s">
        <v>2</v>
      </c>
      <c r="M430" s="4">
        <v>41044</v>
      </c>
      <c r="N430" s="3">
        <v>35</v>
      </c>
    </row>
    <row r="431" spans="1:14" x14ac:dyDescent="0.25">
      <c r="A431" s="2">
        <v>430</v>
      </c>
      <c r="B431" s="3">
        <v>13182027</v>
      </c>
      <c r="C431" s="2" t="s">
        <v>230</v>
      </c>
      <c r="D431" s="3">
        <v>2</v>
      </c>
      <c r="E431" s="2">
        <v>76</v>
      </c>
      <c r="F431" s="2" t="str">
        <f t="shared" si="15"/>
        <v>SIN MODELO</v>
      </c>
      <c r="G431" s="2" t="str">
        <f>"63445040402009"</f>
        <v>63445040402009</v>
      </c>
      <c r="I431">
        <v>24</v>
      </c>
      <c r="J431" s="3">
        <v>1</v>
      </c>
      <c r="K431" s="2">
        <v>9</v>
      </c>
      <c r="L431" s="3" t="s">
        <v>2</v>
      </c>
      <c r="M431" s="4">
        <v>41044</v>
      </c>
      <c r="N431" s="3">
        <v>35</v>
      </c>
    </row>
    <row r="432" spans="1:14" x14ac:dyDescent="0.25">
      <c r="A432" s="2">
        <v>431</v>
      </c>
      <c r="B432" s="3">
        <v>13182028</v>
      </c>
      <c r="C432" s="2" t="s">
        <v>229</v>
      </c>
      <c r="D432" s="3">
        <v>2</v>
      </c>
      <c r="E432" s="2">
        <v>76</v>
      </c>
      <c r="F432" s="2" t="str">
        <f t="shared" si="15"/>
        <v>SIN MODELO</v>
      </c>
      <c r="G432" s="2" t="str">
        <f>"63445040402010"</f>
        <v>63445040402010</v>
      </c>
      <c r="I432">
        <v>24</v>
      </c>
      <c r="J432" s="3">
        <v>1</v>
      </c>
      <c r="K432" s="2">
        <v>9</v>
      </c>
      <c r="L432" s="3" t="s">
        <v>2</v>
      </c>
      <c r="M432" s="4">
        <v>41044</v>
      </c>
      <c r="N432" s="3">
        <v>35</v>
      </c>
    </row>
    <row r="433" spans="1:14" x14ac:dyDescent="0.25">
      <c r="A433" s="2">
        <v>432</v>
      </c>
      <c r="B433" s="3">
        <v>13182038</v>
      </c>
      <c r="C433" s="2" t="s">
        <v>231</v>
      </c>
      <c r="D433" s="3">
        <v>1</v>
      </c>
      <c r="E433" s="2">
        <v>47</v>
      </c>
      <c r="F433" s="2" t="str">
        <f>"50SA"</f>
        <v>50SA</v>
      </c>
      <c r="G433" s="2" t="str">
        <f>"63445040403002"</f>
        <v>63445040403002</v>
      </c>
      <c r="I433">
        <v>23</v>
      </c>
      <c r="J433" s="3">
        <v>1</v>
      </c>
      <c r="K433" s="2">
        <v>34</v>
      </c>
      <c r="L433" s="3" t="s">
        <v>2</v>
      </c>
      <c r="M433" s="4">
        <v>41044</v>
      </c>
      <c r="N433" s="3">
        <v>15</v>
      </c>
    </row>
    <row r="434" spans="1:14" x14ac:dyDescent="0.25">
      <c r="A434" s="2">
        <v>433</v>
      </c>
      <c r="B434" s="3">
        <v>13182039</v>
      </c>
      <c r="C434" s="2" t="s">
        <v>231</v>
      </c>
      <c r="D434" s="3">
        <v>1</v>
      </c>
      <c r="E434" s="2">
        <v>47</v>
      </c>
      <c r="F434" s="2" t="str">
        <f>"5991E219334"</f>
        <v>5991E219334</v>
      </c>
      <c r="G434" s="2" t="str">
        <f>"63445040403003"</f>
        <v>63445040403003</v>
      </c>
      <c r="I434">
        <v>20</v>
      </c>
      <c r="J434" s="3">
        <v>1</v>
      </c>
      <c r="K434" s="2">
        <v>4</v>
      </c>
      <c r="L434" s="3" t="s">
        <v>2</v>
      </c>
      <c r="M434" s="4">
        <v>41044</v>
      </c>
      <c r="N434" s="3">
        <v>84</v>
      </c>
    </row>
    <row r="435" spans="1:14" x14ac:dyDescent="0.25">
      <c r="A435" s="2">
        <v>434</v>
      </c>
      <c r="B435" s="3">
        <v>13182040</v>
      </c>
      <c r="C435" s="2" t="s">
        <v>231</v>
      </c>
      <c r="D435" s="3">
        <v>1</v>
      </c>
      <c r="E435" s="2">
        <v>47</v>
      </c>
      <c r="F435" s="2" t="str">
        <f>"5991E219334"</f>
        <v>5991E219334</v>
      </c>
      <c r="G435" s="2" t="str">
        <f>"63445040403004"</f>
        <v>63445040403004</v>
      </c>
      <c r="I435">
        <v>20</v>
      </c>
      <c r="J435" s="3">
        <v>1</v>
      </c>
      <c r="K435" s="2">
        <v>4</v>
      </c>
      <c r="L435" s="3" t="s">
        <v>2</v>
      </c>
      <c r="M435" s="4">
        <v>41044</v>
      </c>
      <c r="N435" s="3">
        <v>84</v>
      </c>
    </row>
    <row r="436" spans="1:14" x14ac:dyDescent="0.25">
      <c r="A436" s="2">
        <v>435</v>
      </c>
      <c r="B436" s="3">
        <v>13182047</v>
      </c>
      <c r="C436" s="2" t="s">
        <v>232</v>
      </c>
      <c r="D436" s="3">
        <v>2</v>
      </c>
      <c r="E436" s="2">
        <v>76</v>
      </c>
      <c r="F436" s="2" t="str">
        <f t="shared" ref="F436:F449" si="16">"SIN MODELO"</f>
        <v>SIN MODELO</v>
      </c>
      <c r="G436" s="2" t="str">
        <f>"63445040407001"</f>
        <v>63445040407001</v>
      </c>
      <c r="I436">
        <v>1</v>
      </c>
      <c r="J436" s="3">
        <v>2</v>
      </c>
      <c r="K436" s="2">
        <v>39</v>
      </c>
      <c r="L436" s="3" t="s">
        <v>2</v>
      </c>
      <c r="M436" s="4">
        <v>41044</v>
      </c>
      <c r="N436" s="3">
        <v>88.41</v>
      </c>
    </row>
    <row r="437" spans="1:14" x14ac:dyDescent="0.25">
      <c r="A437" s="2">
        <v>436</v>
      </c>
      <c r="B437" s="3">
        <v>13182048</v>
      </c>
      <c r="C437" s="2" t="s">
        <v>233</v>
      </c>
      <c r="D437" s="3">
        <v>1</v>
      </c>
      <c r="E437" s="2">
        <v>38</v>
      </c>
      <c r="F437" s="2" t="str">
        <f t="shared" si="16"/>
        <v>SIN MODELO</v>
      </c>
      <c r="G437" s="2" t="str">
        <f>"63445040408001"</f>
        <v>63445040408001</v>
      </c>
      <c r="I437">
        <v>2</v>
      </c>
      <c r="J437" s="3">
        <v>1</v>
      </c>
      <c r="K437" s="2">
        <v>26</v>
      </c>
      <c r="L437" s="3" t="s">
        <v>2</v>
      </c>
      <c r="M437" s="4">
        <v>41044</v>
      </c>
      <c r="N437" s="3">
        <v>18</v>
      </c>
    </row>
    <row r="438" spans="1:14" x14ac:dyDescent="0.25">
      <c r="A438" s="2">
        <v>437</v>
      </c>
      <c r="B438" s="3">
        <v>13460206</v>
      </c>
      <c r="C438" s="2" t="s">
        <v>234</v>
      </c>
      <c r="D438" s="3">
        <v>1</v>
      </c>
      <c r="E438" s="2">
        <v>76</v>
      </c>
      <c r="F438" s="2" t="str">
        <f t="shared" si="16"/>
        <v>SIN MODELO</v>
      </c>
      <c r="G438" s="2" t="str">
        <f>"63445060103002"</f>
        <v>63445060103002</v>
      </c>
      <c r="I438">
        <v>5</v>
      </c>
      <c r="J438" s="3">
        <v>2</v>
      </c>
      <c r="K438" s="2">
        <v>4</v>
      </c>
      <c r="L438" s="3" t="s">
        <v>2</v>
      </c>
      <c r="M438" s="4">
        <v>41044</v>
      </c>
      <c r="N438" s="3">
        <v>20.25</v>
      </c>
    </row>
    <row r="439" spans="1:14" x14ac:dyDescent="0.25">
      <c r="A439" s="2">
        <v>438</v>
      </c>
      <c r="B439" s="3">
        <v>13460207</v>
      </c>
      <c r="C439" s="2" t="s">
        <v>234</v>
      </c>
      <c r="D439" s="3">
        <v>1</v>
      </c>
      <c r="E439" s="2">
        <v>76</v>
      </c>
      <c r="F439" s="2" t="str">
        <f t="shared" si="16"/>
        <v>SIN MODELO</v>
      </c>
      <c r="G439" s="2" t="str">
        <f>"63445060103003"</f>
        <v>63445060103003</v>
      </c>
      <c r="I439">
        <v>5</v>
      </c>
      <c r="J439" s="3">
        <v>1</v>
      </c>
      <c r="K439" s="2">
        <v>39</v>
      </c>
      <c r="L439" s="3" t="s">
        <v>2</v>
      </c>
      <c r="M439" s="4">
        <v>41044</v>
      </c>
      <c r="N439" s="3">
        <v>20.25</v>
      </c>
    </row>
    <row r="440" spans="1:14" x14ac:dyDescent="0.25">
      <c r="A440" s="2">
        <v>439</v>
      </c>
      <c r="B440" s="3">
        <v>13460208</v>
      </c>
      <c r="C440" s="2" t="s">
        <v>234</v>
      </c>
      <c r="D440" s="3">
        <v>1</v>
      </c>
      <c r="E440" s="2">
        <v>76</v>
      </c>
      <c r="F440" s="2" t="str">
        <f t="shared" si="16"/>
        <v>SIN MODELO</v>
      </c>
      <c r="G440" s="2" t="str">
        <f>"63445060103004"</f>
        <v>63445060103004</v>
      </c>
      <c r="I440">
        <v>5</v>
      </c>
      <c r="J440" s="3">
        <v>1</v>
      </c>
      <c r="K440" s="2">
        <v>4</v>
      </c>
      <c r="L440" s="3" t="s">
        <v>2</v>
      </c>
      <c r="M440" s="4">
        <v>41044</v>
      </c>
      <c r="N440" s="3">
        <v>29.76</v>
      </c>
    </row>
    <row r="441" spans="1:14" x14ac:dyDescent="0.25">
      <c r="A441" s="2">
        <v>440</v>
      </c>
      <c r="B441" s="3">
        <v>13460209</v>
      </c>
      <c r="C441" s="2" t="s">
        <v>234</v>
      </c>
      <c r="D441" s="3">
        <v>1</v>
      </c>
      <c r="E441" s="2">
        <v>76</v>
      </c>
      <c r="F441" s="2" t="str">
        <f t="shared" si="16"/>
        <v>SIN MODELO</v>
      </c>
      <c r="G441" s="2" t="str">
        <f>"63445060103005"</f>
        <v>63445060103005</v>
      </c>
      <c r="I441">
        <v>5</v>
      </c>
      <c r="J441" s="3">
        <v>2</v>
      </c>
      <c r="K441" s="2">
        <v>2</v>
      </c>
      <c r="L441" s="3" t="s">
        <v>2</v>
      </c>
      <c r="M441" s="4">
        <v>41044</v>
      </c>
      <c r="N441" s="3">
        <v>16.079999999999998</v>
      </c>
    </row>
    <row r="442" spans="1:14" x14ac:dyDescent="0.25">
      <c r="A442" s="2">
        <v>441</v>
      </c>
      <c r="B442" s="3">
        <v>13460210</v>
      </c>
      <c r="C442" s="2" t="s">
        <v>234</v>
      </c>
      <c r="D442" s="3">
        <v>1</v>
      </c>
      <c r="E442" s="2">
        <v>76</v>
      </c>
      <c r="F442" s="2" t="str">
        <f t="shared" si="16"/>
        <v>SIN MODELO</v>
      </c>
      <c r="G442" s="2" t="str">
        <f>"63445060103006"</f>
        <v>63445060103006</v>
      </c>
      <c r="I442">
        <v>5</v>
      </c>
      <c r="J442" s="3">
        <v>2</v>
      </c>
      <c r="K442" s="2">
        <v>23</v>
      </c>
      <c r="L442" s="3" t="s">
        <v>2</v>
      </c>
      <c r="M442" s="4">
        <v>41044</v>
      </c>
      <c r="N442" s="3">
        <v>16.079999999999998</v>
      </c>
    </row>
    <row r="443" spans="1:14" x14ac:dyDescent="0.25">
      <c r="A443" s="2">
        <v>442</v>
      </c>
      <c r="B443" s="3">
        <v>13460211</v>
      </c>
      <c r="C443" s="2" t="s">
        <v>234</v>
      </c>
      <c r="D443" s="3">
        <v>1</v>
      </c>
      <c r="E443" s="2">
        <v>76</v>
      </c>
      <c r="F443" s="2" t="str">
        <f t="shared" si="16"/>
        <v>SIN MODELO</v>
      </c>
      <c r="G443" s="2" t="str">
        <f>"63445060103007"</f>
        <v>63445060103007</v>
      </c>
      <c r="I443">
        <v>5</v>
      </c>
      <c r="J443" s="3">
        <v>1</v>
      </c>
      <c r="K443" s="2">
        <v>4</v>
      </c>
      <c r="L443" s="3" t="s">
        <v>2</v>
      </c>
      <c r="M443" s="4">
        <v>41044</v>
      </c>
      <c r="N443" s="3">
        <v>16.079999999999998</v>
      </c>
    </row>
    <row r="444" spans="1:14" x14ac:dyDescent="0.25">
      <c r="A444" s="2">
        <v>443</v>
      </c>
      <c r="B444" s="3">
        <v>13460212</v>
      </c>
      <c r="C444" s="2" t="s">
        <v>234</v>
      </c>
      <c r="D444" s="3">
        <v>1</v>
      </c>
      <c r="E444" s="2">
        <v>76</v>
      </c>
      <c r="F444" s="2" t="str">
        <f t="shared" si="16"/>
        <v>SIN MODELO</v>
      </c>
      <c r="G444" s="2" t="str">
        <f>"63445060103008"</f>
        <v>63445060103008</v>
      </c>
      <c r="I444">
        <v>20</v>
      </c>
      <c r="J444" s="3">
        <v>2</v>
      </c>
      <c r="K444" s="2">
        <v>39</v>
      </c>
      <c r="L444" s="3" t="s">
        <v>2</v>
      </c>
      <c r="M444" s="4">
        <v>41044</v>
      </c>
      <c r="N444" s="3">
        <v>30</v>
      </c>
    </row>
    <row r="445" spans="1:14" x14ac:dyDescent="0.25">
      <c r="A445" s="2">
        <v>444</v>
      </c>
      <c r="B445" s="3">
        <v>13460213</v>
      </c>
      <c r="C445" s="2" t="s">
        <v>234</v>
      </c>
      <c r="D445" s="3">
        <v>1</v>
      </c>
      <c r="E445" s="2">
        <v>76</v>
      </c>
      <c r="F445" s="2" t="str">
        <f t="shared" si="16"/>
        <v>SIN MODELO</v>
      </c>
      <c r="G445" s="2" t="str">
        <f>"63445060103009"</f>
        <v>63445060103009</v>
      </c>
      <c r="I445">
        <v>20</v>
      </c>
      <c r="J445" s="3">
        <v>2</v>
      </c>
      <c r="K445" s="2">
        <v>39</v>
      </c>
      <c r="L445" s="3" t="s">
        <v>2</v>
      </c>
      <c r="M445" s="4">
        <v>41044</v>
      </c>
      <c r="N445" s="3">
        <v>30</v>
      </c>
    </row>
    <row r="446" spans="1:14" x14ac:dyDescent="0.25">
      <c r="A446" s="2">
        <v>445</v>
      </c>
      <c r="B446" s="3">
        <v>13460214</v>
      </c>
      <c r="C446" s="2" t="s">
        <v>234</v>
      </c>
      <c r="D446" s="3">
        <v>1</v>
      </c>
      <c r="E446" s="2">
        <v>76</v>
      </c>
      <c r="F446" s="2" t="str">
        <f t="shared" si="16"/>
        <v>SIN MODELO</v>
      </c>
      <c r="G446" s="2" t="str">
        <f>"63445060103010"</f>
        <v>63445060103010</v>
      </c>
      <c r="I446">
        <v>20</v>
      </c>
      <c r="J446" s="3">
        <v>1</v>
      </c>
      <c r="K446" s="2">
        <v>4</v>
      </c>
      <c r="L446" s="3" t="s">
        <v>2</v>
      </c>
      <c r="M446" s="4">
        <v>41044</v>
      </c>
      <c r="N446" s="3">
        <v>30</v>
      </c>
    </row>
    <row r="447" spans="1:14" x14ac:dyDescent="0.25">
      <c r="A447" s="2">
        <v>446</v>
      </c>
      <c r="B447" s="3">
        <v>13460215</v>
      </c>
      <c r="C447" s="2" t="s">
        <v>234</v>
      </c>
      <c r="D447" s="3">
        <v>1</v>
      </c>
      <c r="E447" s="2">
        <v>76</v>
      </c>
      <c r="F447" s="2" t="str">
        <f t="shared" si="16"/>
        <v>SIN MODELO</v>
      </c>
      <c r="G447" s="2" t="str">
        <f>"63445060103011"</f>
        <v>63445060103011</v>
      </c>
      <c r="I447">
        <v>26</v>
      </c>
      <c r="J447" s="3">
        <v>2</v>
      </c>
      <c r="K447" s="2">
        <v>39</v>
      </c>
      <c r="L447" s="3" t="s">
        <v>2</v>
      </c>
      <c r="M447" s="4">
        <v>41044</v>
      </c>
      <c r="N447" s="3">
        <v>16.5</v>
      </c>
    </row>
    <row r="448" spans="1:14" x14ac:dyDescent="0.25">
      <c r="A448" s="2">
        <v>447</v>
      </c>
      <c r="B448" s="3">
        <v>13460216</v>
      </c>
      <c r="C448" s="2" t="s">
        <v>234</v>
      </c>
      <c r="D448" s="3">
        <v>1</v>
      </c>
      <c r="E448" s="2">
        <v>76</v>
      </c>
      <c r="F448" s="2" t="str">
        <f t="shared" si="16"/>
        <v>SIN MODELO</v>
      </c>
      <c r="G448" s="2" t="str">
        <f>"63445060103012"</f>
        <v>63445060103012</v>
      </c>
      <c r="I448">
        <v>26</v>
      </c>
      <c r="J448" s="3">
        <v>1</v>
      </c>
      <c r="K448" s="2">
        <v>4</v>
      </c>
      <c r="L448" s="3" t="s">
        <v>2</v>
      </c>
      <c r="M448" s="4">
        <v>41044</v>
      </c>
      <c r="N448" s="3">
        <v>16.5</v>
      </c>
    </row>
    <row r="449" spans="1:14" x14ac:dyDescent="0.25">
      <c r="A449" s="2">
        <v>448</v>
      </c>
      <c r="B449" s="3">
        <v>13460217</v>
      </c>
      <c r="C449" s="2" t="s">
        <v>234</v>
      </c>
      <c r="D449" s="3">
        <v>1</v>
      </c>
      <c r="E449" s="2">
        <v>76</v>
      </c>
      <c r="F449" s="2" t="str">
        <f t="shared" si="16"/>
        <v>SIN MODELO</v>
      </c>
      <c r="G449" s="2" t="str">
        <f>"63445060103013"</f>
        <v>63445060103013</v>
      </c>
      <c r="I449">
        <v>26</v>
      </c>
      <c r="J449" s="3">
        <v>2</v>
      </c>
      <c r="K449" s="2">
        <v>39</v>
      </c>
      <c r="L449" s="3" t="s">
        <v>2</v>
      </c>
      <c r="M449" s="4">
        <v>41044</v>
      </c>
      <c r="N449" s="3">
        <v>16.5</v>
      </c>
    </row>
    <row r="450" spans="1:14" x14ac:dyDescent="0.25">
      <c r="A450" s="2">
        <v>449</v>
      </c>
      <c r="B450" s="3">
        <v>13460218</v>
      </c>
      <c r="C450" s="2" t="s">
        <v>235</v>
      </c>
      <c r="D450" s="8">
        <v>1</v>
      </c>
      <c r="E450" s="2">
        <v>83</v>
      </c>
      <c r="F450" s="2" t="str">
        <f>"TC CT68"</f>
        <v>TC CT68</v>
      </c>
      <c r="G450" s="2" t="str">
        <f>"63445060106001"</f>
        <v>63445060106001</v>
      </c>
      <c r="I450">
        <v>9</v>
      </c>
      <c r="J450" s="3">
        <v>1</v>
      </c>
      <c r="K450" s="2">
        <v>4</v>
      </c>
      <c r="L450" s="3" t="s">
        <v>2</v>
      </c>
      <c r="M450" s="4">
        <v>41044</v>
      </c>
      <c r="N450" s="3">
        <v>45</v>
      </c>
    </row>
    <row r="451" spans="1:14" x14ac:dyDescent="0.25">
      <c r="A451" s="2">
        <v>450</v>
      </c>
      <c r="B451" s="3">
        <v>13460219</v>
      </c>
      <c r="C451" s="2" t="s">
        <v>236</v>
      </c>
      <c r="D451" s="3">
        <v>1</v>
      </c>
      <c r="E451" s="2">
        <v>76</v>
      </c>
      <c r="F451" s="2" t="str">
        <f>"SIN MODELO"</f>
        <v>SIN MODELO</v>
      </c>
      <c r="G451" s="2" t="str">
        <f>"63445060107001"</f>
        <v>63445060107001</v>
      </c>
      <c r="I451">
        <v>1</v>
      </c>
      <c r="J451" s="3">
        <v>1</v>
      </c>
      <c r="K451" s="2">
        <v>4</v>
      </c>
      <c r="L451" s="3" t="s">
        <v>2</v>
      </c>
      <c r="M451" s="4">
        <v>41044</v>
      </c>
      <c r="N451" s="3">
        <v>35.71</v>
      </c>
    </row>
    <row r="452" spans="1:14" x14ac:dyDescent="0.25">
      <c r="A452" s="2">
        <v>451</v>
      </c>
      <c r="B452" s="3">
        <v>13460221</v>
      </c>
      <c r="C452" s="2" t="s">
        <v>237</v>
      </c>
      <c r="D452" s="3">
        <v>2</v>
      </c>
      <c r="E452" s="2">
        <v>76</v>
      </c>
      <c r="F452" s="2" t="str">
        <f>"SIN MODELO"</f>
        <v>SIN MODELO</v>
      </c>
      <c r="G452" s="2" t="str">
        <f>"63445060109001"</f>
        <v>63445060109001</v>
      </c>
      <c r="I452">
        <v>22</v>
      </c>
      <c r="J452" s="3">
        <v>2</v>
      </c>
      <c r="K452" s="2">
        <v>39</v>
      </c>
      <c r="L452" s="3" t="s">
        <v>2</v>
      </c>
      <c r="M452" s="4">
        <v>41044</v>
      </c>
      <c r="N452" s="3">
        <v>60</v>
      </c>
    </row>
    <row r="453" spans="1:14" x14ac:dyDescent="0.25">
      <c r="A453" s="2">
        <v>452</v>
      </c>
      <c r="B453" s="3">
        <v>7602814</v>
      </c>
      <c r="C453" s="2" t="s">
        <v>238</v>
      </c>
      <c r="D453" s="3">
        <v>1</v>
      </c>
      <c r="E453" s="2">
        <v>76</v>
      </c>
      <c r="F453" s="2" t="str">
        <f>"PC 1832"</f>
        <v>PC 1832</v>
      </c>
      <c r="G453" s="2" t="str">
        <f>"1078990 29302140"</f>
        <v>1078990 29302140</v>
      </c>
      <c r="I453">
        <v>21</v>
      </c>
      <c r="J453" s="3">
        <v>1</v>
      </c>
      <c r="K453" s="2">
        <v>39</v>
      </c>
      <c r="L453" s="3" t="s">
        <v>2</v>
      </c>
      <c r="M453" s="4">
        <v>41052</v>
      </c>
      <c r="N453" s="3">
        <v>250</v>
      </c>
    </row>
    <row r="454" spans="1:14" x14ac:dyDescent="0.25">
      <c r="A454" s="2">
        <v>453</v>
      </c>
      <c r="B454" s="3">
        <v>7602815</v>
      </c>
      <c r="C454" s="2" t="s">
        <v>239</v>
      </c>
      <c r="D454" s="3">
        <v>1</v>
      </c>
      <c r="E454" s="2">
        <v>65</v>
      </c>
      <c r="F454" s="2" t="str">
        <f>"SIN MODELO"</f>
        <v>SIN MODELO</v>
      </c>
      <c r="G454" s="2" t="str">
        <f>"14101040401003"</f>
        <v>14101040401003</v>
      </c>
      <c r="I454">
        <v>5</v>
      </c>
      <c r="J454" s="3">
        <v>1</v>
      </c>
      <c r="K454" s="2">
        <v>39</v>
      </c>
      <c r="L454" s="3" t="s">
        <v>2</v>
      </c>
      <c r="M454" s="4">
        <v>41065</v>
      </c>
      <c r="N454" s="3">
        <v>280</v>
      </c>
    </row>
    <row r="455" spans="1:14" x14ac:dyDescent="0.25">
      <c r="A455" s="2">
        <v>454</v>
      </c>
      <c r="B455" s="3">
        <v>6794403</v>
      </c>
      <c r="C455" s="2" t="s">
        <v>145</v>
      </c>
      <c r="D455" s="3">
        <v>1</v>
      </c>
      <c r="E455" s="2">
        <v>42</v>
      </c>
      <c r="F455" s="2" t="str">
        <f>"COMPAQ 8200"</f>
        <v>COMPAQ 8200</v>
      </c>
      <c r="G455" s="2" t="str">
        <f>"MXL2151DHD"</f>
        <v>MXL2151DHD</v>
      </c>
      <c r="I455">
        <v>20</v>
      </c>
      <c r="J455" s="3">
        <v>1</v>
      </c>
      <c r="K455" s="2">
        <v>39</v>
      </c>
      <c r="L455" s="3" t="s">
        <v>2</v>
      </c>
      <c r="M455" s="4">
        <v>41096</v>
      </c>
      <c r="N455" s="3">
        <v>871.93</v>
      </c>
    </row>
    <row r="456" spans="1:14" x14ac:dyDescent="0.25">
      <c r="A456" s="2">
        <v>455</v>
      </c>
      <c r="B456" s="3">
        <v>6794404</v>
      </c>
      <c r="C456" s="2" t="s">
        <v>145</v>
      </c>
      <c r="D456" s="3">
        <v>1</v>
      </c>
      <c r="E456" s="2">
        <v>42</v>
      </c>
      <c r="F456" s="2" t="str">
        <f>"COMPAQ 8200"</f>
        <v>COMPAQ 8200</v>
      </c>
      <c r="G456" s="2" t="str">
        <f>"MXL2151DH1"</f>
        <v>MXL2151DH1</v>
      </c>
      <c r="I456">
        <v>20</v>
      </c>
      <c r="J456" s="3">
        <v>1</v>
      </c>
      <c r="K456" s="2">
        <v>26</v>
      </c>
      <c r="L456" s="3" t="s">
        <v>2</v>
      </c>
      <c r="M456" s="4">
        <v>41096</v>
      </c>
      <c r="N456" s="3">
        <v>871.93</v>
      </c>
    </row>
    <row r="457" spans="1:14" x14ac:dyDescent="0.25">
      <c r="A457" s="2">
        <v>456</v>
      </c>
      <c r="B457" s="3">
        <v>6794405</v>
      </c>
      <c r="C457" s="2" t="s">
        <v>145</v>
      </c>
      <c r="D457" s="3">
        <v>1</v>
      </c>
      <c r="E457" s="2">
        <v>42</v>
      </c>
      <c r="F457" s="2" t="str">
        <f>"COMPAQ 8200"</f>
        <v>COMPAQ 8200</v>
      </c>
      <c r="G457" s="2" t="str">
        <f>"MXL2151DH2"</f>
        <v>MXL2151DH2</v>
      </c>
      <c r="I457">
        <v>20</v>
      </c>
      <c r="J457" s="3">
        <v>1</v>
      </c>
      <c r="K457" s="2">
        <v>4</v>
      </c>
      <c r="L457" s="3" t="s">
        <v>2</v>
      </c>
      <c r="M457" s="4">
        <v>41096</v>
      </c>
      <c r="N457" s="3">
        <v>871.93</v>
      </c>
    </row>
    <row r="458" spans="1:14" x14ac:dyDescent="0.25">
      <c r="A458" s="2">
        <v>457</v>
      </c>
      <c r="B458" s="3">
        <v>6794406</v>
      </c>
      <c r="C458" s="2" t="s">
        <v>145</v>
      </c>
      <c r="D458" s="3">
        <v>1</v>
      </c>
      <c r="E458" s="2">
        <v>42</v>
      </c>
      <c r="F458" s="2" t="str">
        <f>"COMPAQ 8200"</f>
        <v>COMPAQ 8200</v>
      </c>
      <c r="G458" s="2" t="str">
        <f>"MXL2151DH3"</f>
        <v>MXL2151DH3</v>
      </c>
      <c r="I458">
        <v>20</v>
      </c>
      <c r="J458" s="3">
        <v>1</v>
      </c>
      <c r="K458" s="2">
        <v>34</v>
      </c>
      <c r="L458" s="3" t="s">
        <v>2</v>
      </c>
      <c r="M458" s="4">
        <v>41096</v>
      </c>
      <c r="N458" s="3">
        <v>871.93</v>
      </c>
    </row>
    <row r="459" spans="1:14" x14ac:dyDescent="0.25">
      <c r="A459" s="2">
        <v>458</v>
      </c>
      <c r="B459" s="3">
        <v>6794463</v>
      </c>
      <c r="C459" s="2" t="s">
        <v>192</v>
      </c>
      <c r="D459" s="3">
        <v>1</v>
      </c>
      <c r="E459" s="2">
        <v>74</v>
      </c>
      <c r="F459" s="2" t="str">
        <f t="shared" ref="F459:F466" si="17">"ML1865"</f>
        <v>ML1865</v>
      </c>
      <c r="G459" s="2" t="str">
        <f>"Z5NIBKBB701698P"</f>
        <v>Z5NIBKBB701698P</v>
      </c>
      <c r="I459">
        <v>20</v>
      </c>
      <c r="J459" s="3">
        <v>1</v>
      </c>
      <c r="K459" s="2">
        <v>39</v>
      </c>
      <c r="L459" s="3" t="s">
        <v>2</v>
      </c>
      <c r="M459" s="4">
        <v>41096</v>
      </c>
      <c r="N459" s="3">
        <v>100</v>
      </c>
    </row>
    <row r="460" spans="1:14" x14ac:dyDescent="0.25">
      <c r="A460" s="2">
        <v>459</v>
      </c>
      <c r="B460" s="3">
        <v>6794464</v>
      </c>
      <c r="C460" s="2" t="s">
        <v>192</v>
      </c>
      <c r="D460" s="3">
        <v>1</v>
      </c>
      <c r="E460" s="2">
        <v>74</v>
      </c>
      <c r="F460" s="2" t="str">
        <f t="shared" si="17"/>
        <v>ML1865</v>
      </c>
      <c r="G460" s="2" t="str">
        <f>"Z5NIBKBB701618F"</f>
        <v>Z5NIBKBB701618F</v>
      </c>
      <c r="I460">
        <v>20</v>
      </c>
      <c r="J460" s="3">
        <v>1</v>
      </c>
      <c r="K460" s="2">
        <v>8</v>
      </c>
      <c r="L460" s="3" t="s">
        <v>2</v>
      </c>
      <c r="M460" s="4">
        <v>41096</v>
      </c>
      <c r="N460" s="3">
        <v>100</v>
      </c>
    </row>
    <row r="461" spans="1:14" x14ac:dyDescent="0.25">
      <c r="A461" s="2">
        <v>460</v>
      </c>
      <c r="B461" s="3">
        <v>6794465</v>
      </c>
      <c r="C461" s="2" t="s">
        <v>192</v>
      </c>
      <c r="D461" s="3">
        <v>1</v>
      </c>
      <c r="E461" s="2">
        <v>74</v>
      </c>
      <c r="F461" s="2" t="str">
        <f t="shared" si="17"/>
        <v>ML1865</v>
      </c>
      <c r="G461" s="2" t="str">
        <f>"Z5NIBKBB701973V"</f>
        <v>Z5NIBKBB701973V</v>
      </c>
      <c r="I461">
        <v>20</v>
      </c>
      <c r="J461" s="3">
        <v>1</v>
      </c>
      <c r="K461" s="2">
        <v>39</v>
      </c>
      <c r="L461" s="3" t="s">
        <v>2</v>
      </c>
      <c r="M461" s="4">
        <v>41096</v>
      </c>
      <c r="N461" s="3">
        <v>100</v>
      </c>
    </row>
    <row r="462" spans="1:14" x14ac:dyDescent="0.25">
      <c r="A462" s="2">
        <v>461</v>
      </c>
      <c r="B462" s="3">
        <v>6794466</v>
      </c>
      <c r="C462" s="2" t="s">
        <v>192</v>
      </c>
      <c r="D462" s="3">
        <v>1</v>
      </c>
      <c r="E462" s="2">
        <v>74</v>
      </c>
      <c r="F462" s="2" t="str">
        <f t="shared" si="17"/>
        <v>ML1865</v>
      </c>
      <c r="G462" s="2" t="str">
        <f>"Z5NIBKBB701565M"</f>
        <v>Z5NIBKBB701565M</v>
      </c>
      <c r="I462">
        <v>20</v>
      </c>
      <c r="J462" s="3">
        <v>1</v>
      </c>
      <c r="K462" s="2">
        <v>39</v>
      </c>
      <c r="L462" s="3" t="s">
        <v>2</v>
      </c>
      <c r="M462" s="4">
        <v>41096</v>
      </c>
      <c r="N462" s="3">
        <v>100</v>
      </c>
    </row>
    <row r="463" spans="1:14" x14ac:dyDescent="0.25">
      <c r="A463" s="2">
        <v>462</v>
      </c>
      <c r="B463" s="3">
        <v>6794467</v>
      </c>
      <c r="C463" s="2" t="s">
        <v>192</v>
      </c>
      <c r="D463" s="3">
        <v>1</v>
      </c>
      <c r="E463" s="2">
        <v>74</v>
      </c>
      <c r="F463" s="2" t="str">
        <f t="shared" si="17"/>
        <v>ML1865</v>
      </c>
      <c r="G463" s="2" t="str">
        <f>"Z5NIBKBB701349R"</f>
        <v>Z5NIBKBB701349R</v>
      </c>
      <c r="I463">
        <v>20</v>
      </c>
      <c r="J463" s="3">
        <v>1</v>
      </c>
      <c r="K463" s="2">
        <v>39</v>
      </c>
      <c r="L463" s="3" t="s">
        <v>2</v>
      </c>
      <c r="M463" s="4">
        <v>41096</v>
      </c>
      <c r="N463" s="3">
        <v>100</v>
      </c>
    </row>
    <row r="464" spans="1:14" x14ac:dyDescent="0.25">
      <c r="A464" s="2">
        <v>463</v>
      </c>
      <c r="B464" s="3">
        <v>6794468</v>
      </c>
      <c r="C464" s="2" t="s">
        <v>192</v>
      </c>
      <c r="D464" s="3">
        <v>1</v>
      </c>
      <c r="E464" s="2">
        <v>74</v>
      </c>
      <c r="F464" s="2" t="str">
        <f t="shared" si="17"/>
        <v>ML1865</v>
      </c>
      <c r="G464" s="2" t="str">
        <f>"Z5NIBKBB701390D"</f>
        <v>Z5NIBKBB701390D</v>
      </c>
      <c r="I464">
        <v>20</v>
      </c>
      <c r="J464" s="3">
        <v>1</v>
      </c>
      <c r="K464" s="2">
        <v>34</v>
      </c>
      <c r="L464" s="3" t="s">
        <v>2</v>
      </c>
      <c r="M464" s="4">
        <v>41096</v>
      </c>
      <c r="N464" s="3">
        <v>100</v>
      </c>
    </row>
    <row r="465" spans="1:14" x14ac:dyDescent="0.25">
      <c r="A465" s="2">
        <v>464</v>
      </c>
      <c r="B465" s="3">
        <v>6794470</v>
      </c>
      <c r="C465" s="2" t="s">
        <v>192</v>
      </c>
      <c r="D465" s="3">
        <v>1</v>
      </c>
      <c r="E465" s="2">
        <v>74</v>
      </c>
      <c r="F465" s="2" t="str">
        <f t="shared" si="17"/>
        <v>ML1865</v>
      </c>
      <c r="G465" s="2" t="str">
        <f>"Z5NIBKBB701759W"</f>
        <v>Z5NIBKBB701759W</v>
      </c>
      <c r="I465">
        <v>20</v>
      </c>
      <c r="J465" s="3">
        <v>1</v>
      </c>
      <c r="K465" s="2">
        <v>30</v>
      </c>
      <c r="L465" s="3" t="s">
        <v>2</v>
      </c>
      <c r="M465" s="4">
        <v>41096</v>
      </c>
      <c r="N465" s="3">
        <v>100</v>
      </c>
    </row>
    <row r="466" spans="1:14" x14ac:dyDescent="0.25">
      <c r="A466" s="2">
        <v>465</v>
      </c>
      <c r="B466" s="3">
        <v>6794471</v>
      </c>
      <c r="C466" s="2" t="s">
        <v>192</v>
      </c>
      <c r="D466" s="3">
        <v>1</v>
      </c>
      <c r="E466" s="2">
        <v>74</v>
      </c>
      <c r="F466" s="2" t="str">
        <f t="shared" si="17"/>
        <v>ML1865</v>
      </c>
      <c r="G466" s="2" t="str">
        <f>"Z5NIBKBB701614D"</f>
        <v>Z5NIBKBB701614D</v>
      </c>
      <c r="I466">
        <v>20</v>
      </c>
      <c r="J466" s="3">
        <v>1</v>
      </c>
      <c r="K466" s="2">
        <v>39</v>
      </c>
      <c r="L466" s="3" t="s">
        <v>2</v>
      </c>
      <c r="M466" s="4">
        <v>41096</v>
      </c>
      <c r="N466" s="3">
        <v>100</v>
      </c>
    </row>
    <row r="467" spans="1:14" x14ac:dyDescent="0.25">
      <c r="A467" s="2">
        <v>466</v>
      </c>
      <c r="B467" s="3">
        <v>6794528</v>
      </c>
      <c r="C467" s="2" t="s">
        <v>195</v>
      </c>
      <c r="D467" s="3">
        <v>1</v>
      </c>
      <c r="E467" s="2">
        <v>50</v>
      </c>
      <c r="F467" s="2" t="str">
        <f>"W1943CV"</f>
        <v>W1943CV</v>
      </c>
      <c r="G467" s="2" t="str">
        <f>"111NDHB3M289"</f>
        <v>111NDHB3M289</v>
      </c>
      <c r="I467">
        <v>20</v>
      </c>
      <c r="J467" s="3">
        <v>1</v>
      </c>
      <c r="K467" s="2">
        <v>39</v>
      </c>
      <c r="L467" s="3" t="s">
        <v>2</v>
      </c>
      <c r="M467" s="4">
        <v>41096</v>
      </c>
      <c r="N467" s="3">
        <v>155.21</v>
      </c>
    </row>
    <row r="468" spans="1:14" x14ac:dyDescent="0.25">
      <c r="A468" s="2">
        <v>467</v>
      </c>
      <c r="B468" s="3">
        <v>6794529</v>
      </c>
      <c r="C468" s="2" t="s">
        <v>195</v>
      </c>
      <c r="D468" s="3">
        <v>1</v>
      </c>
      <c r="E468" s="2">
        <v>50</v>
      </c>
      <c r="F468" s="2" t="str">
        <f>"W1943CV"</f>
        <v>W1943CV</v>
      </c>
      <c r="G468" s="2" t="str">
        <f>"202NDXQ2C130"</f>
        <v>202NDXQ2C130</v>
      </c>
      <c r="I468">
        <v>20</v>
      </c>
      <c r="J468" s="3">
        <v>1</v>
      </c>
      <c r="K468" s="2">
        <v>26</v>
      </c>
      <c r="L468" s="3" t="s">
        <v>2</v>
      </c>
      <c r="M468" s="4">
        <v>41096</v>
      </c>
      <c r="N468" s="3">
        <v>155.21</v>
      </c>
    </row>
    <row r="469" spans="1:14" x14ac:dyDescent="0.25">
      <c r="A469" s="2">
        <v>468</v>
      </c>
      <c r="B469" s="3">
        <v>6794530</v>
      </c>
      <c r="C469" s="2" t="s">
        <v>195</v>
      </c>
      <c r="D469" s="3">
        <v>1</v>
      </c>
      <c r="E469" s="2">
        <v>42</v>
      </c>
      <c r="F469" s="2" t="str">
        <f>"L1710"</f>
        <v>L1710</v>
      </c>
      <c r="G469" s="2" t="str">
        <f>"CNC834Q4BY"</f>
        <v>CNC834Q4BY</v>
      </c>
      <c r="I469">
        <v>20</v>
      </c>
      <c r="J469" s="3">
        <v>1</v>
      </c>
      <c r="K469" s="2">
        <v>4</v>
      </c>
      <c r="L469" s="3" t="s">
        <v>2</v>
      </c>
      <c r="M469" s="4">
        <v>41096</v>
      </c>
      <c r="N469" s="3">
        <v>155.21</v>
      </c>
    </row>
    <row r="470" spans="1:14" x14ac:dyDescent="0.25">
      <c r="A470" s="2">
        <v>469</v>
      </c>
      <c r="B470" s="3">
        <v>13382660</v>
      </c>
      <c r="C470" s="2" t="s">
        <v>198</v>
      </c>
      <c r="D470" s="3">
        <v>1</v>
      </c>
      <c r="E470" s="2">
        <v>42</v>
      </c>
      <c r="F470" s="2" t="str">
        <f>"KB 0316"</f>
        <v>KB 0316</v>
      </c>
      <c r="G470" s="2" t="str">
        <f>"BAUDU0OVB2D79I"</f>
        <v>BAUDU0OVB2D79I</v>
      </c>
      <c r="I470">
        <v>20</v>
      </c>
      <c r="J470" s="3">
        <v>1</v>
      </c>
      <c r="K470" s="2">
        <v>39</v>
      </c>
      <c r="L470" s="3" t="s">
        <v>2</v>
      </c>
      <c r="M470" s="4">
        <v>41096</v>
      </c>
      <c r="N470" s="3">
        <v>14.15</v>
      </c>
    </row>
    <row r="471" spans="1:14" x14ac:dyDescent="0.25">
      <c r="A471" s="2">
        <v>470</v>
      </c>
      <c r="B471" s="3">
        <v>13382661</v>
      </c>
      <c r="C471" s="2" t="s">
        <v>198</v>
      </c>
      <c r="D471" s="3">
        <v>1</v>
      </c>
      <c r="E471" s="2">
        <v>42</v>
      </c>
      <c r="F471" s="2" t="str">
        <f>"KB 0316"</f>
        <v>KB 0316</v>
      </c>
      <c r="G471" s="2" t="str">
        <f>"BAUDU0OVB2D7GH"</f>
        <v>BAUDU0OVB2D7GH</v>
      </c>
      <c r="I471">
        <v>20</v>
      </c>
      <c r="J471" s="3">
        <v>1</v>
      </c>
      <c r="K471" s="2">
        <v>26</v>
      </c>
      <c r="L471" s="3" t="s">
        <v>2</v>
      </c>
      <c r="M471" s="4">
        <v>41096</v>
      </c>
      <c r="N471" s="3">
        <v>14.15</v>
      </c>
    </row>
    <row r="472" spans="1:14" x14ac:dyDescent="0.25">
      <c r="A472" s="2">
        <v>471</v>
      </c>
      <c r="B472" s="3">
        <v>13382662</v>
      </c>
      <c r="C472" s="2" t="s">
        <v>198</v>
      </c>
      <c r="D472" s="3">
        <v>1</v>
      </c>
      <c r="E472" s="2">
        <v>42</v>
      </c>
      <c r="F472" s="2" t="str">
        <f>"KB 0316"</f>
        <v>KB 0316</v>
      </c>
      <c r="G472" s="2" t="str">
        <f>"BAUDU0OVB2D79Q"</f>
        <v>BAUDU0OVB2D79Q</v>
      </c>
      <c r="I472">
        <v>20</v>
      </c>
      <c r="J472" s="3">
        <v>1</v>
      </c>
      <c r="K472" s="2">
        <v>4</v>
      </c>
      <c r="L472" s="3" t="s">
        <v>2</v>
      </c>
      <c r="M472" s="4">
        <v>41096</v>
      </c>
      <c r="N472" s="3">
        <v>14.15</v>
      </c>
    </row>
    <row r="473" spans="1:14" x14ac:dyDescent="0.25">
      <c r="A473" s="2">
        <v>472</v>
      </c>
      <c r="B473" s="3">
        <v>13382663</v>
      </c>
      <c r="C473" s="2" t="s">
        <v>198</v>
      </c>
      <c r="D473" s="3">
        <v>1</v>
      </c>
      <c r="E473" s="2">
        <v>42</v>
      </c>
      <c r="F473" s="2" t="str">
        <f>"KB 0316"</f>
        <v>KB 0316</v>
      </c>
      <c r="G473" s="2" t="str">
        <f>"BAUDU0OVB2D79N"</f>
        <v>BAUDU0OVB2D79N</v>
      </c>
      <c r="I473">
        <v>20</v>
      </c>
      <c r="J473" s="3">
        <v>1</v>
      </c>
      <c r="K473" s="2">
        <v>34</v>
      </c>
      <c r="L473" s="3" t="s">
        <v>2</v>
      </c>
      <c r="M473" s="4">
        <v>41096</v>
      </c>
      <c r="N473" s="3">
        <v>14.15</v>
      </c>
    </row>
    <row r="474" spans="1:14" x14ac:dyDescent="0.25">
      <c r="A474" s="2">
        <v>473</v>
      </c>
      <c r="B474" s="3">
        <v>13382699</v>
      </c>
      <c r="C474" s="2" t="s">
        <v>197</v>
      </c>
      <c r="D474" s="3">
        <v>1</v>
      </c>
      <c r="E474" s="2">
        <v>42</v>
      </c>
      <c r="F474" s="2" t="str">
        <f>"M S0005 O"</f>
        <v>M S0005 O</v>
      </c>
      <c r="G474" s="2" t="str">
        <f>"FCGLH0DCU1Z1ZN"</f>
        <v>FCGLH0DCU1Z1ZN</v>
      </c>
      <c r="I474">
        <v>20</v>
      </c>
      <c r="J474" s="3">
        <v>1</v>
      </c>
      <c r="K474" s="2">
        <v>39</v>
      </c>
      <c r="L474" s="3" t="s">
        <v>2</v>
      </c>
      <c r="M474" s="4">
        <v>41096</v>
      </c>
      <c r="N474" s="3">
        <v>6.71</v>
      </c>
    </row>
    <row r="475" spans="1:14" x14ac:dyDescent="0.25">
      <c r="A475" s="2">
        <v>474</v>
      </c>
      <c r="B475" s="3">
        <v>13382700</v>
      </c>
      <c r="C475" s="2" t="s">
        <v>197</v>
      </c>
      <c r="D475" s="3">
        <v>1</v>
      </c>
      <c r="E475" s="2">
        <v>42</v>
      </c>
      <c r="F475" s="2" t="str">
        <f>"MOFXKO"</f>
        <v>MOFXKO</v>
      </c>
      <c r="G475" s="2" t="str">
        <f>"FCGLH0D9W2DWC1"</f>
        <v>FCGLH0D9W2DWC1</v>
      </c>
      <c r="I475">
        <v>20</v>
      </c>
      <c r="J475" s="3">
        <v>1</v>
      </c>
      <c r="K475" s="2">
        <v>39</v>
      </c>
      <c r="L475" s="3" t="s">
        <v>2</v>
      </c>
      <c r="M475" s="4">
        <v>41096</v>
      </c>
      <c r="N475" s="3">
        <v>6.71</v>
      </c>
    </row>
    <row r="476" spans="1:14" x14ac:dyDescent="0.25">
      <c r="A476" s="2">
        <v>475</v>
      </c>
      <c r="B476" s="3">
        <v>13382701</v>
      </c>
      <c r="C476" s="2" t="s">
        <v>197</v>
      </c>
      <c r="D476" s="3">
        <v>1</v>
      </c>
      <c r="E476" s="2">
        <v>42</v>
      </c>
      <c r="F476" s="2" t="str">
        <f>"MOFXKO"</f>
        <v>MOFXKO</v>
      </c>
      <c r="G476" s="2" t="str">
        <f>"63445070104013"</f>
        <v>63445070104013</v>
      </c>
      <c r="I476">
        <v>20</v>
      </c>
      <c r="J476" s="3">
        <v>1</v>
      </c>
      <c r="K476" s="2">
        <v>4</v>
      </c>
      <c r="L476" s="3" t="s">
        <v>2</v>
      </c>
      <c r="M476" s="4">
        <v>41096</v>
      </c>
      <c r="N476" s="3">
        <v>6.71</v>
      </c>
    </row>
    <row r="477" spans="1:14" x14ac:dyDescent="0.25">
      <c r="A477" s="2">
        <v>476</v>
      </c>
      <c r="B477" s="3">
        <v>13382702</v>
      </c>
      <c r="C477" s="2" t="s">
        <v>197</v>
      </c>
      <c r="D477" s="3">
        <v>1</v>
      </c>
      <c r="E477" s="2">
        <v>42</v>
      </c>
      <c r="F477" s="2" t="str">
        <f>"MOFXKO"</f>
        <v>MOFXKO</v>
      </c>
      <c r="G477" s="2" t="str">
        <f>"FCGLH0D9W2DWAK"</f>
        <v>FCGLH0D9W2DWAK</v>
      </c>
      <c r="I477">
        <v>20</v>
      </c>
      <c r="J477" s="3">
        <v>1</v>
      </c>
      <c r="K477" s="2">
        <v>39</v>
      </c>
      <c r="L477" s="3" t="s">
        <v>2</v>
      </c>
      <c r="M477" s="4">
        <v>41096</v>
      </c>
      <c r="N477" s="3">
        <v>6.71</v>
      </c>
    </row>
    <row r="478" spans="1:14" x14ac:dyDescent="0.25">
      <c r="A478" s="2">
        <v>477</v>
      </c>
      <c r="B478" s="3">
        <v>13382730</v>
      </c>
      <c r="C478" s="2" t="s">
        <v>209</v>
      </c>
      <c r="D478" s="3">
        <v>1</v>
      </c>
      <c r="E478" s="2">
        <v>78</v>
      </c>
      <c r="F478" s="2" t="str">
        <f>"SM UPS750"</f>
        <v>SM UPS750</v>
      </c>
      <c r="G478" s="2" t="str">
        <f>"111120-0385"</f>
        <v>111120-0385</v>
      </c>
      <c r="I478">
        <v>20</v>
      </c>
      <c r="J478" s="3">
        <v>2</v>
      </c>
      <c r="K478" s="2">
        <v>39</v>
      </c>
      <c r="L478" s="3" t="s">
        <v>2</v>
      </c>
      <c r="M478" s="4">
        <v>41096</v>
      </c>
      <c r="N478" s="3">
        <v>70</v>
      </c>
    </row>
    <row r="479" spans="1:14" x14ac:dyDescent="0.25">
      <c r="A479" s="2">
        <v>478</v>
      </c>
      <c r="B479" s="3">
        <v>13382731</v>
      </c>
      <c r="C479" s="2" t="s">
        <v>209</v>
      </c>
      <c r="D479" s="3">
        <v>1</v>
      </c>
      <c r="E479" s="2">
        <v>33</v>
      </c>
      <c r="F479" s="2" t="str">
        <f>"NT 501"</f>
        <v>NT 501</v>
      </c>
      <c r="G479" s="2" t="str">
        <f>"4112101470"</f>
        <v>4112101470</v>
      </c>
      <c r="I479">
        <v>20</v>
      </c>
      <c r="J479" s="3">
        <v>1</v>
      </c>
      <c r="K479" s="2">
        <v>39</v>
      </c>
      <c r="L479" s="3" t="s">
        <v>2</v>
      </c>
      <c r="M479" s="4">
        <v>41096</v>
      </c>
      <c r="N479" s="3">
        <v>70</v>
      </c>
    </row>
    <row r="480" spans="1:14" x14ac:dyDescent="0.25">
      <c r="A480" s="2">
        <v>479</v>
      </c>
      <c r="B480" s="3">
        <v>13382732</v>
      </c>
      <c r="C480" s="2" t="s">
        <v>209</v>
      </c>
      <c r="D480" s="3">
        <v>1</v>
      </c>
      <c r="E480" s="2">
        <v>33</v>
      </c>
      <c r="F480" s="2" t="str">
        <f>"NT 501"</f>
        <v>NT 501</v>
      </c>
      <c r="G480" s="2" t="str">
        <f>"4112102761"</f>
        <v>4112102761</v>
      </c>
      <c r="I480">
        <v>20</v>
      </c>
      <c r="J480" s="3">
        <v>1</v>
      </c>
      <c r="K480" s="2">
        <v>18</v>
      </c>
      <c r="L480" s="3" t="s">
        <v>2</v>
      </c>
      <c r="M480" s="4">
        <v>41096</v>
      </c>
      <c r="N480" s="3">
        <v>70</v>
      </c>
    </row>
    <row r="481" spans="1:14" x14ac:dyDescent="0.25">
      <c r="A481" s="2">
        <v>480</v>
      </c>
      <c r="B481" s="3">
        <v>13382733</v>
      </c>
      <c r="C481" s="2" t="s">
        <v>209</v>
      </c>
      <c r="D481" s="3">
        <v>1</v>
      </c>
      <c r="E481" s="2">
        <v>33</v>
      </c>
      <c r="F481" s="2" t="str">
        <f>"NT 501"</f>
        <v>NT 501</v>
      </c>
      <c r="G481" s="2" t="str">
        <f>"4112102764"</f>
        <v>4112102764</v>
      </c>
      <c r="I481">
        <v>20</v>
      </c>
      <c r="J481" s="3">
        <v>1</v>
      </c>
      <c r="K481" s="2">
        <v>37</v>
      </c>
      <c r="L481" s="3" t="s">
        <v>2</v>
      </c>
      <c r="M481" s="4">
        <v>41096</v>
      </c>
      <c r="N481" s="3">
        <v>70</v>
      </c>
    </row>
    <row r="482" spans="1:14" x14ac:dyDescent="0.25">
      <c r="A482" s="2">
        <v>481</v>
      </c>
      <c r="B482" s="3">
        <v>13382734</v>
      </c>
      <c r="C482" s="2" t="s">
        <v>209</v>
      </c>
      <c r="D482" s="3">
        <v>1</v>
      </c>
      <c r="E482" s="2">
        <v>33</v>
      </c>
      <c r="F482" s="2" t="str">
        <f>"NT 501"</f>
        <v>NT 501</v>
      </c>
      <c r="G482" s="2" t="str">
        <f>"4112102763"</f>
        <v>4112102763</v>
      </c>
      <c r="I482">
        <v>20</v>
      </c>
      <c r="J482" s="3">
        <v>2</v>
      </c>
      <c r="K482" s="2">
        <v>34</v>
      </c>
      <c r="L482" s="3" t="s">
        <v>2</v>
      </c>
      <c r="M482" s="4">
        <v>41096</v>
      </c>
      <c r="N482" s="3">
        <v>70</v>
      </c>
    </row>
    <row r="483" spans="1:14" x14ac:dyDescent="0.25">
      <c r="A483" s="2">
        <v>482</v>
      </c>
      <c r="B483" s="3">
        <v>13382735</v>
      </c>
      <c r="C483" s="2" t="s">
        <v>209</v>
      </c>
      <c r="D483" s="3">
        <v>1</v>
      </c>
      <c r="E483" s="2">
        <v>12</v>
      </c>
      <c r="F483" s="2" t="str">
        <f>"B SMART 706"</f>
        <v>B SMART 706</v>
      </c>
      <c r="G483" s="2" t="str">
        <f>"091026-0570411"</f>
        <v>091026-0570411</v>
      </c>
      <c r="I483">
        <v>20</v>
      </c>
      <c r="J483" s="3">
        <v>1</v>
      </c>
      <c r="K483" s="2">
        <v>39</v>
      </c>
      <c r="L483" s="3" t="s">
        <v>2</v>
      </c>
      <c r="M483" s="4">
        <v>41096</v>
      </c>
      <c r="N483" s="3">
        <v>70</v>
      </c>
    </row>
    <row r="484" spans="1:14" x14ac:dyDescent="0.25">
      <c r="A484" s="2">
        <v>483</v>
      </c>
      <c r="B484" s="3">
        <v>7602770</v>
      </c>
      <c r="C484" s="2" t="s">
        <v>240</v>
      </c>
      <c r="D484" s="8">
        <v>2</v>
      </c>
      <c r="E484" s="2">
        <v>24</v>
      </c>
      <c r="F484" s="2" t="str">
        <f>"SIN MODELO"</f>
        <v>SIN MODELO</v>
      </c>
      <c r="G484" s="2" t="str">
        <f>"14101040107001"</f>
        <v>14101040107001</v>
      </c>
      <c r="I484">
        <v>5</v>
      </c>
      <c r="J484" s="3">
        <v>1</v>
      </c>
      <c r="K484" s="2">
        <v>9</v>
      </c>
      <c r="L484" s="3" t="s">
        <v>2</v>
      </c>
      <c r="M484" s="4">
        <v>41192</v>
      </c>
      <c r="N484" s="3">
        <v>570</v>
      </c>
    </row>
    <row r="485" spans="1:14" x14ac:dyDescent="0.25">
      <c r="A485" s="2">
        <v>484</v>
      </c>
      <c r="B485" s="3">
        <v>7602788</v>
      </c>
      <c r="C485" s="2" t="s">
        <v>241</v>
      </c>
      <c r="D485" s="3">
        <v>1</v>
      </c>
      <c r="E485" s="2">
        <v>77</v>
      </c>
      <c r="F485" s="2" t="str">
        <f>"DSC HX200V"</f>
        <v>DSC HX200V</v>
      </c>
      <c r="G485" s="2" t="str">
        <f>"5527937"</f>
        <v>5527937</v>
      </c>
      <c r="I485">
        <v>20</v>
      </c>
      <c r="J485" s="3">
        <v>1</v>
      </c>
      <c r="K485" s="2">
        <v>9</v>
      </c>
      <c r="L485" s="3" t="s">
        <v>2</v>
      </c>
      <c r="M485" s="4">
        <v>41197</v>
      </c>
      <c r="N485" s="3">
        <v>712</v>
      </c>
    </row>
    <row r="486" spans="1:14" x14ac:dyDescent="0.25">
      <c r="A486" s="2">
        <v>485</v>
      </c>
      <c r="B486" s="3">
        <v>7602789</v>
      </c>
      <c r="C486" s="2" t="s">
        <v>241</v>
      </c>
      <c r="D486" s="3">
        <v>1</v>
      </c>
      <c r="E486" s="2">
        <v>77</v>
      </c>
      <c r="F486" s="2" t="str">
        <f>"DSC T110"</f>
        <v>DSC T110</v>
      </c>
      <c r="G486" s="2" t="str">
        <f>"8291800"</f>
        <v>8291800</v>
      </c>
      <c r="I486">
        <v>25</v>
      </c>
      <c r="J486" s="3">
        <v>1</v>
      </c>
      <c r="K486" s="2">
        <v>39</v>
      </c>
      <c r="L486" s="3" t="s">
        <v>2</v>
      </c>
      <c r="M486" s="4">
        <v>41197</v>
      </c>
      <c r="N486" s="3">
        <v>288</v>
      </c>
    </row>
    <row r="487" spans="1:14" x14ac:dyDescent="0.25">
      <c r="A487" s="2">
        <v>486</v>
      </c>
      <c r="B487" s="3">
        <v>6794456</v>
      </c>
      <c r="C487" s="2" t="s">
        <v>192</v>
      </c>
      <c r="D487" s="3">
        <v>1</v>
      </c>
      <c r="E487" s="2">
        <v>49</v>
      </c>
      <c r="F487" s="2" t="str">
        <f>"E460DN"</f>
        <v>E460DN</v>
      </c>
      <c r="G487" s="2" t="str">
        <f>"72R12CZ"</f>
        <v>72R12CZ</v>
      </c>
      <c r="I487">
        <v>17</v>
      </c>
      <c r="J487" s="3">
        <v>1</v>
      </c>
      <c r="K487" s="2">
        <v>26</v>
      </c>
      <c r="L487" s="3" t="s">
        <v>2</v>
      </c>
      <c r="M487" s="4">
        <v>41201</v>
      </c>
      <c r="N487" s="3">
        <v>397.18</v>
      </c>
    </row>
    <row r="488" spans="1:14" x14ac:dyDescent="0.25">
      <c r="A488" s="2">
        <v>487</v>
      </c>
      <c r="B488" s="3">
        <v>6794457</v>
      </c>
      <c r="C488" s="2" t="s">
        <v>192</v>
      </c>
      <c r="D488" s="3">
        <v>1</v>
      </c>
      <c r="E488" s="2">
        <v>49</v>
      </c>
      <c r="F488" s="2" t="str">
        <f>"E460DN"</f>
        <v>E460DN</v>
      </c>
      <c r="G488" s="2" t="str">
        <f>"72R12D3"</f>
        <v>72R12D3</v>
      </c>
      <c r="I488">
        <v>17</v>
      </c>
      <c r="J488" s="3">
        <v>2</v>
      </c>
      <c r="K488" s="2">
        <v>8</v>
      </c>
      <c r="L488" s="3" t="s">
        <v>2</v>
      </c>
      <c r="M488" s="4">
        <v>41201</v>
      </c>
      <c r="N488" s="3">
        <v>397.18</v>
      </c>
    </row>
    <row r="489" spans="1:14" x14ac:dyDescent="0.25">
      <c r="A489" s="2">
        <v>488</v>
      </c>
      <c r="B489" s="3">
        <v>6794458</v>
      </c>
      <c r="C489" s="2" t="s">
        <v>192</v>
      </c>
      <c r="D489" s="3">
        <v>1</v>
      </c>
      <c r="E489" s="2">
        <v>49</v>
      </c>
      <c r="F489" s="2" t="str">
        <f>"E460DN"</f>
        <v>E460DN</v>
      </c>
      <c r="G489" s="2" t="str">
        <f>"72R12D8"</f>
        <v>72R12D8</v>
      </c>
      <c r="I489">
        <v>17</v>
      </c>
      <c r="J489" s="3">
        <v>2</v>
      </c>
      <c r="K489" s="2">
        <v>30</v>
      </c>
      <c r="L489" s="3" t="s">
        <v>2</v>
      </c>
      <c r="M489" s="4">
        <v>41201</v>
      </c>
      <c r="N489" s="3">
        <v>397.18</v>
      </c>
    </row>
    <row r="490" spans="1:14" x14ac:dyDescent="0.25">
      <c r="A490" s="2">
        <v>489</v>
      </c>
      <c r="B490" s="3">
        <v>6794451</v>
      </c>
      <c r="C490" s="2" t="s">
        <v>242</v>
      </c>
      <c r="D490" s="3">
        <v>1</v>
      </c>
      <c r="E490" s="2">
        <v>31</v>
      </c>
      <c r="F490" s="2" t="str">
        <f>"L200"</f>
        <v>L200</v>
      </c>
      <c r="G490" s="2" t="str">
        <f>"PRFK168847"</f>
        <v>PRFK168847</v>
      </c>
      <c r="I490">
        <v>20</v>
      </c>
      <c r="J490" s="3">
        <v>1</v>
      </c>
      <c r="K490" s="2">
        <v>18</v>
      </c>
      <c r="L490" s="3" t="s">
        <v>2</v>
      </c>
      <c r="M490" s="4">
        <v>41208</v>
      </c>
      <c r="N490" s="3">
        <v>275</v>
      </c>
    </row>
    <row r="491" spans="1:14" x14ac:dyDescent="0.25">
      <c r="A491" s="2">
        <v>490</v>
      </c>
      <c r="B491" s="3">
        <v>7602812</v>
      </c>
      <c r="C491" s="2" t="s">
        <v>243</v>
      </c>
      <c r="D491" s="3">
        <v>2</v>
      </c>
      <c r="E491" s="2">
        <v>54</v>
      </c>
      <c r="F491" s="2" t="str">
        <f>"SIN MODELO"</f>
        <v>SIN MODELO</v>
      </c>
      <c r="G491" s="2" t="str">
        <f>"73872"</f>
        <v>73872</v>
      </c>
      <c r="I491">
        <v>11</v>
      </c>
      <c r="J491" s="3">
        <v>1</v>
      </c>
      <c r="K491" s="2">
        <v>25</v>
      </c>
      <c r="L491" s="3" t="s">
        <v>2</v>
      </c>
      <c r="M491" s="4">
        <v>41208</v>
      </c>
      <c r="N491" s="3">
        <v>248.21</v>
      </c>
    </row>
    <row r="492" spans="1:14" x14ac:dyDescent="0.25">
      <c r="A492" s="2">
        <v>491</v>
      </c>
      <c r="B492" s="3">
        <v>7602813</v>
      </c>
      <c r="C492" s="2" t="s">
        <v>244</v>
      </c>
      <c r="D492" s="3">
        <v>2</v>
      </c>
      <c r="E492" s="2">
        <v>47</v>
      </c>
      <c r="F492" s="2" t="str">
        <f>"3914"</f>
        <v>3914</v>
      </c>
      <c r="G492" s="2" t="str">
        <f>"14101040302001"</f>
        <v>14101040302001</v>
      </c>
      <c r="I492">
        <v>23</v>
      </c>
      <c r="J492" s="3">
        <v>1</v>
      </c>
      <c r="K492" s="2">
        <v>25</v>
      </c>
      <c r="L492" s="3" t="s">
        <v>2</v>
      </c>
      <c r="M492" s="4">
        <v>41208</v>
      </c>
      <c r="N492" s="3">
        <v>100</v>
      </c>
    </row>
    <row r="493" spans="1:14" x14ac:dyDescent="0.25">
      <c r="A493" s="2">
        <v>492</v>
      </c>
      <c r="B493" s="3">
        <v>7602790</v>
      </c>
      <c r="C493" s="2" t="s">
        <v>241</v>
      </c>
      <c r="D493" s="3">
        <v>1</v>
      </c>
      <c r="E493" s="2">
        <v>10</v>
      </c>
      <c r="F493" s="2" t="str">
        <f>"PSA3400 IS"</f>
        <v>PSA3400 IS</v>
      </c>
      <c r="G493" s="2" t="str">
        <f>"452063039559"</f>
        <v>452063039559</v>
      </c>
      <c r="I493">
        <v>22</v>
      </c>
      <c r="J493" s="3">
        <v>1</v>
      </c>
      <c r="K493" s="2">
        <v>30</v>
      </c>
      <c r="L493" s="3" t="s">
        <v>2</v>
      </c>
      <c r="M493" s="4">
        <v>41220</v>
      </c>
      <c r="N493" s="3">
        <v>198</v>
      </c>
    </row>
    <row r="494" spans="1:14" x14ac:dyDescent="0.25">
      <c r="A494" s="2">
        <v>493</v>
      </c>
      <c r="B494" s="3">
        <v>7602791</v>
      </c>
      <c r="C494" s="2" t="s">
        <v>241</v>
      </c>
      <c r="D494" s="3">
        <v>1</v>
      </c>
      <c r="E494" s="2">
        <v>10</v>
      </c>
      <c r="F494" s="2" t="str">
        <f>"PSA3400 IS"</f>
        <v>PSA3400 IS</v>
      </c>
      <c r="G494" s="2" t="str">
        <f>"452063039532"</f>
        <v>452063039532</v>
      </c>
      <c r="I494">
        <v>22</v>
      </c>
      <c r="J494" s="3">
        <v>2</v>
      </c>
      <c r="K494" s="2">
        <v>2</v>
      </c>
      <c r="L494" s="3" t="s">
        <v>2</v>
      </c>
      <c r="M494" s="4">
        <v>41220</v>
      </c>
      <c r="N494" s="3">
        <v>198</v>
      </c>
    </row>
    <row r="495" spans="1:14" x14ac:dyDescent="0.25">
      <c r="A495" s="2">
        <v>494</v>
      </c>
      <c r="B495" s="3">
        <v>7602792</v>
      </c>
      <c r="C495" s="2" t="s">
        <v>241</v>
      </c>
      <c r="D495" s="3">
        <v>1</v>
      </c>
      <c r="E495" s="2">
        <v>10</v>
      </c>
      <c r="F495" s="2" t="str">
        <f>"PSA3400 IS"</f>
        <v>PSA3400 IS</v>
      </c>
      <c r="G495" s="2" t="str">
        <f>"452063039531"</f>
        <v>452063039531</v>
      </c>
      <c r="I495">
        <v>22</v>
      </c>
      <c r="J495" s="3">
        <v>1</v>
      </c>
      <c r="K495" s="2">
        <v>2</v>
      </c>
      <c r="L495" s="3" t="s">
        <v>2</v>
      </c>
      <c r="M495" s="4">
        <v>41220</v>
      </c>
      <c r="N495" s="3">
        <v>198</v>
      </c>
    </row>
    <row r="496" spans="1:14" x14ac:dyDescent="0.25">
      <c r="A496" s="2">
        <v>495</v>
      </c>
      <c r="B496" s="3">
        <v>7606319</v>
      </c>
      <c r="C496" s="2" t="s">
        <v>245</v>
      </c>
      <c r="D496" s="3">
        <v>2</v>
      </c>
      <c r="E496" s="2">
        <v>7</v>
      </c>
      <c r="F496" s="2" t="str">
        <f>"215"</f>
        <v>215</v>
      </c>
      <c r="G496" s="2" t="str">
        <f>"04"</f>
        <v>04</v>
      </c>
      <c r="I496">
        <v>20</v>
      </c>
      <c r="J496" s="3">
        <v>1</v>
      </c>
      <c r="K496" s="2">
        <v>18</v>
      </c>
      <c r="L496" s="3" t="s">
        <v>2</v>
      </c>
      <c r="M496" s="4">
        <v>41221</v>
      </c>
      <c r="N496" s="3">
        <v>830.36</v>
      </c>
    </row>
    <row r="497" spans="1:14" x14ac:dyDescent="0.25">
      <c r="A497" s="2">
        <v>496</v>
      </c>
      <c r="B497" s="3">
        <v>6794611</v>
      </c>
      <c r="C497" s="2" t="s">
        <v>195</v>
      </c>
      <c r="D497" s="3">
        <v>1</v>
      </c>
      <c r="E497" s="2">
        <v>42</v>
      </c>
      <c r="F497" s="2" t="str">
        <f>"LV1911"</f>
        <v>LV1911</v>
      </c>
      <c r="G497" s="2" t="str">
        <f>"6CM21900ZT"</f>
        <v>6CM21900ZT</v>
      </c>
      <c r="I497">
        <v>20</v>
      </c>
      <c r="J497" s="3">
        <v>1</v>
      </c>
      <c r="K497" s="2">
        <v>29</v>
      </c>
      <c r="L497" s="3" t="s">
        <v>2</v>
      </c>
      <c r="M497" s="4">
        <v>41248</v>
      </c>
      <c r="N497" s="3">
        <v>138</v>
      </c>
    </row>
    <row r="498" spans="1:14" x14ac:dyDescent="0.25">
      <c r="A498" s="2">
        <v>497</v>
      </c>
      <c r="B498" s="3">
        <v>6794612</v>
      </c>
      <c r="C498" s="2" t="s">
        <v>195</v>
      </c>
      <c r="D498" s="3">
        <v>1</v>
      </c>
      <c r="E498" s="2">
        <v>42</v>
      </c>
      <c r="F498" s="2" t="str">
        <f>"LV1911"</f>
        <v>LV1911</v>
      </c>
      <c r="G498" s="2" t="str">
        <f>"6CM2190168"</f>
        <v>6CM2190168</v>
      </c>
      <c r="I498">
        <v>20</v>
      </c>
      <c r="J498" s="3">
        <v>1</v>
      </c>
      <c r="K498" s="2">
        <v>9</v>
      </c>
      <c r="L498" s="3" t="s">
        <v>2</v>
      </c>
      <c r="M498" s="4">
        <v>41248</v>
      </c>
      <c r="N498" s="3">
        <v>138</v>
      </c>
    </row>
    <row r="499" spans="1:14" x14ac:dyDescent="0.25">
      <c r="A499" s="2">
        <v>498</v>
      </c>
      <c r="B499" s="3">
        <v>6794613</v>
      </c>
      <c r="C499" s="2" t="s">
        <v>195</v>
      </c>
      <c r="D499" s="3">
        <v>1</v>
      </c>
      <c r="E499" s="2">
        <v>42</v>
      </c>
      <c r="F499" s="2" t="str">
        <f>"LV1911"</f>
        <v>LV1911</v>
      </c>
      <c r="G499" s="2" t="str">
        <f>"6CM2190170"</f>
        <v>6CM2190170</v>
      </c>
      <c r="I499">
        <v>20</v>
      </c>
      <c r="J499" s="3">
        <v>1</v>
      </c>
      <c r="K499" s="2">
        <v>30</v>
      </c>
      <c r="L499" s="3" t="s">
        <v>2</v>
      </c>
      <c r="M499" s="4">
        <v>41248</v>
      </c>
      <c r="N499" s="3">
        <v>138</v>
      </c>
    </row>
    <row r="500" spans="1:14" x14ac:dyDescent="0.25">
      <c r="A500" s="2">
        <v>499</v>
      </c>
      <c r="B500" s="3">
        <v>6794614</v>
      </c>
      <c r="C500" s="2" t="s">
        <v>195</v>
      </c>
      <c r="D500" s="3">
        <v>1</v>
      </c>
      <c r="E500" s="2">
        <v>42</v>
      </c>
      <c r="F500" s="2" t="str">
        <f>"LV1911"</f>
        <v>LV1911</v>
      </c>
      <c r="G500" s="2" t="str">
        <f>"6CM219010N"</f>
        <v>6CM219010N</v>
      </c>
      <c r="I500">
        <v>20</v>
      </c>
      <c r="J500" s="3">
        <v>1</v>
      </c>
      <c r="K500" s="2">
        <v>39</v>
      </c>
      <c r="L500" s="3" t="s">
        <v>2</v>
      </c>
      <c r="M500" s="4">
        <v>41248</v>
      </c>
      <c r="N500" s="3">
        <v>138</v>
      </c>
    </row>
    <row r="501" spans="1:14" x14ac:dyDescent="0.25">
      <c r="A501" s="2">
        <v>500</v>
      </c>
      <c r="B501" s="3">
        <v>6794615</v>
      </c>
      <c r="C501" s="2" t="s">
        <v>195</v>
      </c>
      <c r="D501" s="3">
        <v>1</v>
      </c>
      <c r="E501" s="2">
        <v>42</v>
      </c>
      <c r="F501" s="2" t="str">
        <f>"LV1911"</f>
        <v>LV1911</v>
      </c>
      <c r="G501" s="2" t="str">
        <f>"6CM219015J"</f>
        <v>6CM219015J</v>
      </c>
      <c r="I501">
        <v>20</v>
      </c>
      <c r="J501" s="3">
        <v>1</v>
      </c>
      <c r="K501" s="2">
        <v>39</v>
      </c>
      <c r="L501" s="3" t="s">
        <v>2</v>
      </c>
      <c r="M501" s="4">
        <v>41248</v>
      </c>
      <c r="N501" s="3">
        <v>138</v>
      </c>
    </row>
    <row r="502" spans="1:14" x14ac:dyDescent="0.25">
      <c r="A502" s="2">
        <v>501</v>
      </c>
      <c r="B502" s="3">
        <v>6794576</v>
      </c>
      <c r="C502" s="2" t="s">
        <v>145</v>
      </c>
      <c r="D502" s="3">
        <v>1</v>
      </c>
      <c r="E502" s="2">
        <v>42</v>
      </c>
      <c r="F502" s="2" t="str">
        <f t="shared" ref="F502:F516" si="18">"COMPAQ 6200 PRO"</f>
        <v>COMPAQ 6200 PRO</v>
      </c>
      <c r="G502" s="2" t="str">
        <f>"MXL22808YT"</f>
        <v>MXL22808YT</v>
      </c>
      <c r="I502">
        <v>20</v>
      </c>
      <c r="J502" s="3">
        <v>1</v>
      </c>
      <c r="K502" s="2">
        <v>9</v>
      </c>
      <c r="L502" s="3" t="s">
        <v>2</v>
      </c>
      <c r="M502" s="4">
        <v>41248</v>
      </c>
      <c r="N502" s="3">
        <v>771.98</v>
      </c>
    </row>
    <row r="503" spans="1:14" x14ac:dyDescent="0.25">
      <c r="A503" s="2">
        <v>502</v>
      </c>
      <c r="B503" s="3">
        <v>6794577</v>
      </c>
      <c r="C503" s="2" t="s">
        <v>145</v>
      </c>
      <c r="D503" s="3">
        <v>1</v>
      </c>
      <c r="E503" s="2">
        <v>42</v>
      </c>
      <c r="F503" s="2" t="str">
        <f t="shared" si="18"/>
        <v>COMPAQ 6200 PRO</v>
      </c>
      <c r="G503" s="2" t="str">
        <f>"MXL22808WM"</f>
        <v>MXL22808WM</v>
      </c>
      <c r="I503">
        <v>20</v>
      </c>
      <c r="J503" s="3">
        <v>1</v>
      </c>
      <c r="K503" s="2">
        <v>15</v>
      </c>
      <c r="L503" s="3" t="s">
        <v>2</v>
      </c>
      <c r="M503" s="4">
        <v>41248</v>
      </c>
      <c r="N503" s="3">
        <v>771.98</v>
      </c>
    </row>
    <row r="504" spans="1:14" x14ac:dyDescent="0.25">
      <c r="A504" s="2">
        <v>503</v>
      </c>
      <c r="B504" s="3">
        <v>6794578</v>
      </c>
      <c r="C504" s="2" t="s">
        <v>145</v>
      </c>
      <c r="D504" s="3">
        <v>1</v>
      </c>
      <c r="E504" s="2">
        <v>42</v>
      </c>
      <c r="F504" s="2" t="str">
        <f t="shared" si="18"/>
        <v>COMPAQ 6200 PRO</v>
      </c>
      <c r="G504" s="2" t="str">
        <f>"MXL22808XQ"</f>
        <v>MXL22808XQ</v>
      </c>
      <c r="I504">
        <v>20</v>
      </c>
      <c r="J504" s="3">
        <v>1</v>
      </c>
      <c r="K504" s="2">
        <v>3</v>
      </c>
      <c r="L504" s="3" t="s">
        <v>2</v>
      </c>
      <c r="M504" s="4">
        <v>41248</v>
      </c>
      <c r="N504" s="3">
        <v>771.98</v>
      </c>
    </row>
    <row r="505" spans="1:14" x14ac:dyDescent="0.25">
      <c r="A505" s="2">
        <v>504</v>
      </c>
      <c r="B505" s="3">
        <v>6794579</v>
      </c>
      <c r="C505" s="2" t="s">
        <v>145</v>
      </c>
      <c r="D505" s="3">
        <v>1</v>
      </c>
      <c r="E505" s="2">
        <v>42</v>
      </c>
      <c r="F505" s="2" t="str">
        <f t="shared" si="18"/>
        <v>COMPAQ 6200 PRO</v>
      </c>
      <c r="G505" s="2" t="str">
        <f>"MXL2280DR0"</f>
        <v>MXL2280DR0</v>
      </c>
      <c r="I505">
        <v>20</v>
      </c>
      <c r="J505" s="3">
        <v>1</v>
      </c>
      <c r="K505" s="2">
        <v>4</v>
      </c>
      <c r="L505" s="3" t="s">
        <v>2</v>
      </c>
      <c r="M505" s="4">
        <v>41248</v>
      </c>
      <c r="N505" s="3">
        <v>771.98</v>
      </c>
    </row>
    <row r="506" spans="1:14" x14ac:dyDescent="0.25">
      <c r="A506" s="2">
        <v>505</v>
      </c>
      <c r="B506" s="3">
        <v>6794581</v>
      </c>
      <c r="C506" s="2" t="s">
        <v>145</v>
      </c>
      <c r="D506" s="3">
        <v>1</v>
      </c>
      <c r="E506" s="2">
        <v>42</v>
      </c>
      <c r="F506" s="2" t="str">
        <f t="shared" si="18"/>
        <v>COMPAQ 6200 PRO</v>
      </c>
      <c r="G506" s="2" t="str">
        <f>"MXL2080FSK"</f>
        <v>MXL2080FSK</v>
      </c>
      <c r="I506">
        <v>20</v>
      </c>
      <c r="J506" s="3">
        <v>2</v>
      </c>
      <c r="K506" s="2">
        <v>8</v>
      </c>
      <c r="L506" s="3" t="s">
        <v>2</v>
      </c>
      <c r="M506" s="4">
        <v>41248</v>
      </c>
      <c r="N506" s="3">
        <v>771.98</v>
      </c>
    </row>
    <row r="507" spans="1:14" x14ac:dyDescent="0.25">
      <c r="A507" s="2">
        <v>506</v>
      </c>
      <c r="B507" s="3">
        <v>6794582</v>
      </c>
      <c r="C507" s="2" t="s">
        <v>145</v>
      </c>
      <c r="D507" s="3">
        <v>1</v>
      </c>
      <c r="E507" s="2">
        <v>42</v>
      </c>
      <c r="F507" s="2" t="str">
        <f t="shared" si="18"/>
        <v>COMPAQ 6200 PRO</v>
      </c>
      <c r="G507" s="2" t="str">
        <f>"MXL2280FSQ"</f>
        <v>MXL2280FSQ</v>
      </c>
      <c r="I507">
        <v>20</v>
      </c>
      <c r="J507" s="3">
        <v>2</v>
      </c>
      <c r="K507" s="2">
        <v>8</v>
      </c>
      <c r="L507" s="3" t="s">
        <v>2</v>
      </c>
      <c r="M507" s="4">
        <v>41248</v>
      </c>
      <c r="N507" s="3">
        <v>771.98</v>
      </c>
    </row>
    <row r="508" spans="1:14" x14ac:dyDescent="0.25">
      <c r="A508" s="2">
        <v>507</v>
      </c>
      <c r="B508" s="3">
        <v>6794583</v>
      </c>
      <c r="C508" s="2" t="s">
        <v>145</v>
      </c>
      <c r="D508" s="3">
        <v>1</v>
      </c>
      <c r="E508" s="2">
        <v>42</v>
      </c>
      <c r="F508" s="2" t="str">
        <f t="shared" si="18"/>
        <v>COMPAQ 6200 PRO</v>
      </c>
      <c r="G508" s="2" t="str">
        <f>"MXL22808TV"</f>
        <v>MXL22808TV</v>
      </c>
      <c r="I508">
        <v>20</v>
      </c>
      <c r="J508" s="3">
        <v>1</v>
      </c>
      <c r="K508" s="2">
        <v>39</v>
      </c>
      <c r="L508" s="3" t="s">
        <v>2</v>
      </c>
      <c r="M508" s="4">
        <v>41248</v>
      </c>
      <c r="N508" s="3">
        <v>771.98</v>
      </c>
    </row>
    <row r="509" spans="1:14" x14ac:dyDescent="0.25">
      <c r="A509" s="2">
        <v>508</v>
      </c>
      <c r="B509" s="3">
        <v>6794584</v>
      </c>
      <c r="C509" s="2" t="s">
        <v>145</v>
      </c>
      <c r="D509" s="3">
        <v>1</v>
      </c>
      <c r="E509" s="2">
        <v>42</v>
      </c>
      <c r="F509" s="2" t="str">
        <f t="shared" si="18"/>
        <v>COMPAQ 6200 PRO</v>
      </c>
      <c r="G509" s="2" t="str">
        <f>"MXL22808VY"</f>
        <v>MXL22808VY</v>
      </c>
      <c r="I509">
        <v>20</v>
      </c>
      <c r="J509" s="3">
        <v>1</v>
      </c>
      <c r="K509" s="2">
        <v>39</v>
      </c>
      <c r="L509" s="3" t="s">
        <v>2</v>
      </c>
      <c r="M509" s="4">
        <v>41248</v>
      </c>
      <c r="N509" s="3">
        <v>771.98</v>
      </c>
    </row>
    <row r="510" spans="1:14" x14ac:dyDescent="0.25">
      <c r="A510" s="2">
        <v>509</v>
      </c>
      <c r="B510" s="3">
        <v>6794585</v>
      </c>
      <c r="C510" s="2" t="s">
        <v>145</v>
      </c>
      <c r="D510" s="3">
        <v>1</v>
      </c>
      <c r="E510" s="2">
        <v>42</v>
      </c>
      <c r="F510" s="2" t="str">
        <f t="shared" si="18"/>
        <v>COMPAQ 6200 PRO</v>
      </c>
      <c r="G510" s="2" t="str">
        <f>"MXL2280D84"</f>
        <v>MXL2280D84</v>
      </c>
      <c r="I510">
        <v>20</v>
      </c>
      <c r="J510" s="3">
        <v>1</v>
      </c>
      <c r="K510" s="2">
        <v>29</v>
      </c>
      <c r="L510" s="3" t="s">
        <v>2</v>
      </c>
      <c r="M510" s="4">
        <v>41248</v>
      </c>
      <c r="N510" s="3">
        <v>771.98</v>
      </c>
    </row>
    <row r="511" spans="1:14" x14ac:dyDescent="0.25">
      <c r="A511" s="2">
        <v>510</v>
      </c>
      <c r="B511" s="3">
        <v>6794586</v>
      </c>
      <c r="C511" s="2" t="s">
        <v>145</v>
      </c>
      <c r="D511" s="3">
        <v>1</v>
      </c>
      <c r="E511" s="2">
        <v>42</v>
      </c>
      <c r="F511" s="2" t="str">
        <f t="shared" si="18"/>
        <v>COMPAQ 6200 PRO</v>
      </c>
      <c r="G511" s="2" t="str">
        <f>"MXL22808YN"</f>
        <v>MXL22808YN</v>
      </c>
      <c r="I511">
        <v>20</v>
      </c>
      <c r="J511" s="3">
        <v>1</v>
      </c>
      <c r="K511" s="2">
        <v>39</v>
      </c>
      <c r="L511" s="3" t="s">
        <v>2</v>
      </c>
      <c r="M511" s="4">
        <v>41248</v>
      </c>
      <c r="N511" s="3">
        <v>771.98</v>
      </c>
    </row>
    <row r="512" spans="1:14" x14ac:dyDescent="0.25">
      <c r="A512" s="2">
        <v>511</v>
      </c>
      <c r="B512" s="3">
        <v>6794587</v>
      </c>
      <c r="C512" s="2" t="s">
        <v>145</v>
      </c>
      <c r="D512" s="3">
        <v>1</v>
      </c>
      <c r="E512" s="2">
        <v>42</v>
      </c>
      <c r="F512" s="2" t="str">
        <f t="shared" si="18"/>
        <v>COMPAQ 6200 PRO</v>
      </c>
      <c r="G512" s="2" t="str">
        <f>"MXL22808YJ"</f>
        <v>MXL22808YJ</v>
      </c>
      <c r="I512">
        <v>20</v>
      </c>
      <c r="J512" s="3">
        <v>1</v>
      </c>
      <c r="K512" s="2">
        <v>23</v>
      </c>
      <c r="L512" s="3" t="s">
        <v>2</v>
      </c>
      <c r="M512" s="4">
        <v>41248</v>
      </c>
      <c r="N512" s="3">
        <v>771.98</v>
      </c>
    </row>
    <row r="513" spans="1:14" x14ac:dyDescent="0.25">
      <c r="A513" s="2">
        <v>512</v>
      </c>
      <c r="B513" s="3">
        <v>6794588</v>
      </c>
      <c r="C513" s="2" t="s">
        <v>145</v>
      </c>
      <c r="D513" s="3">
        <v>1</v>
      </c>
      <c r="E513" s="2">
        <v>42</v>
      </c>
      <c r="F513" s="2" t="str">
        <f t="shared" si="18"/>
        <v>COMPAQ 6200 PRO</v>
      </c>
      <c r="G513" s="2" t="str">
        <f>"MXL22808WV"</f>
        <v>MXL22808WV</v>
      </c>
      <c r="I513">
        <v>20</v>
      </c>
      <c r="J513" s="3">
        <v>1</v>
      </c>
      <c r="K513" s="2">
        <v>39</v>
      </c>
      <c r="L513" s="3" t="s">
        <v>2</v>
      </c>
      <c r="M513" s="4">
        <v>41248</v>
      </c>
      <c r="N513" s="3">
        <v>771.98</v>
      </c>
    </row>
    <row r="514" spans="1:14" x14ac:dyDescent="0.25">
      <c r="A514" s="2">
        <v>513</v>
      </c>
      <c r="B514" s="3">
        <v>6794589</v>
      </c>
      <c r="C514" s="2" t="s">
        <v>145</v>
      </c>
      <c r="D514" s="3">
        <v>1</v>
      </c>
      <c r="E514" s="2">
        <v>42</v>
      </c>
      <c r="F514" s="2" t="str">
        <f t="shared" si="18"/>
        <v>COMPAQ 6200 PRO</v>
      </c>
      <c r="G514" s="2" t="str">
        <f>"MXL22808YS"</f>
        <v>MXL22808YS</v>
      </c>
      <c r="I514">
        <v>20</v>
      </c>
      <c r="J514" s="3">
        <v>1</v>
      </c>
      <c r="K514" s="2">
        <v>39</v>
      </c>
      <c r="L514" s="3" t="s">
        <v>2</v>
      </c>
      <c r="M514" s="4">
        <v>41248</v>
      </c>
      <c r="N514" s="3">
        <v>771.98</v>
      </c>
    </row>
    <row r="515" spans="1:14" x14ac:dyDescent="0.25">
      <c r="A515" s="2">
        <v>514</v>
      </c>
      <c r="B515" s="3">
        <v>6794590</v>
      </c>
      <c r="C515" s="2" t="s">
        <v>145</v>
      </c>
      <c r="D515" s="3">
        <v>1</v>
      </c>
      <c r="E515" s="2">
        <v>42</v>
      </c>
      <c r="F515" s="2" t="str">
        <f t="shared" si="18"/>
        <v>COMPAQ 6200 PRO</v>
      </c>
      <c r="G515" s="2" t="str">
        <f>"MXL22808VJ"</f>
        <v>MXL22808VJ</v>
      </c>
      <c r="I515">
        <v>20</v>
      </c>
      <c r="J515" s="3">
        <v>1</v>
      </c>
      <c r="K515" s="2">
        <v>30</v>
      </c>
      <c r="L515" s="3" t="s">
        <v>2</v>
      </c>
      <c r="M515" s="4">
        <v>41248</v>
      </c>
      <c r="N515" s="3">
        <v>771.98</v>
      </c>
    </row>
    <row r="516" spans="1:14" x14ac:dyDescent="0.25">
      <c r="A516" s="2">
        <v>515</v>
      </c>
      <c r="B516" s="3">
        <v>6794591</v>
      </c>
      <c r="C516" s="2" t="s">
        <v>145</v>
      </c>
      <c r="D516" s="3">
        <v>1</v>
      </c>
      <c r="E516" s="2">
        <v>42</v>
      </c>
      <c r="F516" s="2" t="str">
        <f t="shared" si="18"/>
        <v>COMPAQ 6200 PRO</v>
      </c>
      <c r="G516" s="2" t="str">
        <f>"MXL2280CL3"</f>
        <v>MXL2280CL3</v>
      </c>
      <c r="I516">
        <v>20</v>
      </c>
      <c r="J516" s="3">
        <v>1</v>
      </c>
      <c r="K516" s="2">
        <v>26</v>
      </c>
      <c r="L516" s="3" t="s">
        <v>2</v>
      </c>
      <c r="M516" s="4">
        <v>41248</v>
      </c>
      <c r="N516" s="3">
        <v>771.98</v>
      </c>
    </row>
    <row r="517" spans="1:14" x14ac:dyDescent="0.25">
      <c r="A517" s="2">
        <v>516</v>
      </c>
      <c r="B517" s="3">
        <v>6794602</v>
      </c>
      <c r="C517" s="2" t="s">
        <v>195</v>
      </c>
      <c r="D517" s="3">
        <v>1</v>
      </c>
      <c r="E517" s="2">
        <v>42</v>
      </c>
      <c r="F517" s="2" t="str">
        <f t="shared" ref="F517:F524" si="19">"LV1911"</f>
        <v>LV1911</v>
      </c>
      <c r="G517" s="2" t="str">
        <f>"6CM219026B"</f>
        <v>6CM219026B</v>
      </c>
      <c r="I517">
        <v>20</v>
      </c>
      <c r="J517" s="3">
        <v>1</v>
      </c>
      <c r="K517" s="2">
        <v>9</v>
      </c>
      <c r="L517" s="3" t="s">
        <v>2</v>
      </c>
      <c r="M517" s="4">
        <v>41248</v>
      </c>
      <c r="N517" s="3">
        <v>138</v>
      </c>
    </row>
    <row r="518" spans="1:14" x14ac:dyDescent="0.25">
      <c r="A518" s="2">
        <v>517</v>
      </c>
      <c r="B518" s="3">
        <v>6794603</v>
      </c>
      <c r="C518" s="2" t="s">
        <v>195</v>
      </c>
      <c r="D518" s="3">
        <v>1</v>
      </c>
      <c r="E518" s="2">
        <v>42</v>
      </c>
      <c r="F518" s="2" t="str">
        <f t="shared" si="19"/>
        <v>LV1911</v>
      </c>
      <c r="G518" s="2" t="str">
        <f>"6CM2190112"</f>
        <v>6CM2190112</v>
      </c>
      <c r="I518">
        <v>20</v>
      </c>
      <c r="J518" s="3">
        <v>1</v>
      </c>
      <c r="K518" s="2">
        <v>15</v>
      </c>
      <c r="L518" s="3" t="s">
        <v>2</v>
      </c>
      <c r="M518" s="4">
        <v>41248</v>
      </c>
      <c r="N518" s="3">
        <v>138</v>
      </c>
    </row>
    <row r="519" spans="1:14" x14ac:dyDescent="0.25">
      <c r="A519" s="2">
        <v>518</v>
      </c>
      <c r="B519" s="3">
        <v>6794604</v>
      </c>
      <c r="C519" s="2" t="s">
        <v>195</v>
      </c>
      <c r="D519" s="3">
        <v>1</v>
      </c>
      <c r="E519" s="2">
        <v>42</v>
      </c>
      <c r="F519" s="2" t="str">
        <f t="shared" si="19"/>
        <v>LV1911</v>
      </c>
      <c r="G519" s="2" t="str">
        <f>"6CM219016Q"</f>
        <v>6CM219016Q</v>
      </c>
      <c r="I519">
        <v>20</v>
      </c>
      <c r="J519" s="3">
        <v>1</v>
      </c>
      <c r="K519" s="2">
        <v>3</v>
      </c>
      <c r="L519" s="3" t="s">
        <v>2</v>
      </c>
      <c r="M519" s="4">
        <v>41248</v>
      </c>
      <c r="N519" s="3">
        <v>138</v>
      </c>
    </row>
    <row r="520" spans="1:14" x14ac:dyDescent="0.25">
      <c r="A520" s="2">
        <v>519</v>
      </c>
      <c r="B520" s="3">
        <v>6794605</v>
      </c>
      <c r="C520" s="2" t="s">
        <v>195</v>
      </c>
      <c r="D520" s="3">
        <v>1</v>
      </c>
      <c r="E520" s="2">
        <v>42</v>
      </c>
      <c r="F520" s="2" t="str">
        <f t="shared" si="19"/>
        <v>LV1911</v>
      </c>
      <c r="G520" s="2" t="str">
        <f>"6CM21903BV"</f>
        <v>6CM21903BV</v>
      </c>
      <c r="I520">
        <v>20</v>
      </c>
      <c r="J520" s="3">
        <v>1</v>
      </c>
      <c r="K520" s="2">
        <v>4</v>
      </c>
      <c r="L520" s="3" t="s">
        <v>2</v>
      </c>
      <c r="M520" s="4">
        <v>41248</v>
      </c>
      <c r="N520" s="3">
        <v>138</v>
      </c>
    </row>
    <row r="521" spans="1:14" x14ac:dyDescent="0.25">
      <c r="A521" s="2">
        <v>520</v>
      </c>
      <c r="B521" s="3">
        <v>6794607</v>
      </c>
      <c r="C521" s="2" t="s">
        <v>195</v>
      </c>
      <c r="D521" s="3">
        <v>1</v>
      </c>
      <c r="E521" s="2">
        <v>42</v>
      </c>
      <c r="F521" s="2" t="str">
        <f t="shared" si="19"/>
        <v>LV1911</v>
      </c>
      <c r="G521" s="2" t="str">
        <f>"6CM21903BT"</f>
        <v>6CM21903BT</v>
      </c>
      <c r="I521">
        <v>20</v>
      </c>
      <c r="J521" s="3">
        <v>1</v>
      </c>
      <c r="K521" s="2">
        <v>18</v>
      </c>
      <c r="L521" s="3" t="s">
        <v>2</v>
      </c>
      <c r="M521" s="4">
        <v>41248</v>
      </c>
      <c r="N521" s="3">
        <v>138</v>
      </c>
    </row>
    <row r="522" spans="1:14" x14ac:dyDescent="0.25">
      <c r="A522" s="2">
        <v>521</v>
      </c>
      <c r="B522" s="3">
        <v>6794608</v>
      </c>
      <c r="C522" s="2" t="s">
        <v>195</v>
      </c>
      <c r="D522" s="3">
        <v>1</v>
      </c>
      <c r="E522" s="2">
        <v>42</v>
      </c>
      <c r="F522" s="2" t="str">
        <f t="shared" si="19"/>
        <v>LV1911</v>
      </c>
      <c r="G522" s="2" t="str">
        <f>"6CM21900ZP"</f>
        <v>6CM21900ZP</v>
      </c>
      <c r="I522">
        <v>20</v>
      </c>
      <c r="J522" s="3">
        <v>1</v>
      </c>
      <c r="K522" s="2">
        <v>30</v>
      </c>
      <c r="L522" s="3" t="s">
        <v>2</v>
      </c>
      <c r="M522" s="4">
        <v>41248</v>
      </c>
      <c r="N522" s="3">
        <v>138</v>
      </c>
    </row>
    <row r="523" spans="1:14" x14ac:dyDescent="0.25">
      <c r="A523" s="2">
        <v>522</v>
      </c>
      <c r="B523" s="3">
        <v>6794609</v>
      </c>
      <c r="C523" s="2" t="s">
        <v>195</v>
      </c>
      <c r="D523" s="3">
        <v>1</v>
      </c>
      <c r="E523" s="2">
        <v>42</v>
      </c>
      <c r="F523" s="2" t="str">
        <f t="shared" si="19"/>
        <v>LV1911</v>
      </c>
      <c r="G523" s="2" t="str">
        <f>"6CM219010H"</f>
        <v>6CM219010H</v>
      </c>
      <c r="I523">
        <v>20</v>
      </c>
      <c r="J523" s="3">
        <v>1</v>
      </c>
      <c r="K523" s="2">
        <v>39</v>
      </c>
      <c r="L523" s="3" t="s">
        <v>2</v>
      </c>
      <c r="M523" s="4">
        <v>41248</v>
      </c>
      <c r="N523" s="3">
        <v>138</v>
      </c>
    </row>
    <row r="524" spans="1:14" x14ac:dyDescent="0.25">
      <c r="A524" s="2">
        <v>523</v>
      </c>
      <c r="B524" s="3">
        <v>6794610</v>
      </c>
      <c r="C524" s="2" t="s">
        <v>195</v>
      </c>
      <c r="D524" s="3">
        <v>1</v>
      </c>
      <c r="E524" s="2">
        <v>42</v>
      </c>
      <c r="F524" s="2" t="str">
        <f t="shared" si="19"/>
        <v>LV1911</v>
      </c>
      <c r="G524" s="2" t="str">
        <f>"6CM21903S9"</f>
        <v>6CM21903S9</v>
      </c>
      <c r="I524">
        <v>20</v>
      </c>
      <c r="J524" s="3">
        <v>1</v>
      </c>
      <c r="K524" s="2">
        <v>8</v>
      </c>
      <c r="L524" s="3" t="s">
        <v>2</v>
      </c>
      <c r="M524" s="4">
        <v>41248</v>
      </c>
      <c r="N524" s="3">
        <v>138</v>
      </c>
    </row>
    <row r="525" spans="1:14" x14ac:dyDescent="0.25">
      <c r="A525" s="2">
        <v>524</v>
      </c>
      <c r="B525" s="3">
        <v>13382740</v>
      </c>
      <c r="C525" s="2" t="s">
        <v>197</v>
      </c>
      <c r="D525" s="3">
        <v>1</v>
      </c>
      <c r="E525" s="2">
        <v>42</v>
      </c>
      <c r="F525" s="2" t="str">
        <f>"MOFXKO"</f>
        <v>MOFXKO</v>
      </c>
      <c r="G525" s="2" t="str">
        <f>"FCGLH0DHD2OSC3"</f>
        <v>FCGLH0DHD2OSC3</v>
      </c>
      <c r="I525">
        <v>20</v>
      </c>
      <c r="J525" s="3">
        <v>1</v>
      </c>
      <c r="K525" s="2">
        <v>9</v>
      </c>
      <c r="L525" s="3" t="s">
        <v>2</v>
      </c>
      <c r="M525" s="4">
        <v>41248</v>
      </c>
      <c r="N525" s="3">
        <v>5.04</v>
      </c>
    </row>
    <row r="526" spans="1:14" x14ac:dyDescent="0.25">
      <c r="A526" s="2">
        <v>525</v>
      </c>
      <c r="B526" s="3">
        <v>13382741</v>
      </c>
      <c r="C526" s="2" t="s">
        <v>197</v>
      </c>
      <c r="D526" s="3">
        <v>1</v>
      </c>
      <c r="E526" s="2">
        <v>42</v>
      </c>
      <c r="F526" s="2" t="str">
        <f>"MOFXKO"</f>
        <v>MOFXKO</v>
      </c>
      <c r="G526" s="2" t="str">
        <f>"FCGLH0D9W2QC0T"</f>
        <v>FCGLH0D9W2QC0T</v>
      </c>
      <c r="I526">
        <v>20</v>
      </c>
      <c r="J526" s="3">
        <v>1</v>
      </c>
      <c r="K526" s="2">
        <v>15</v>
      </c>
      <c r="L526" s="3" t="s">
        <v>2</v>
      </c>
      <c r="M526" s="4">
        <v>41248</v>
      </c>
      <c r="N526" s="3">
        <v>5.04</v>
      </c>
    </row>
    <row r="527" spans="1:14" x14ac:dyDescent="0.25">
      <c r="A527" s="2">
        <v>526</v>
      </c>
      <c r="B527" s="3">
        <v>13382742</v>
      </c>
      <c r="C527" s="2" t="s">
        <v>197</v>
      </c>
      <c r="D527" s="3">
        <v>1</v>
      </c>
      <c r="E527" s="2">
        <v>42</v>
      </c>
      <c r="F527" s="2" t="str">
        <f>"MOFXKO"</f>
        <v>MOFXKO</v>
      </c>
      <c r="G527" s="2" t="str">
        <f>"FCGLH0DHD2OSCQ"</f>
        <v>FCGLH0DHD2OSCQ</v>
      </c>
      <c r="I527">
        <v>20</v>
      </c>
      <c r="J527" s="3">
        <v>1</v>
      </c>
      <c r="K527" s="2">
        <v>39</v>
      </c>
      <c r="L527" s="3" t="s">
        <v>2</v>
      </c>
      <c r="M527" s="4">
        <v>41248</v>
      </c>
      <c r="N527" s="3">
        <v>5.04</v>
      </c>
    </row>
    <row r="528" spans="1:14" x14ac:dyDescent="0.25">
      <c r="A528" s="2">
        <v>527</v>
      </c>
      <c r="B528" s="3">
        <v>13382743</v>
      </c>
      <c r="C528" s="2" t="s">
        <v>197</v>
      </c>
      <c r="D528" s="3">
        <v>1</v>
      </c>
      <c r="E528" s="2">
        <v>42</v>
      </c>
      <c r="F528" s="2" t="str">
        <f>"N8ROU"</f>
        <v>N8ROU</v>
      </c>
      <c r="G528" s="2" t="str">
        <f>"FATSK0JUJZFBRB"</f>
        <v>FATSK0JUJZFBRB</v>
      </c>
      <c r="I528">
        <v>20</v>
      </c>
      <c r="J528" s="3">
        <v>1</v>
      </c>
      <c r="K528" s="2">
        <v>4</v>
      </c>
      <c r="L528" s="3" t="s">
        <v>2</v>
      </c>
      <c r="M528" s="4">
        <v>41248</v>
      </c>
      <c r="N528" s="3">
        <v>5.04</v>
      </c>
    </row>
    <row r="529" spans="1:14" x14ac:dyDescent="0.25">
      <c r="A529" s="2">
        <v>528</v>
      </c>
      <c r="B529" s="3">
        <v>13382745</v>
      </c>
      <c r="C529" s="2" t="s">
        <v>197</v>
      </c>
      <c r="D529" s="3">
        <v>1</v>
      </c>
      <c r="E529" s="2">
        <v>69</v>
      </c>
      <c r="F529" s="2" t="str">
        <f>"M668"</f>
        <v>M668</v>
      </c>
      <c r="G529" s="2" t="str">
        <f>"1F48896"</f>
        <v>1F48896</v>
      </c>
      <c r="I529">
        <v>20</v>
      </c>
      <c r="J529" s="3">
        <v>1</v>
      </c>
      <c r="K529" s="2">
        <v>23</v>
      </c>
      <c r="L529" s="3" t="s">
        <v>2</v>
      </c>
      <c r="M529" s="4">
        <v>41248</v>
      </c>
      <c r="N529" s="3">
        <v>5.04</v>
      </c>
    </row>
    <row r="530" spans="1:14" x14ac:dyDescent="0.25">
      <c r="A530" s="2">
        <v>529</v>
      </c>
      <c r="B530" s="3">
        <v>13382746</v>
      </c>
      <c r="C530" s="2" t="s">
        <v>197</v>
      </c>
      <c r="D530" s="3">
        <v>1</v>
      </c>
      <c r="E530" s="2">
        <v>42</v>
      </c>
      <c r="F530" s="2" t="str">
        <f>"SBF96"</f>
        <v>SBF96</v>
      </c>
      <c r="G530" s="2" t="str">
        <f>"FB7330AN3WP1GRT"</f>
        <v>FB7330AN3WP1GRT</v>
      </c>
      <c r="I530">
        <v>20</v>
      </c>
      <c r="J530" s="3">
        <v>1</v>
      </c>
      <c r="K530" s="2">
        <v>39</v>
      </c>
      <c r="L530" s="3" t="s">
        <v>2</v>
      </c>
      <c r="M530" s="4">
        <v>41248</v>
      </c>
      <c r="N530" s="3">
        <v>5.04</v>
      </c>
    </row>
    <row r="531" spans="1:14" x14ac:dyDescent="0.25">
      <c r="A531" s="2">
        <v>530</v>
      </c>
      <c r="B531" s="3">
        <v>13382747</v>
      </c>
      <c r="C531" s="2" t="s">
        <v>197</v>
      </c>
      <c r="D531" s="3">
        <v>1</v>
      </c>
      <c r="E531" s="2">
        <v>42</v>
      </c>
      <c r="F531" s="2" t="str">
        <f>"M S0005 O"</f>
        <v>M S0005 O</v>
      </c>
      <c r="G531" s="2" t="str">
        <f>"FCGLH0DDR2UW6R"</f>
        <v>FCGLH0DDR2UW6R</v>
      </c>
      <c r="I531">
        <v>20</v>
      </c>
      <c r="J531" s="3">
        <v>1</v>
      </c>
      <c r="K531" s="2">
        <v>39</v>
      </c>
      <c r="L531" s="3" t="s">
        <v>2</v>
      </c>
      <c r="M531" s="4">
        <v>41248</v>
      </c>
      <c r="N531" s="3">
        <v>5.04</v>
      </c>
    </row>
    <row r="532" spans="1:14" x14ac:dyDescent="0.25">
      <c r="A532" s="2">
        <v>531</v>
      </c>
      <c r="B532" s="3">
        <v>13382748</v>
      </c>
      <c r="C532" s="2" t="s">
        <v>197</v>
      </c>
      <c r="D532" s="3">
        <v>1</v>
      </c>
      <c r="E532" s="2">
        <v>42</v>
      </c>
      <c r="F532" s="2" t="str">
        <f>"MOFXKO"</f>
        <v>MOFXKO</v>
      </c>
      <c r="G532" s="2" t="str">
        <f>"FCGLH0D9W2DUMQ"</f>
        <v>FCGLH0D9W2DUMQ</v>
      </c>
      <c r="I532">
        <v>20</v>
      </c>
      <c r="J532" s="3">
        <v>1</v>
      </c>
      <c r="K532" s="2">
        <v>8</v>
      </c>
      <c r="L532" s="3" t="s">
        <v>2</v>
      </c>
      <c r="M532" s="4">
        <v>41248</v>
      </c>
      <c r="N532" s="3">
        <v>5.04</v>
      </c>
    </row>
    <row r="533" spans="1:14" x14ac:dyDescent="0.25">
      <c r="A533" s="2">
        <v>532</v>
      </c>
      <c r="B533" s="3">
        <v>13382749</v>
      </c>
      <c r="C533" s="2" t="s">
        <v>197</v>
      </c>
      <c r="D533" s="3">
        <v>1</v>
      </c>
      <c r="E533" s="2">
        <v>42</v>
      </c>
      <c r="F533" s="2" t="str">
        <f>"M S0005 O"</f>
        <v>M S0005 O</v>
      </c>
      <c r="G533" s="2" t="str">
        <f>"FCGLH0D5D2R3ML"</f>
        <v>FCGLH0D5D2R3ML</v>
      </c>
      <c r="I533">
        <v>20</v>
      </c>
      <c r="J533" s="3">
        <v>1</v>
      </c>
      <c r="K533" s="2">
        <v>29</v>
      </c>
      <c r="L533" s="3" t="s">
        <v>2</v>
      </c>
      <c r="M533" s="4">
        <v>41248</v>
      </c>
      <c r="N533" s="3">
        <v>5.04</v>
      </c>
    </row>
    <row r="534" spans="1:14" x14ac:dyDescent="0.25">
      <c r="A534" s="2">
        <v>533</v>
      </c>
      <c r="B534" s="3">
        <v>13382750</v>
      </c>
      <c r="C534" s="2" t="s">
        <v>197</v>
      </c>
      <c r="D534" s="3">
        <v>1</v>
      </c>
      <c r="E534" s="2">
        <v>42</v>
      </c>
      <c r="F534" s="2" t="str">
        <f>"MOFXKO"</f>
        <v>MOFXKO</v>
      </c>
      <c r="G534" s="2" t="str">
        <f>"FCGLH0DHD2OB6F"</f>
        <v>FCGLH0DHD2OB6F</v>
      </c>
      <c r="I534">
        <v>20</v>
      </c>
      <c r="J534" s="3">
        <v>1</v>
      </c>
      <c r="K534" s="2">
        <v>23</v>
      </c>
      <c r="L534" s="3" t="s">
        <v>2</v>
      </c>
      <c r="M534" s="4">
        <v>41248</v>
      </c>
      <c r="N534" s="3">
        <v>5.04</v>
      </c>
    </row>
    <row r="535" spans="1:14" x14ac:dyDescent="0.25">
      <c r="A535" s="2">
        <v>534</v>
      </c>
      <c r="B535" s="3">
        <v>13382751</v>
      </c>
      <c r="C535" s="2" t="s">
        <v>197</v>
      </c>
      <c r="D535" s="3">
        <v>1</v>
      </c>
      <c r="E535" s="2">
        <v>42</v>
      </c>
      <c r="F535" s="2" t="str">
        <f>"MOFXKO"</f>
        <v>MOFXKO</v>
      </c>
      <c r="G535" s="2" t="str">
        <f>"FCGLH0D9W2DV1L"</f>
        <v>FCGLH0D9W2DV1L</v>
      </c>
      <c r="I535">
        <v>20</v>
      </c>
      <c r="J535" s="3">
        <v>1</v>
      </c>
      <c r="K535" s="2">
        <v>26</v>
      </c>
      <c r="L535" s="3" t="s">
        <v>2</v>
      </c>
      <c r="M535" s="4">
        <v>41248</v>
      </c>
      <c r="N535" s="3">
        <v>5.04</v>
      </c>
    </row>
    <row r="536" spans="1:14" x14ac:dyDescent="0.25">
      <c r="A536" s="2">
        <v>535</v>
      </c>
      <c r="B536" s="3">
        <v>13382752</v>
      </c>
      <c r="C536" s="2" t="s">
        <v>197</v>
      </c>
      <c r="D536" s="3">
        <v>1</v>
      </c>
      <c r="E536" s="2">
        <v>42</v>
      </c>
      <c r="F536" s="2" t="str">
        <f>"MOFXKO"</f>
        <v>MOFXKO</v>
      </c>
      <c r="G536" s="2" t="str">
        <f>"FCGLH0D5D2R3N8"</f>
        <v>FCGLH0D5D2R3N8</v>
      </c>
      <c r="I536">
        <v>20</v>
      </c>
      <c r="J536" s="3">
        <v>1</v>
      </c>
      <c r="K536" s="2">
        <v>39</v>
      </c>
      <c r="L536" s="3" t="s">
        <v>2</v>
      </c>
      <c r="M536" s="4">
        <v>41248</v>
      </c>
      <c r="N536" s="3">
        <v>5.04</v>
      </c>
    </row>
    <row r="537" spans="1:14" x14ac:dyDescent="0.25">
      <c r="A537" s="2">
        <v>536</v>
      </c>
      <c r="B537" s="3">
        <v>13382753</v>
      </c>
      <c r="C537" s="2" t="s">
        <v>197</v>
      </c>
      <c r="D537" s="3">
        <v>1</v>
      </c>
      <c r="E537" s="2">
        <v>42</v>
      </c>
      <c r="F537" s="2" t="str">
        <f>"MSB0991"</f>
        <v>MSB0991</v>
      </c>
      <c r="G537" s="2" t="str">
        <f>"FCGLH0D5D2R3NJ"</f>
        <v>FCGLH0D5D2R3NJ</v>
      </c>
      <c r="I537">
        <v>20</v>
      </c>
      <c r="J537" s="3">
        <v>1</v>
      </c>
      <c r="K537" s="2">
        <v>30</v>
      </c>
      <c r="L537" s="3" t="s">
        <v>2</v>
      </c>
      <c r="M537" s="4">
        <v>41248</v>
      </c>
      <c r="N537" s="3">
        <v>5.04</v>
      </c>
    </row>
    <row r="538" spans="1:14" x14ac:dyDescent="0.25">
      <c r="A538" s="2">
        <v>537</v>
      </c>
      <c r="B538" s="3">
        <v>13382754</v>
      </c>
      <c r="C538" s="2" t="s">
        <v>197</v>
      </c>
      <c r="D538" s="3">
        <v>1</v>
      </c>
      <c r="E538" s="2">
        <v>42</v>
      </c>
      <c r="F538" s="2" t="str">
        <f>"MOFXKO"</f>
        <v>MOFXKO</v>
      </c>
      <c r="G538" s="2" t="str">
        <f>"FCGLH0DHD2OT4G"</f>
        <v>FCGLH0DHD2OT4G</v>
      </c>
      <c r="I538">
        <v>20</v>
      </c>
      <c r="J538" s="3">
        <v>1</v>
      </c>
      <c r="K538" s="2">
        <v>39</v>
      </c>
      <c r="L538" s="3" t="s">
        <v>2</v>
      </c>
      <c r="M538" s="4">
        <v>41248</v>
      </c>
      <c r="N538" s="3">
        <v>5.04</v>
      </c>
    </row>
    <row r="539" spans="1:14" x14ac:dyDescent="0.25">
      <c r="A539" s="2">
        <v>538</v>
      </c>
      <c r="B539" s="3">
        <v>13382755</v>
      </c>
      <c r="C539" s="2" t="s">
        <v>197</v>
      </c>
      <c r="D539" s="3">
        <v>1</v>
      </c>
      <c r="E539" s="2">
        <v>38</v>
      </c>
      <c r="F539" s="2" t="str">
        <f>"GM 050008U"</f>
        <v>GM 050008U</v>
      </c>
      <c r="G539" s="2" t="str">
        <f>"121695903920"</f>
        <v>121695903920</v>
      </c>
      <c r="I539">
        <v>20</v>
      </c>
      <c r="J539" s="3">
        <v>1</v>
      </c>
      <c r="K539" s="2">
        <v>39</v>
      </c>
      <c r="L539" s="3" t="s">
        <v>2</v>
      </c>
      <c r="M539" s="4">
        <v>41248</v>
      </c>
      <c r="N539" s="3">
        <v>5.04</v>
      </c>
    </row>
    <row r="540" spans="1:14" x14ac:dyDescent="0.25">
      <c r="A540" s="2">
        <v>539</v>
      </c>
      <c r="B540" s="3">
        <v>13382760</v>
      </c>
      <c r="C540" s="2" t="s">
        <v>198</v>
      </c>
      <c r="D540" s="3">
        <v>1</v>
      </c>
      <c r="E540" s="2">
        <v>42</v>
      </c>
      <c r="F540" s="2" t="str">
        <f>"KB 0316"</f>
        <v>KB 0316</v>
      </c>
      <c r="G540" s="2" t="str">
        <f>"BAUDU0OVB2K2IK"</f>
        <v>BAUDU0OVB2K2IK</v>
      </c>
      <c r="I540">
        <v>20</v>
      </c>
      <c r="J540" s="3">
        <v>1</v>
      </c>
      <c r="K540" s="2">
        <v>9</v>
      </c>
      <c r="L540" s="3" t="s">
        <v>2</v>
      </c>
      <c r="M540" s="4">
        <v>41248</v>
      </c>
      <c r="N540" s="3">
        <v>10.63</v>
      </c>
    </row>
    <row r="541" spans="1:14" x14ac:dyDescent="0.25">
      <c r="A541" s="2">
        <v>540</v>
      </c>
      <c r="B541" s="3">
        <v>13382761</v>
      </c>
      <c r="C541" s="2" t="s">
        <v>198</v>
      </c>
      <c r="D541" s="3">
        <v>1</v>
      </c>
      <c r="E541" s="2">
        <v>42</v>
      </c>
      <c r="F541" s="2" t="str">
        <f>"KB 0316"</f>
        <v>KB 0316</v>
      </c>
      <c r="G541" s="2" t="str">
        <f>"BAUDU0OVB2L43Q"</f>
        <v>BAUDU0OVB2L43Q</v>
      </c>
      <c r="I541">
        <v>20</v>
      </c>
      <c r="J541" s="3">
        <v>1</v>
      </c>
      <c r="K541" s="2">
        <v>15</v>
      </c>
      <c r="L541" s="3" t="s">
        <v>2</v>
      </c>
      <c r="M541" s="4">
        <v>41248</v>
      </c>
      <c r="N541" s="3">
        <v>10.63</v>
      </c>
    </row>
    <row r="542" spans="1:14" x14ac:dyDescent="0.25">
      <c r="A542" s="2">
        <v>541</v>
      </c>
      <c r="B542" s="3">
        <v>13382762</v>
      </c>
      <c r="C542" s="2" t="s">
        <v>198</v>
      </c>
      <c r="D542" s="3">
        <v>1</v>
      </c>
      <c r="E542" s="2">
        <v>42</v>
      </c>
      <c r="F542" s="2" t="str">
        <f>"KB 0316"</f>
        <v>KB 0316</v>
      </c>
      <c r="G542" s="2" t="str">
        <f>"BAUDU0OVB2K3CB"</f>
        <v>BAUDU0OVB2K3CB</v>
      </c>
      <c r="I542">
        <v>20</v>
      </c>
      <c r="J542" s="3">
        <v>1</v>
      </c>
      <c r="K542" s="2">
        <v>3</v>
      </c>
      <c r="L542" s="3" t="s">
        <v>2</v>
      </c>
      <c r="M542" s="4">
        <v>41248</v>
      </c>
      <c r="N542" s="3">
        <v>10.63</v>
      </c>
    </row>
    <row r="543" spans="1:14" x14ac:dyDescent="0.25">
      <c r="A543" s="2">
        <v>542</v>
      </c>
      <c r="B543" s="3">
        <v>13382763</v>
      </c>
      <c r="C543" s="2" t="s">
        <v>198</v>
      </c>
      <c r="D543" s="3">
        <v>1</v>
      </c>
      <c r="E543" s="2">
        <v>42</v>
      </c>
      <c r="F543" s="2" t="str">
        <f>"KU 0316"</f>
        <v>KU 0316</v>
      </c>
      <c r="G543" s="2" t="str">
        <f>"BAUHR0IVBZS1PB"</f>
        <v>BAUHR0IVBZS1PB</v>
      </c>
      <c r="I543">
        <v>20</v>
      </c>
      <c r="J543" s="3">
        <v>1</v>
      </c>
      <c r="K543" s="2">
        <v>4</v>
      </c>
      <c r="L543" s="3" t="s">
        <v>2</v>
      </c>
      <c r="M543" s="4">
        <v>41248</v>
      </c>
      <c r="N543" s="3">
        <v>10.63</v>
      </c>
    </row>
    <row r="544" spans="1:14" x14ac:dyDescent="0.25">
      <c r="A544" s="2">
        <v>543</v>
      </c>
      <c r="B544" s="3">
        <v>13382765</v>
      </c>
      <c r="C544" s="2" t="s">
        <v>198</v>
      </c>
      <c r="D544" s="3">
        <v>1</v>
      </c>
      <c r="E544" s="2">
        <v>42</v>
      </c>
      <c r="F544" s="2" t="str">
        <f t="shared" ref="F544:F554" si="20">"KB 0316"</f>
        <v>KB 0316</v>
      </c>
      <c r="G544" s="2" t="str">
        <f>"BC3370FVBW46IV"</f>
        <v>BC3370FVBW46IV</v>
      </c>
      <c r="I544">
        <v>20</v>
      </c>
      <c r="J544" s="3">
        <v>1</v>
      </c>
      <c r="K544" s="2">
        <v>30</v>
      </c>
      <c r="L544" s="3" t="s">
        <v>2</v>
      </c>
      <c r="M544" s="4">
        <v>41248</v>
      </c>
      <c r="N544" s="3">
        <v>10.63</v>
      </c>
    </row>
    <row r="545" spans="1:14" x14ac:dyDescent="0.25">
      <c r="A545" s="2">
        <v>544</v>
      </c>
      <c r="B545" s="3">
        <v>13382766</v>
      </c>
      <c r="C545" s="2" t="s">
        <v>198</v>
      </c>
      <c r="D545" s="3">
        <v>1</v>
      </c>
      <c r="E545" s="2">
        <v>42</v>
      </c>
      <c r="F545" s="2" t="str">
        <f t="shared" si="20"/>
        <v>KB 0316</v>
      </c>
      <c r="G545" s="2" t="str">
        <f>"BAUDU0OVB2O5PZ"</f>
        <v>BAUDU0OVB2O5PZ</v>
      </c>
      <c r="I545">
        <v>20</v>
      </c>
      <c r="J545" s="3">
        <v>1</v>
      </c>
      <c r="K545" s="2">
        <v>30</v>
      </c>
      <c r="L545" s="3" t="s">
        <v>2</v>
      </c>
      <c r="M545" s="4">
        <v>41248</v>
      </c>
      <c r="N545" s="3">
        <v>10.63</v>
      </c>
    </row>
    <row r="546" spans="1:14" x14ac:dyDescent="0.25">
      <c r="A546" s="2">
        <v>545</v>
      </c>
      <c r="B546" s="3">
        <v>13382767</v>
      </c>
      <c r="C546" s="2" t="s">
        <v>198</v>
      </c>
      <c r="D546" s="3">
        <v>1</v>
      </c>
      <c r="E546" s="2">
        <v>42</v>
      </c>
      <c r="F546" s="2" t="str">
        <f t="shared" si="20"/>
        <v>KB 0316</v>
      </c>
      <c r="G546" s="2" t="str">
        <f>"BAUDU0OVB2M5U0"</f>
        <v>BAUDU0OVB2M5U0</v>
      </c>
      <c r="I546">
        <v>20</v>
      </c>
      <c r="J546" s="3">
        <v>1</v>
      </c>
      <c r="K546" s="2">
        <v>30</v>
      </c>
      <c r="L546" s="3" t="s">
        <v>2</v>
      </c>
      <c r="M546" s="4">
        <v>41248</v>
      </c>
      <c r="N546" s="3">
        <v>10.63</v>
      </c>
    </row>
    <row r="547" spans="1:14" x14ac:dyDescent="0.25">
      <c r="A547" s="2">
        <v>546</v>
      </c>
      <c r="B547" s="3">
        <v>13382768</v>
      </c>
      <c r="C547" s="2" t="s">
        <v>198</v>
      </c>
      <c r="D547" s="3">
        <v>1</v>
      </c>
      <c r="E547" s="2">
        <v>42</v>
      </c>
      <c r="F547" s="2" t="str">
        <f t="shared" si="20"/>
        <v>KB 0316</v>
      </c>
      <c r="G547" s="2" t="str">
        <f>"BDAEV0QVB3NAQ5"</f>
        <v>BDAEV0QVB3NAQ5</v>
      </c>
      <c r="I547">
        <v>20</v>
      </c>
      <c r="J547" s="3">
        <v>1</v>
      </c>
      <c r="K547" s="2">
        <v>23</v>
      </c>
      <c r="L547" s="3" t="s">
        <v>2</v>
      </c>
      <c r="M547" s="4">
        <v>41248</v>
      </c>
      <c r="N547" s="3">
        <v>10.63</v>
      </c>
    </row>
    <row r="548" spans="1:14" x14ac:dyDescent="0.25">
      <c r="A548" s="2">
        <v>547</v>
      </c>
      <c r="B548" s="3">
        <v>13382769</v>
      </c>
      <c r="C548" s="2" t="s">
        <v>198</v>
      </c>
      <c r="D548" s="3">
        <v>1</v>
      </c>
      <c r="E548" s="2">
        <v>42</v>
      </c>
      <c r="F548" s="2" t="str">
        <f t="shared" si="20"/>
        <v>KB 0316</v>
      </c>
      <c r="G548" s="2" t="str">
        <f>"BAUDU0OVB2M5XC"</f>
        <v>BAUDU0OVB2M5XC</v>
      </c>
      <c r="I548">
        <v>20</v>
      </c>
      <c r="J548" s="3">
        <v>1</v>
      </c>
      <c r="K548" s="2">
        <v>29</v>
      </c>
      <c r="L548" s="3" t="s">
        <v>2</v>
      </c>
      <c r="M548" s="4">
        <v>41248</v>
      </c>
      <c r="N548" s="3">
        <v>10.63</v>
      </c>
    </row>
    <row r="549" spans="1:14" x14ac:dyDescent="0.25">
      <c r="A549" s="2">
        <v>548</v>
      </c>
      <c r="B549" s="3">
        <v>13382770</v>
      </c>
      <c r="C549" s="2" t="s">
        <v>198</v>
      </c>
      <c r="D549" s="3">
        <v>1</v>
      </c>
      <c r="E549" s="2">
        <v>42</v>
      </c>
      <c r="F549" s="2" t="str">
        <f t="shared" si="20"/>
        <v>KB 0316</v>
      </c>
      <c r="G549" s="2" t="str">
        <f>"BAUDU0OVB2P92C"</f>
        <v>BAUDU0OVB2P92C</v>
      </c>
      <c r="I549">
        <v>20</v>
      </c>
      <c r="J549" s="3">
        <v>1</v>
      </c>
      <c r="K549" s="2">
        <v>37</v>
      </c>
      <c r="L549" s="3" t="s">
        <v>2</v>
      </c>
      <c r="M549" s="4">
        <v>41248</v>
      </c>
      <c r="N549" s="3">
        <v>10.63</v>
      </c>
    </row>
    <row r="550" spans="1:14" x14ac:dyDescent="0.25">
      <c r="A550" s="2">
        <v>549</v>
      </c>
      <c r="B550" s="3">
        <v>13382771</v>
      </c>
      <c r="C550" s="2" t="s">
        <v>198</v>
      </c>
      <c r="D550" s="3">
        <v>1</v>
      </c>
      <c r="E550" s="2">
        <v>42</v>
      </c>
      <c r="F550" s="2" t="str">
        <f t="shared" si="20"/>
        <v>KB 0316</v>
      </c>
      <c r="G550" s="2" t="str">
        <f>"BAUDU0OVB2M25P"</f>
        <v>BAUDU0OVB2M25P</v>
      </c>
      <c r="I550">
        <v>20</v>
      </c>
      <c r="J550" s="3">
        <v>1</v>
      </c>
      <c r="K550" s="2">
        <v>39</v>
      </c>
      <c r="L550" s="3" t="s">
        <v>2</v>
      </c>
      <c r="M550" s="4">
        <v>41248</v>
      </c>
      <c r="N550" s="3">
        <v>10.63</v>
      </c>
    </row>
    <row r="551" spans="1:14" x14ac:dyDescent="0.25">
      <c r="A551" s="2">
        <v>550</v>
      </c>
      <c r="B551" s="3">
        <v>13382772</v>
      </c>
      <c r="C551" s="2" t="s">
        <v>198</v>
      </c>
      <c r="D551" s="3">
        <v>1</v>
      </c>
      <c r="E551" s="2">
        <v>42</v>
      </c>
      <c r="F551" s="2" t="str">
        <f t="shared" si="20"/>
        <v>KB 0316</v>
      </c>
      <c r="G551" s="2" t="str">
        <f>"BAUDU0OVB2PCWN"</f>
        <v>BAUDU0OVB2PCWN</v>
      </c>
      <c r="I551">
        <v>20</v>
      </c>
      <c r="J551" s="3">
        <v>1</v>
      </c>
      <c r="K551" s="2">
        <v>39</v>
      </c>
      <c r="L551" s="3" t="s">
        <v>2</v>
      </c>
      <c r="M551" s="4">
        <v>41248</v>
      </c>
      <c r="N551" s="3">
        <v>10.63</v>
      </c>
    </row>
    <row r="552" spans="1:14" x14ac:dyDescent="0.25">
      <c r="A552" s="2">
        <v>551</v>
      </c>
      <c r="B552" s="3">
        <v>13382773</v>
      </c>
      <c r="C552" s="2" t="s">
        <v>198</v>
      </c>
      <c r="D552" s="3">
        <v>1</v>
      </c>
      <c r="E552" s="2">
        <v>42</v>
      </c>
      <c r="F552" s="2" t="str">
        <f t="shared" si="20"/>
        <v>KB 0316</v>
      </c>
      <c r="G552" s="2" t="str">
        <f>"BAUDU0OVB205JK"</f>
        <v>BAUDU0OVB205JK</v>
      </c>
      <c r="I552">
        <v>20</v>
      </c>
      <c r="J552" s="3">
        <v>1</v>
      </c>
      <c r="K552" s="2">
        <v>26</v>
      </c>
      <c r="L552" s="3" t="s">
        <v>2</v>
      </c>
      <c r="M552" s="4">
        <v>41248</v>
      </c>
      <c r="N552" s="3">
        <v>10.63</v>
      </c>
    </row>
    <row r="553" spans="1:14" x14ac:dyDescent="0.25">
      <c r="A553" s="2">
        <v>552</v>
      </c>
      <c r="B553" s="3">
        <v>13382774</v>
      </c>
      <c r="C553" s="2" t="s">
        <v>198</v>
      </c>
      <c r="D553" s="3">
        <v>1</v>
      </c>
      <c r="E553" s="2">
        <v>42</v>
      </c>
      <c r="F553" s="2" t="str">
        <f t="shared" si="20"/>
        <v>KB 0316</v>
      </c>
      <c r="G553" s="2" t="str">
        <f>"BAUDU0OVB2M5XI"</f>
        <v>BAUDU0OVB2M5XI</v>
      </c>
      <c r="I553">
        <v>20</v>
      </c>
      <c r="J553" s="3">
        <v>1</v>
      </c>
      <c r="K553" s="2">
        <v>9</v>
      </c>
      <c r="L553" s="3" t="s">
        <v>2</v>
      </c>
      <c r="M553" s="4">
        <v>41248</v>
      </c>
      <c r="N553" s="3">
        <v>10.63</v>
      </c>
    </row>
    <row r="554" spans="1:14" x14ac:dyDescent="0.25">
      <c r="A554" s="2">
        <v>553</v>
      </c>
      <c r="B554" s="3">
        <v>13382775</v>
      </c>
      <c r="C554" s="2" t="s">
        <v>198</v>
      </c>
      <c r="D554" s="3">
        <v>1</v>
      </c>
      <c r="E554" s="2">
        <v>42</v>
      </c>
      <c r="F554" s="2" t="str">
        <f t="shared" si="20"/>
        <v>KB 0316</v>
      </c>
      <c r="G554" s="2" t="str">
        <f>"BAUDU0OVB2L3JP"</f>
        <v>BAUDU0OVB2L3JP</v>
      </c>
      <c r="I554">
        <v>20</v>
      </c>
      <c r="J554" s="3">
        <v>1</v>
      </c>
      <c r="K554" s="2">
        <v>39</v>
      </c>
      <c r="L554" s="3" t="s">
        <v>2</v>
      </c>
      <c r="M554" s="4">
        <v>41248</v>
      </c>
      <c r="N554" s="3">
        <v>10.63</v>
      </c>
    </row>
    <row r="555" spans="1:14" x14ac:dyDescent="0.25">
      <c r="A555" s="2">
        <v>554</v>
      </c>
      <c r="B555" s="3">
        <v>7606391</v>
      </c>
      <c r="C555" s="2" t="s">
        <v>189</v>
      </c>
      <c r="D555" s="3">
        <v>2</v>
      </c>
      <c r="E555" s="2">
        <v>76</v>
      </c>
      <c r="F555" s="2" t="str">
        <f>"GERENTE"</f>
        <v>GERENTE</v>
      </c>
      <c r="G555" s="2" t="str">
        <f>"14101030112026"</f>
        <v>14101030112026</v>
      </c>
      <c r="I555">
        <v>20</v>
      </c>
      <c r="J555" s="3">
        <v>2</v>
      </c>
      <c r="K555" s="2">
        <v>8</v>
      </c>
      <c r="L555" s="3" t="s">
        <v>2</v>
      </c>
      <c r="M555" s="4">
        <v>41249</v>
      </c>
      <c r="N555" s="3">
        <v>205</v>
      </c>
    </row>
    <row r="556" spans="1:14" x14ac:dyDescent="0.25">
      <c r="A556" s="2">
        <v>555</v>
      </c>
      <c r="B556" s="3">
        <v>7606399</v>
      </c>
      <c r="C556" s="2" t="s">
        <v>275</v>
      </c>
      <c r="D556" s="3">
        <v>2</v>
      </c>
      <c r="E556" s="2">
        <v>76</v>
      </c>
      <c r="F556" s="2" t="str">
        <f t="shared" ref="F556:F565" si="21">"SIN MODELO"</f>
        <v>SIN MODELO</v>
      </c>
      <c r="G556" s="2" t="str">
        <f>"14101030113001"</f>
        <v>14101030113001</v>
      </c>
      <c r="I556">
        <v>20</v>
      </c>
      <c r="J556" s="3">
        <v>1</v>
      </c>
      <c r="K556" s="2">
        <v>39</v>
      </c>
      <c r="L556" s="3" t="s">
        <v>2</v>
      </c>
      <c r="M556" s="4">
        <v>41249</v>
      </c>
      <c r="N556" s="3">
        <v>229</v>
      </c>
    </row>
    <row r="557" spans="1:14" x14ac:dyDescent="0.25">
      <c r="A557" s="2">
        <v>556</v>
      </c>
      <c r="B557" s="3">
        <v>7606400</v>
      </c>
      <c r="C557" s="2" t="s">
        <v>275</v>
      </c>
      <c r="D557" s="3">
        <v>2</v>
      </c>
      <c r="E557" s="2">
        <v>76</v>
      </c>
      <c r="F557" s="2" t="str">
        <f t="shared" si="21"/>
        <v>SIN MODELO</v>
      </c>
      <c r="G557" s="2" t="str">
        <f>"14101030113002"</f>
        <v>14101030113002</v>
      </c>
      <c r="I557">
        <v>20</v>
      </c>
      <c r="J557" s="3">
        <v>1</v>
      </c>
      <c r="K557" s="2">
        <v>39</v>
      </c>
      <c r="L557" s="3" t="s">
        <v>2</v>
      </c>
      <c r="M557" s="4">
        <v>41249</v>
      </c>
      <c r="N557" s="3">
        <v>229</v>
      </c>
    </row>
    <row r="558" spans="1:14" x14ac:dyDescent="0.25">
      <c r="A558" s="2">
        <v>557</v>
      </c>
      <c r="B558" s="3">
        <v>7606401</v>
      </c>
      <c r="C558" s="2" t="s">
        <v>275</v>
      </c>
      <c r="D558" s="3">
        <v>2</v>
      </c>
      <c r="E558" s="2">
        <v>76</v>
      </c>
      <c r="F558" s="2" t="str">
        <f t="shared" si="21"/>
        <v>SIN MODELO</v>
      </c>
      <c r="G558" s="2" t="str">
        <f>"14101030113003"</f>
        <v>14101030113003</v>
      </c>
      <c r="I558">
        <v>20</v>
      </c>
      <c r="J558" s="3">
        <v>1</v>
      </c>
      <c r="K558" s="2">
        <v>39</v>
      </c>
      <c r="L558" s="3" t="s">
        <v>2</v>
      </c>
      <c r="M558" s="4">
        <v>41249</v>
      </c>
      <c r="N558" s="3">
        <v>229</v>
      </c>
    </row>
    <row r="559" spans="1:14" x14ac:dyDescent="0.25">
      <c r="A559" s="2">
        <v>558</v>
      </c>
      <c r="B559" s="3">
        <v>7606316</v>
      </c>
      <c r="C559" s="2" t="s">
        <v>276</v>
      </c>
      <c r="D559" s="3">
        <v>2</v>
      </c>
      <c r="E559" s="2">
        <v>76</v>
      </c>
      <c r="F559" s="2" t="str">
        <f t="shared" si="21"/>
        <v>SIN MODELO</v>
      </c>
      <c r="G559" s="2" t="str">
        <f>"14101030102001"</f>
        <v>14101030102001</v>
      </c>
      <c r="I559">
        <v>10</v>
      </c>
      <c r="J559" s="3">
        <v>1</v>
      </c>
      <c r="K559" s="2">
        <v>15</v>
      </c>
      <c r="L559" s="3" t="s">
        <v>2</v>
      </c>
      <c r="M559" s="4">
        <v>41249</v>
      </c>
      <c r="N559" s="3">
        <v>330</v>
      </c>
    </row>
    <row r="560" spans="1:14" x14ac:dyDescent="0.25">
      <c r="A560" s="2">
        <v>559</v>
      </c>
      <c r="B560" s="3">
        <v>7606317</v>
      </c>
      <c r="C560" s="2" t="s">
        <v>276</v>
      </c>
      <c r="D560" s="3">
        <v>2</v>
      </c>
      <c r="E560" s="2">
        <v>76</v>
      </c>
      <c r="F560" s="2" t="str">
        <f t="shared" si="21"/>
        <v>SIN MODELO</v>
      </c>
      <c r="G560" s="2" t="str">
        <f>"14101030102002"</f>
        <v>14101030102002</v>
      </c>
      <c r="I560">
        <v>10</v>
      </c>
      <c r="J560" s="3">
        <v>1</v>
      </c>
      <c r="K560" s="2">
        <v>37</v>
      </c>
      <c r="L560" s="3" t="s">
        <v>2</v>
      </c>
      <c r="M560" s="4">
        <v>41249</v>
      </c>
      <c r="N560" s="3">
        <v>330</v>
      </c>
    </row>
    <row r="561" spans="1:14" x14ac:dyDescent="0.25">
      <c r="A561" s="2">
        <v>560</v>
      </c>
      <c r="B561" s="3">
        <v>7606318</v>
      </c>
      <c r="C561" s="2" t="s">
        <v>276</v>
      </c>
      <c r="D561" s="3">
        <v>2</v>
      </c>
      <c r="E561" s="2">
        <v>76</v>
      </c>
      <c r="F561" s="2" t="str">
        <f t="shared" si="21"/>
        <v>SIN MODELO</v>
      </c>
      <c r="G561" s="2" t="str">
        <f>"14101030102003"</f>
        <v>14101030102003</v>
      </c>
      <c r="I561">
        <v>10</v>
      </c>
      <c r="J561" s="3">
        <v>2</v>
      </c>
      <c r="K561" s="2">
        <v>8</v>
      </c>
      <c r="L561" s="3" t="s">
        <v>2</v>
      </c>
      <c r="M561" s="4">
        <v>41249</v>
      </c>
      <c r="N561" s="3">
        <v>330</v>
      </c>
    </row>
    <row r="562" spans="1:14" x14ac:dyDescent="0.25">
      <c r="A562" s="2">
        <v>561</v>
      </c>
      <c r="B562" s="3">
        <v>7606335</v>
      </c>
      <c r="C562" s="2" t="s">
        <v>185</v>
      </c>
      <c r="D562" s="3">
        <v>2</v>
      </c>
      <c r="E562" s="2">
        <v>76</v>
      </c>
      <c r="F562" s="2" t="str">
        <f t="shared" si="21"/>
        <v>SIN MODELO</v>
      </c>
      <c r="G562" s="2" t="str">
        <f>"14101030105017"</f>
        <v>14101030105017</v>
      </c>
      <c r="I562">
        <v>10</v>
      </c>
      <c r="J562" s="3">
        <v>1</v>
      </c>
      <c r="K562" s="2">
        <v>26</v>
      </c>
      <c r="L562" s="3" t="s">
        <v>2</v>
      </c>
      <c r="M562" s="4">
        <v>41249</v>
      </c>
      <c r="N562" s="3">
        <v>299</v>
      </c>
    </row>
    <row r="563" spans="1:14" x14ac:dyDescent="0.25">
      <c r="A563" s="2">
        <v>562</v>
      </c>
      <c r="B563" s="3">
        <v>7606336</v>
      </c>
      <c r="C563" s="2" t="s">
        <v>185</v>
      </c>
      <c r="D563" s="3">
        <v>2</v>
      </c>
      <c r="E563" s="2">
        <v>76</v>
      </c>
      <c r="F563" s="2" t="str">
        <f t="shared" si="21"/>
        <v>SIN MODELO</v>
      </c>
      <c r="G563" s="2" t="str">
        <f>"14101030105018"</f>
        <v>14101030105018</v>
      </c>
      <c r="I563">
        <v>10</v>
      </c>
      <c r="J563" s="3">
        <v>1</v>
      </c>
      <c r="K563" s="2">
        <v>39</v>
      </c>
      <c r="L563" s="3" t="s">
        <v>2</v>
      </c>
      <c r="M563" s="4">
        <v>41249</v>
      </c>
      <c r="N563" s="3">
        <v>299</v>
      </c>
    </row>
    <row r="564" spans="1:14" x14ac:dyDescent="0.25">
      <c r="A564" s="2">
        <v>563</v>
      </c>
      <c r="B564" s="3">
        <v>7606337</v>
      </c>
      <c r="C564" s="2" t="s">
        <v>185</v>
      </c>
      <c r="D564" s="3">
        <v>2</v>
      </c>
      <c r="E564" s="2">
        <v>76</v>
      </c>
      <c r="F564" s="2" t="str">
        <f t="shared" si="21"/>
        <v>SIN MODELO</v>
      </c>
      <c r="G564" s="2" t="str">
        <f>"14101030105019"</f>
        <v>14101030105019</v>
      </c>
      <c r="I564">
        <v>10</v>
      </c>
      <c r="J564" s="3">
        <v>1</v>
      </c>
      <c r="K564" s="2">
        <v>15</v>
      </c>
      <c r="L564" s="3" t="s">
        <v>2</v>
      </c>
      <c r="M564" s="4">
        <v>41249</v>
      </c>
      <c r="N564" s="3">
        <v>299</v>
      </c>
    </row>
    <row r="565" spans="1:14" x14ac:dyDescent="0.25">
      <c r="A565" s="2">
        <v>564</v>
      </c>
      <c r="B565" s="3">
        <v>7606338</v>
      </c>
      <c r="C565" s="2" t="s">
        <v>185</v>
      </c>
      <c r="D565" s="3">
        <v>2</v>
      </c>
      <c r="E565" s="2">
        <v>76</v>
      </c>
      <c r="F565" s="2" t="str">
        <f t="shared" si="21"/>
        <v>SIN MODELO</v>
      </c>
      <c r="G565" s="2" t="str">
        <f>"14101030105020"</f>
        <v>14101030105020</v>
      </c>
      <c r="I565">
        <v>10</v>
      </c>
      <c r="J565" s="3">
        <v>1</v>
      </c>
      <c r="K565" s="2">
        <v>39</v>
      </c>
      <c r="L565" s="3" t="s">
        <v>2</v>
      </c>
      <c r="M565" s="4">
        <v>41249</v>
      </c>
      <c r="N565" s="3">
        <v>299</v>
      </c>
    </row>
    <row r="566" spans="1:14" x14ac:dyDescent="0.25">
      <c r="A566" s="2">
        <v>565</v>
      </c>
      <c r="B566" s="3">
        <v>7606349</v>
      </c>
      <c r="C566" s="2" t="s">
        <v>277</v>
      </c>
      <c r="D566" s="3">
        <v>2</v>
      </c>
      <c r="E566" s="2">
        <v>76</v>
      </c>
      <c r="F566" s="2" t="str">
        <f>"COMEDOR"</f>
        <v>COMEDOR</v>
      </c>
      <c r="G566" s="2" t="str">
        <f>"14101030109004"</f>
        <v>14101030109004</v>
      </c>
      <c r="I566">
        <v>10</v>
      </c>
      <c r="J566" s="3">
        <v>2</v>
      </c>
      <c r="K566" s="2">
        <v>23</v>
      </c>
      <c r="L566" s="3" t="s">
        <v>2</v>
      </c>
      <c r="M566" s="4">
        <v>41249</v>
      </c>
      <c r="N566" s="3">
        <v>242</v>
      </c>
    </row>
    <row r="567" spans="1:14" x14ac:dyDescent="0.25">
      <c r="A567" s="2">
        <v>566</v>
      </c>
      <c r="B567" s="3">
        <v>7606363</v>
      </c>
      <c r="C567" s="2" t="s">
        <v>183</v>
      </c>
      <c r="D567" s="3">
        <v>2</v>
      </c>
      <c r="E567" s="2">
        <v>76</v>
      </c>
      <c r="F567" s="2" t="str">
        <f t="shared" ref="F567:F575" si="22">"SECRETARIA"</f>
        <v>SECRETARIA</v>
      </c>
      <c r="G567" s="2" t="str">
        <f>"14101030111002"</f>
        <v>14101030111002</v>
      </c>
      <c r="I567">
        <v>20</v>
      </c>
      <c r="J567" s="3">
        <v>1</v>
      </c>
      <c r="K567" s="2">
        <v>26</v>
      </c>
      <c r="L567" s="3" t="s">
        <v>2</v>
      </c>
      <c r="M567" s="4">
        <v>41249</v>
      </c>
      <c r="N567" s="3">
        <v>110</v>
      </c>
    </row>
    <row r="568" spans="1:14" x14ac:dyDescent="0.25">
      <c r="A568" s="2">
        <v>567</v>
      </c>
      <c r="B568" s="3">
        <v>7606364</v>
      </c>
      <c r="C568" s="2" t="s">
        <v>183</v>
      </c>
      <c r="D568" s="3">
        <v>2</v>
      </c>
      <c r="E568" s="2">
        <v>76</v>
      </c>
      <c r="F568" s="2" t="str">
        <f t="shared" si="22"/>
        <v>SECRETARIA</v>
      </c>
      <c r="G568" s="2" t="str">
        <f>"14101030111003"</f>
        <v>14101030111003</v>
      </c>
      <c r="I568">
        <v>20</v>
      </c>
      <c r="J568" s="3">
        <v>1</v>
      </c>
      <c r="K568" s="2">
        <v>15</v>
      </c>
      <c r="L568" s="3" t="s">
        <v>2</v>
      </c>
      <c r="M568" s="4">
        <v>41249</v>
      </c>
      <c r="N568" s="3">
        <v>110</v>
      </c>
    </row>
    <row r="569" spans="1:14" x14ac:dyDescent="0.25">
      <c r="A569" s="2">
        <v>568</v>
      </c>
      <c r="B569" s="3">
        <v>7606365</v>
      </c>
      <c r="C569" s="2" t="s">
        <v>183</v>
      </c>
      <c r="D569" s="3">
        <v>2</v>
      </c>
      <c r="E569" s="2">
        <v>76</v>
      </c>
      <c r="F569" s="2" t="str">
        <f t="shared" si="22"/>
        <v>SECRETARIA</v>
      </c>
      <c r="G569" s="2" t="str">
        <f>"14101030111004"</f>
        <v>14101030111004</v>
      </c>
      <c r="I569">
        <v>20</v>
      </c>
      <c r="J569" s="3">
        <v>1</v>
      </c>
      <c r="K569" s="2">
        <v>9</v>
      </c>
      <c r="L569" s="3" t="s">
        <v>2</v>
      </c>
      <c r="M569" s="4">
        <v>41249</v>
      </c>
      <c r="N569" s="3">
        <v>110</v>
      </c>
    </row>
    <row r="570" spans="1:14" x14ac:dyDescent="0.25">
      <c r="A570" s="2">
        <v>569</v>
      </c>
      <c r="B570" s="3">
        <v>7606366</v>
      </c>
      <c r="C570" s="2" t="s">
        <v>183</v>
      </c>
      <c r="D570" s="3">
        <v>2</v>
      </c>
      <c r="E570" s="2">
        <v>76</v>
      </c>
      <c r="F570" s="2" t="str">
        <f t="shared" si="22"/>
        <v>SECRETARIA</v>
      </c>
      <c r="G570" s="2" t="str">
        <f>"14101030111005"</f>
        <v>14101030111005</v>
      </c>
      <c r="I570">
        <v>20</v>
      </c>
      <c r="J570" s="3">
        <v>1</v>
      </c>
      <c r="K570" s="2">
        <v>25</v>
      </c>
      <c r="L570" s="3" t="s">
        <v>2</v>
      </c>
      <c r="M570" s="4">
        <v>41249</v>
      </c>
      <c r="N570" s="3">
        <v>110</v>
      </c>
    </row>
    <row r="571" spans="1:14" x14ac:dyDescent="0.25">
      <c r="A571" s="2">
        <v>570</v>
      </c>
      <c r="B571" s="3">
        <v>7606367</v>
      </c>
      <c r="C571" s="2" t="s">
        <v>183</v>
      </c>
      <c r="D571" s="3">
        <v>2</v>
      </c>
      <c r="E571" s="2">
        <v>76</v>
      </c>
      <c r="F571" s="2" t="str">
        <f t="shared" si="22"/>
        <v>SECRETARIA</v>
      </c>
      <c r="G571" s="2" t="str">
        <f>"14101030111006"</f>
        <v>14101030111006</v>
      </c>
      <c r="I571">
        <v>20</v>
      </c>
      <c r="J571" s="3">
        <v>1</v>
      </c>
      <c r="K571" s="2">
        <v>18</v>
      </c>
      <c r="L571" s="3" t="s">
        <v>2</v>
      </c>
      <c r="M571" s="4">
        <v>41249</v>
      </c>
      <c r="N571" s="3">
        <v>110</v>
      </c>
    </row>
    <row r="572" spans="1:14" x14ac:dyDescent="0.25">
      <c r="A572" s="2">
        <v>571</v>
      </c>
      <c r="B572" s="3">
        <v>7606368</v>
      </c>
      <c r="C572" s="2" t="s">
        <v>183</v>
      </c>
      <c r="D572" s="3">
        <v>2</v>
      </c>
      <c r="E572" s="2">
        <v>76</v>
      </c>
      <c r="F572" s="2" t="str">
        <f t="shared" si="22"/>
        <v>SECRETARIA</v>
      </c>
      <c r="G572" s="2" t="str">
        <f>"14101030111007"</f>
        <v>14101030111007</v>
      </c>
      <c r="I572">
        <v>20</v>
      </c>
      <c r="J572" s="3">
        <v>1</v>
      </c>
      <c r="K572" s="2">
        <v>4</v>
      </c>
      <c r="L572" s="3" t="s">
        <v>2</v>
      </c>
      <c r="M572" s="4">
        <v>41249</v>
      </c>
      <c r="N572" s="3">
        <v>110</v>
      </c>
    </row>
    <row r="573" spans="1:14" x14ac:dyDescent="0.25">
      <c r="A573" s="2">
        <v>572</v>
      </c>
      <c r="B573" s="3">
        <v>7606369</v>
      </c>
      <c r="C573" s="2" t="s">
        <v>183</v>
      </c>
      <c r="D573" s="3">
        <v>2</v>
      </c>
      <c r="E573" s="2">
        <v>76</v>
      </c>
      <c r="F573" s="2" t="str">
        <f t="shared" si="22"/>
        <v>SECRETARIA</v>
      </c>
      <c r="G573" s="2" t="str">
        <f>"14101030111008"</f>
        <v>14101030111008</v>
      </c>
      <c r="I573">
        <v>20</v>
      </c>
      <c r="J573" s="3">
        <v>1</v>
      </c>
      <c r="K573" s="2">
        <v>15</v>
      </c>
      <c r="L573" s="3" t="s">
        <v>2</v>
      </c>
      <c r="M573" s="4">
        <v>41249</v>
      </c>
      <c r="N573" s="3">
        <v>110</v>
      </c>
    </row>
    <row r="574" spans="1:14" x14ac:dyDescent="0.25">
      <c r="A574" s="2">
        <v>573</v>
      </c>
      <c r="B574" s="3">
        <v>7606370</v>
      </c>
      <c r="C574" s="2" t="s">
        <v>183</v>
      </c>
      <c r="D574" s="3">
        <v>2</v>
      </c>
      <c r="E574" s="2">
        <v>76</v>
      </c>
      <c r="F574" s="2" t="str">
        <f t="shared" si="22"/>
        <v>SECRETARIA</v>
      </c>
      <c r="G574" s="2" t="str">
        <f>"14101030111009"</f>
        <v>14101030111009</v>
      </c>
      <c r="I574">
        <v>20</v>
      </c>
      <c r="J574" s="3">
        <v>1</v>
      </c>
      <c r="K574" s="2">
        <v>30</v>
      </c>
      <c r="L574" s="3" t="s">
        <v>2</v>
      </c>
      <c r="M574" s="4">
        <v>41249</v>
      </c>
      <c r="N574" s="3">
        <v>110</v>
      </c>
    </row>
    <row r="575" spans="1:14" x14ac:dyDescent="0.25">
      <c r="A575" s="2">
        <v>574</v>
      </c>
      <c r="B575" s="3">
        <v>7606371</v>
      </c>
      <c r="C575" s="2" t="s">
        <v>183</v>
      </c>
      <c r="D575" s="3">
        <v>2</v>
      </c>
      <c r="E575" s="2">
        <v>76</v>
      </c>
      <c r="F575" s="2" t="str">
        <f t="shared" si="22"/>
        <v>SECRETARIA</v>
      </c>
      <c r="G575" s="2" t="str">
        <f>"14101030111010"</f>
        <v>14101030111010</v>
      </c>
      <c r="I575">
        <v>20</v>
      </c>
      <c r="J575" s="3">
        <v>1</v>
      </c>
      <c r="K575" s="2">
        <v>37</v>
      </c>
      <c r="L575" s="3" t="s">
        <v>2</v>
      </c>
      <c r="M575" s="4">
        <v>41249</v>
      </c>
      <c r="N575" s="3">
        <v>110</v>
      </c>
    </row>
    <row r="576" spans="1:14" x14ac:dyDescent="0.25">
      <c r="A576" s="2">
        <v>575</v>
      </c>
      <c r="B576" s="3">
        <v>7606372</v>
      </c>
      <c r="C576" s="2" t="s">
        <v>177</v>
      </c>
      <c r="D576" s="3">
        <v>2</v>
      </c>
      <c r="E576" s="2">
        <v>76</v>
      </c>
      <c r="F576" s="2" t="str">
        <f>"SIN MODELO"</f>
        <v>SIN MODELO</v>
      </c>
      <c r="G576" s="2" t="str">
        <f>"14101030111011"</f>
        <v>14101030111011</v>
      </c>
      <c r="I576">
        <v>20</v>
      </c>
      <c r="J576" s="3">
        <v>1</v>
      </c>
      <c r="K576" s="2">
        <v>8</v>
      </c>
      <c r="L576" s="3" t="s">
        <v>2</v>
      </c>
      <c r="M576" s="4">
        <v>41249</v>
      </c>
      <c r="N576" s="3">
        <v>105</v>
      </c>
    </row>
    <row r="577" spans="1:14" x14ac:dyDescent="0.25">
      <c r="A577" s="2">
        <v>576</v>
      </c>
      <c r="B577" s="3">
        <v>7606373</v>
      </c>
      <c r="C577" s="2" t="s">
        <v>177</v>
      </c>
      <c r="D577" s="3">
        <v>2</v>
      </c>
      <c r="E577" s="2">
        <v>76</v>
      </c>
      <c r="F577" s="2" t="str">
        <f>"SIN MODELO"</f>
        <v>SIN MODELO</v>
      </c>
      <c r="G577" s="2" t="str">
        <f>"14101030111012"</f>
        <v>14101030111012</v>
      </c>
      <c r="I577">
        <v>20</v>
      </c>
      <c r="J577" s="3">
        <v>1</v>
      </c>
      <c r="K577" s="2">
        <v>8</v>
      </c>
      <c r="L577" s="3" t="s">
        <v>2</v>
      </c>
      <c r="M577" s="4">
        <v>41249</v>
      </c>
      <c r="N577" s="3">
        <v>105</v>
      </c>
    </row>
    <row r="578" spans="1:14" x14ac:dyDescent="0.25">
      <c r="A578" s="2">
        <v>577</v>
      </c>
      <c r="B578" s="3">
        <v>13184450</v>
      </c>
      <c r="C578" s="2" t="s">
        <v>177</v>
      </c>
      <c r="D578" s="3">
        <v>2</v>
      </c>
      <c r="E578" s="2">
        <v>76</v>
      </c>
      <c r="F578" s="2" t="str">
        <f t="shared" ref="F578:F589" si="23">"APILABLE"</f>
        <v>APILABLE</v>
      </c>
      <c r="G578" s="2" t="str">
        <f>"63445030113209"</f>
        <v>63445030113209</v>
      </c>
      <c r="I578">
        <v>20</v>
      </c>
      <c r="J578" s="3">
        <v>1</v>
      </c>
      <c r="K578" s="2">
        <v>8</v>
      </c>
      <c r="L578" s="3" t="s">
        <v>2</v>
      </c>
      <c r="M578" s="4">
        <v>41249</v>
      </c>
      <c r="N578" s="3">
        <v>45</v>
      </c>
    </row>
    <row r="579" spans="1:14" x14ac:dyDescent="0.25">
      <c r="A579" s="2">
        <v>578</v>
      </c>
      <c r="B579" s="3">
        <v>13184451</v>
      </c>
      <c r="C579" s="2" t="s">
        <v>177</v>
      </c>
      <c r="D579" s="3">
        <v>2</v>
      </c>
      <c r="E579" s="2">
        <v>76</v>
      </c>
      <c r="F579" s="2" t="str">
        <f t="shared" si="23"/>
        <v>APILABLE</v>
      </c>
      <c r="G579" s="2" t="str">
        <f>"63445030113210"</f>
        <v>63445030113210</v>
      </c>
      <c r="I579">
        <v>20</v>
      </c>
      <c r="J579" s="3">
        <v>1</v>
      </c>
      <c r="K579" s="2">
        <v>39</v>
      </c>
      <c r="L579" s="3" t="s">
        <v>2</v>
      </c>
      <c r="M579" s="4">
        <v>41249</v>
      </c>
      <c r="N579" s="3">
        <v>45</v>
      </c>
    </row>
    <row r="580" spans="1:14" x14ac:dyDescent="0.25">
      <c r="A580" s="2">
        <v>579</v>
      </c>
      <c r="B580" s="3">
        <v>13184452</v>
      </c>
      <c r="C580" s="2" t="s">
        <v>177</v>
      </c>
      <c r="D580" s="3">
        <v>2</v>
      </c>
      <c r="E580" s="2">
        <v>76</v>
      </c>
      <c r="F580" s="2" t="str">
        <f t="shared" si="23"/>
        <v>APILABLE</v>
      </c>
      <c r="G580" s="2" t="str">
        <f>"63445030113211"</f>
        <v>63445030113211</v>
      </c>
      <c r="I580">
        <v>20</v>
      </c>
      <c r="J580" s="3">
        <v>1</v>
      </c>
      <c r="K580" s="2">
        <v>9</v>
      </c>
      <c r="L580" s="3" t="s">
        <v>2</v>
      </c>
      <c r="M580" s="4">
        <v>41249</v>
      </c>
      <c r="N580" s="3">
        <v>45</v>
      </c>
    </row>
    <row r="581" spans="1:14" x14ac:dyDescent="0.25">
      <c r="A581" s="2">
        <v>580</v>
      </c>
      <c r="B581" s="3">
        <v>13184453</v>
      </c>
      <c r="C581" s="2" t="s">
        <v>177</v>
      </c>
      <c r="D581" s="3">
        <v>2</v>
      </c>
      <c r="E581" s="2">
        <v>76</v>
      </c>
      <c r="F581" s="2" t="str">
        <f t="shared" si="23"/>
        <v>APILABLE</v>
      </c>
      <c r="G581" s="2" t="str">
        <f>"63445030113212"</f>
        <v>63445030113212</v>
      </c>
      <c r="I581">
        <v>20</v>
      </c>
      <c r="J581" s="3">
        <v>1</v>
      </c>
      <c r="K581" s="2">
        <v>9</v>
      </c>
      <c r="L581" s="3" t="s">
        <v>2</v>
      </c>
      <c r="M581" s="4">
        <v>41249</v>
      </c>
      <c r="N581" s="3">
        <v>45</v>
      </c>
    </row>
    <row r="582" spans="1:14" x14ac:dyDescent="0.25">
      <c r="A582" s="2">
        <v>581</v>
      </c>
      <c r="B582" s="3">
        <v>13184454</v>
      </c>
      <c r="C582" s="2" t="s">
        <v>177</v>
      </c>
      <c r="D582" s="3">
        <v>2</v>
      </c>
      <c r="E582" s="2">
        <v>76</v>
      </c>
      <c r="F582" s="2" t="str">
        <f t="shared" si="23"/>
        <v>APILABLE</v>
      </c>
      <c r="G582" s="2" t="str">
        <f>"63445030113213"</f>
        <v>63445030113213</v>
      </c>
      <c r="I582">
        <v>20</v>
      </c>
      <c r="J582" s="3">
        <v>1</v>
      </c>
      <c r="K582" s="2">
        <v>9</v>
      </c>
      <c r="L582" s="3" t="s">
        <v>2</v>
      </c>
      <c r="M582" s="4">
        <v>41249</v>
      </c>
      <c r="N582" s="3">
        <v>45</v>
      </c>
    </row>
    <row r="583" spans="1:14" x14ac:dyDescent="0.25">
      <c r="A583" s="2">
        <v>582</v>
      </c>
      <c r="B583" s="3">
        <v>13184455</v>
      </c>
      <c r="C583" s="2" t="s">
        <v>177</v>
      </c>
      <c r="D583" s="3">
        <v>2</v>
      </c>
      <c r="E583" s="2">
        <v>76</v>
      </c>
      <c r="F583" s="2" t="str">
        <f t="shared" si="23"/>
        <v>APILABLE</v>
      </c>
      <c r="G583" s="2" t="str">
        <f>"63445030113214"</f>
        <v>63445030113214</v>
      </c>
      <c r="I583">
        <v>20</v>
      </c>
      <c r="J583" s="3">
        <v>1</v>
      </c>
      <c r="K583" s="2">
        <v>9</v>
      </c>
      <c r="L583" s="3" t="s">
        <v>2</v>
      </c>
      <c r="M583" s="4">
        <v>41249</v>
      </c>
      <c r="N583" s="3">
        <v>45</v>
      </c>
    </row>
    <row r="584" spans="1:14" x14ac:dyDescent="0.25">
      <c r="A584" s="2">
        <v>583</v>
      </c>
      <c r="B584" s="3">
        <v>13184456</v>
      </c>
      <c r="C584" s="2" t="s">
        <v>177</v>
      </c>
      <c r="D584" s="3">
        <v>2</v>
      </c>
      <c r="E584" s="2">
        <v>76</v>
      </c>
      <c r="F584" s="2" t="str">
        <f t="shared" si="23"/>
        <v>APILABLE</v>
      </c>
      <c r="G584" s="2" t="str">
        <f>"63445030113215"</f>
        <v>63445030113215</v>
      </c>
      <c r="I584">
        <v>20</v>
      </c>
      <c r="J584" s="3">
        <v>1</v>
      </c>
      <c r="K584" s="2">
        <v>9</v>
      </c>
      <c r="L584" s="3" t="s">
        <v>2</v>
      </c>
      <c r="M584" s="4">
        <v>41249</v>
      </c>
      <c r="N584" s="3">
        <v>45</v>
      </c>
    </row>
    <row r="585" spans="1:14" x14ac:dyDescent="0.25">
      <c r="A585" s="2">
        <v>584</v>
      </c>
      <c r="B585" s="3">
        <v>13184457</v>
      </c>
      <c r="C585" s="2" t="s">
        <v>177</v>
      </c>
      <c r="D585" s="3">
        <v>2</v>
      </c>
      <c r="E585" s="2">
        <v>76</v>
      </c>
      <c r="F585" s="2" t="str">
        <f t="shared" si="23"/>
        <v>APILABLE</v>
      </c>
      <c r="G585" s="2" t="str">
        <f>"63445030113216"</f>
        <v>63445030113216</v>
      </c>
      <c r="I585">
        <v>20</v>
      </c>
      <c r="J585" s="3">
        <v>1</v>
      </c>
      <c r="K585" s="2">
        <v>9</v>
      </c>
      <c r="L585" s="3" t="s">
        <v>2</v>
      </c>
      <c r="M585" s="4">
        <v>41249</v>
      </c>
      <c r="N585" s="3">
        <v>45</v>
      </c>
    </row>
    <row r="586" spans="1:14" x14ac:dyDescent="0.25">
      <c r="A586" s="2">
        <v>585</v>
      </c>
      <c r="B586" s="3">
        <v>13184458</v>
      </c>
      <c r="C586" s="2" t="s">
        <v>177</v>
      </c>
      <c r="D586" s="3">
        <v>2</v>
      </c>
      <c r="E586" s="2">
        <v>76</v>
      </c>
      <c r="F586" s="2" t="str">
        <f t="shared" si="23"/>
        <v>APILABLE</v>
      </c>
      <c r="G586" s="2" t="str">
        <f>"63445030113217"</f>
        <v>63445030113217</v>
      </c>
      <c r="I586">
        <v>20</v>
      </c>
      <c r="J586" s="3">
        <v>1</v>
      </c>
      <c r="K586" s="2">
        <v>39</v>
      </c>
      <c r="L586" s="3" t="s">
        <v>2</v>
      </c>
      <c r="M586" s="4">
        <v>41249</v>
      </c>
      <c r="N586" s="3">
        <v>45</v>
      </c>
    </row>
    <row r="587" spans="1:14" x14ac:dyDescent="0.25">
      <c r="A587" s="2">
        <v>586</v>
      </c>
      <c r="B587" s="3">
        <v>13184459</v>
      </c>
      <c r="C587" s="2" t="s">
        <v>177</v>
      </c>
      <c r="D587" s="3">
        <v>2</v>
      </c>
      <c r="E587" s="2">
        <v>76</v>
      </c>
      <c r="F587" s="2" t="str">
        <f t="shared" si="23"/>
        <v>APILABLE</v>
      </c>
      <c r="G587" s="2" t="str">
        <f>"63445030113218"</f>
        <v>63445030113218</v>
      </c>
      <c r="I587">
        <v>20</v>
      </c>
      <c r="J587" s="3">
        <v>1</v>
      </c>
      <c r="K587" s="2">
        <v>9</v>
      </c>
      <c r="L587" s="3" t="s">
        <v>2</v>
      </c>
      <c r="M587" s="4">
        <v>41249</v>
      </c>
      <c r="N587" s="3">
        <v>45</v>
      </c>
    </row>
    <row r="588" spans="1:14" x14ac:dyDescent="0.25">
      <c r="A588" s="2">
        <v>587</v>
      </c>
      <c r="B588" s="3">
        <v>13184460</v>
      </c>
      <c r="C588" s="2" t="s">
        <v>177</v>
      </c>
      <c r="D588" s="3">
        <v>2</v>
      </c>
      <c r="E588" s="2">
        <v>76</v>
      </c>
      <c r="F588" s="2" t="str">
        <f t="shared" si="23"/>
        <v>APILABLE</v>
      </c>
      <c r="G588" s="2" t="str">
        <f>"63445030113219"</f>
        <v>63445030113219</v>
      </c>
      <c r="I588">
        <v>20</v>
      </c>
      <c r="J588" s="3">
        <v>1</v>
      </c>
      <c r="K588" s="2">
        <v>9</v>
      </c>
      <c r="L588" s="3" t="s">
        <v>2</v>
      </c>
      <c r="M588" s="4">
        <v>41249</v>
      </c>
      <c r="N588" s="3">
        <v>45</v>
      </c>
    </row>
    <row r="589" spans="1:14" x14ac:dyDescent="0.25">
      <c r="A589" s="2">
        <v>588</v>
      </c>
      <c r="B589" s="3">
        <v>13184461</v>
      </c>
      <c r="C589" s="2" t="s">
        <v>177</v>
      </c>
      <c r="D589" s="3">
        <v>2</v>
      </c>
      <c r="E589" s="2">
        <v>76</v>
      </c>
      <c r="F589" s="2" t="str">
        <f t="shared" si="23"/>
        <v>APILABLE</v>
      </c>
      <c r="G589" s="2" t="str">
        <f>"63445030113220"</f>
        <v>63445030113220</v>
      </c>
      <c r="I589">
        <v>20</v>
      </c>
      <c r="J589" s="3">
        <v>1</v>
      </c>
      <c r="K589" s="2">
        <v>9</v>
      </c>
      <c r="L589" s="3" t="s">
        <v>2</v>
      </c>
      <c r="M589" s="4">
        <v>41249</v>
      </c>
      <c r="N589" s="3">
        <v>45</v>
      </c>
    </row>
    <row r="590" spans="1:14" x14ac:dyDescent="0.25">
      <c r="A590" s="2">
        <v>589</v>
      </c>
      <c r="B590" s="3">
        <v>6794482</v>
      </c>
      <c r="C590" s="2" t="s">
        <v>216</v>
      </c>
      <c r="D590" s="3">
        <v>1</v>
      </c>
      <c r="E590" s="2">
        <v>42</v>
      </c>
      <c r="F590" s="2" t="str">
        <f>"668665"</f>
        <v>668665</v>
      </c>
      <c r="G590" s="2" t="str">
        <f>"MXQ2350824"</f>
        <v>MXQ2350824</v>
      </c>
      <c r="I590">
        <v>23</v>
      </c>
      <c r="J590" s="3">
        <v>1</v>
      </c>
      <c r="K590" s="2">
        <v>4</v>
      </c>
      <c r="L590" s="3" t="s">
        <v>2</v>
      </c>
      <c r="M590" s="4">
        <v>41253</v>
      </c>
      <c r="N590" s="5">
        <v>5080</v>
      </c>
    </row>
    <row r="591" spans="1:14" x14ac:dyDescent="0.25">
      <c r="A591" s="2">
        <v>590</v>
      </c>
      <c r="B591" s="3">
        <v>6794431</v>
      </c>
      <c r="C591" s="2" t="s">
        <v>196</v>
      </c>
      <c r="D591" s="3">
        <v>1</v>
      </c>
      <c r="E591" s="2">
        <v>42</v>
      </c>
      <c r="F591" s="2" t="str">
        <f>"PROBOOK 6470B"</f>
        <v>PROBOOK 6470B</v>
      </c>
      <c r="G591" s="2" t="str">
        <f>"CNU246911T"</f>
        <v>CNU246911T</v>
      </c>
      <c r="I591">
        <v>13</v>
      </c>
      <c r="J591" s="3">
        <v>1</v>
      </c>
      <c r="K591" s="2">
        <v>39</v>
      </c>
      <c r="L591" s="3" t="s">
        <v>2</v>
      </c>
      <c r="M591" s="4">
        <v>41254</v>
      </c>
      <c r="N591" s="3">
        <v>987.04</v>
      </c>
    </row>
    <row r="592" spans="1:14" x14ac:dyDescent="0.25">
      <c r="A592" s="2">
        <v>591</v>
      </c>
      <c r="B592" s="3">
        <v>6794432</v>
      </c>
      <c r="C592" s="2" t="s">
        <v>196</v>
      </c>
      <c r="D592" s="3">
        <v>1</v>
      </c>
      <c r="E592" s="2">
        <v>42</v>
      </c>
      <c r="F592" s="2" t="str">
        <f>"PROBOOK 6470B"</f>
        <v>PROBOOK 6470B</v>
      </c>
      <c r="G592" s="2" t="str">
        <f>"CNU24691PQ"</f>
        <v>CNU24691PQ</v>
      </c>
      <c r="I592">
        <v>13</v>
      </c>
      <c r="J592" s="3">
        <v>2</v>
      </c>
      <c r="K592" s="2">
        <v>39</v>
      </c>
      <c r="L592" s="3" t="s">
        <v>2</v>
      </c>
      <c r="M592" s="4">
        <v>41254</v>
      </c>
      <c r="N592" s="3">
        <v>987.04</v>
      </c>
    </row>
    <row r="593" spans="1:14" x14ac:dyDescent="0.25">
      <c r="A593" s="2">
        <v>592</v>
      </c>
      <c r="B593" s="3">
        <v>6794433</v>
      </c>
      <c r="C593" s="2" t="s">
        <v>196</v>
      </c>
      <c r="D593" s="3">
        <v>1</v>
      </c>
      <c r="E593" s="2">
        <v>42</v>
      </c>
      <c r="F593" s="2" t="str">
        <f>"PROBOOK 6470B"</f>
        <v>PROBOOK 6470B</v>
      </c>
      <c r="G593" s="2" t="str">
        <f>"CNU24692QK"</f>
        <v>CNU24692QK</v>
      </c>
      <c r="I593">
        <v>13</v>
      </c>
      <c r="J593" s="3">
        <v>1</v>
      </c>
      <c r="K593" s="2">
        <v>9</v>
      </c>
      <c r="L593" s="3" t="s">
        <v>2</v>
      </c>
      <c r="M593" s="4">
        <v>41254</v>
      </c>
      <c r="N593" s="3">
        <v>987.04</v>
      </c>
    </row>
    <row r="594" spans="1:14" x14ac:dyDescent="0.25">
      <c r="A594" s="2">
        <v>593</v>
      </c>
      <c r="B594" s="3">
        <v>6794434</v>
      </c>
      <c r="C594" s="2" t="s">
        <v>196</v>
      </c>
      <c r="D594" s="3">
        <v>1</v>
      </c>
      <c r="E594" s="2">
        <v>42</v>
      </c>
      <c r="F594" s="2" t="str">
        <f>"PROBOOK 6470B"</f>
        <v>PROBOOK 6470B</v>
      </c>
      <c r="G594" s="2" t="str">
        <f>"CNU24691P4"</f>
        <v>CNU24691P4</v>
      </c>
      <c r="I594">
        <v>13</v>
      </c>
      <c r="J594" s="3">
        <v>1</v>
      </c>
      <c r="K594" s="2">
        <v>2</v>
      </c>
      <c r="L594" s="3" t="s">
        <v>2</v>
      </c>
      <c r="M594" s="4">
        <v>41254</v>
      </c>
      <c r="N594" s="3">
        <v>987.04</v>
      </c>
    </row>
    <row r="595" spans="1:14" x14ac:dyDescent="0.25">
      <c r="A595" s="2">
        <v>594</v>
      </c>
      <c r="B595" s="3">
        <v>6794504</v>
      </c>
      <c r="C595" s="2" t="s">
        <v>220</v>
      </c>
      <c r="D595" s="3">
        <v>1</v>
      </c>
      <c r="E595" s="2">
        <v>40</v>
      </c>
      <c r="F595" s="2" t="str">
        <f t="shared" ref="F595:F605" si="24">"GXP2100"</f>
        <v>GXP2100</v>
      </c>
      <c r="G595" s="2" t="str">
        <f>"20EYWP8C203BAA8C"</f>
        <v>20EYWP8C203BAA8C</v>
      </c>
      <c r="I595">
        <v>20</v>
      </c>
      <c r="J595" s="3">
        <v>1</v>
      </c>
      <c r="K595" s="2">
        <v>15</v>
      </c>
      <c r="L595" s="3" t="s">
        <v>2</v>
      </c>
      <c r="M595" s="4">
        <v>41254</v>
      </c>
      <c r="N595" s="3">
        <v>148</v>
      </c>
    </row>
    <row r="596" spans="1:14" x14ac:dyDescent="0.25">
      <c r="A596" s="2">
        <v>595</v>
      </c>
      <c r="B596" s="3">
        <v>6794505</v>
      </c>
      <c r="C596" s="2" t="s">
        <v>220</v>
      </c>
      <c r="D596" s="3">
        <v>1</v>
      </c>
      <c r="E596" s="2">
        <v>40</v>
      </c>
      <c r="F596" s="2" t="str">
        <f t="shared" si="24"/>
        <v>GXP2100</v>
      </c>
      <c r="G596" s="2" t="str">
        <f>"20EYWP8C604050AC"</f>
        <v>20EYWP8C604050AC</v>
      </c>
      <c r="I596">
        <v>20</v>
      </c>
      <c r="J596" s="3">
        <v>2</v>
      </c>
      <c r="K596" s="2">
        <v>9</v>
      </c>
      <c r="L596" s="3" t="s">
        <v>2</v>
      </c>
      <c r="M596" s="4">
        <v>41254</v>
      </c>
      <c r="N596" s="3">
        <v>148</v>
      </c>
    </row>
    <row r="597" spans="1:14" x14ac:dyDescent="0.25">
      <c r="A597" s="2">
        <v>596</v>
      </c>
      <c r="B597" s="3">
        <v>6794506</v>
      </c>
      <c r="C597" s="2" t="s">
        <v>220</v>
      </c>
      <c r="D597" s="3">
        <v>1</v>
      </c>
      <c r="E597" s="2">
        <v>40</v>
      </c>
      <c r="F597" s="2" t="str">
        <f t="shared" si="24"/>
        <v>GXP2100</v>
      </c>
      <c r="G597" s="2" t="str">
        <f>"20EYWP8C60405879"</f>
        <v>20EYWP8C60405879</v>
      </c>
      <c r="I597">
        <v>20</v>
      </c>
      <c r="J597" s="3">
        <v>1</v>
      </c>
      <c r="K597" s="2">
        <v>23</v>
      </c>
      <c r="L597" s="3" t="s">
        <v>2</v>
      </c>
      <c r="M597" s="4">
        <v>41254</v>
      </c>
      <c r="N597" s="3">
        <v>148</v>
      </c>
    </row>
    <row r="598" spans="1:14" x14ac:dyDescent="0.25">
      <c r="A598" s="2">
        <v>597</v>
      </c>
      <c r="B598" s="3">
        <v>6794507</v>
      </c>
      <c r="C598" s="2" t="s">
        <v>220</v>
      </c>
      <c r="D598" s="3">
        <v>1</v>
      </c>
      <c r="E598" s="2">
        <v>40</v>
      </c>
      <c r="F598" s="2" t="str">
        <f t="shared" si="24"/>
        <v>GXP2100</v>
      </c>
      <c r="G598" s="2" t="str">
        <f>"20EYWP8C60405878"</f>
        <v>20EYWP8C60405878</v>
      </c>
      <c r="I598">
        <v>20</v>
      </c>
      <c r="J598" s="3">
        <v>1</v>
      </c>
      <c r="K598" s="2">
        <v>25</v>
      </c>
      <c r="L598" s="3" t="s">
        <v>2</v>
      </c>
      <c r="M598" s="4">
        <v>41254</v>
      </c>
      <c r="N598" s="3">
        <v>148</v>
      </c>
    </row>
    <row r="599" spans="1:14" x14ac:dyDescent="0.25">
      <c r="A599" s="2">
        <v>598</v>
      </c>
      <c r="B599" s="3">
        <v>6794508</v>
      </c>
      <c r="C599" s="2" t="s">
        <v>220</v>
      </c>
      <c r="D599" s="3">
        <v>1</v>
      </c>
      <c r="E599" s="2">
        <v>40</v>
      </c>
      <c r="F599" s="2" t="str">
        <f t="shared" si="24"/>
        <v>GXP2100</v>
      </c>
      <c r="G599" s="2" t="str">
        <f>"20EYWP8C604050AA"</f>
        <v>20EYWP8C604050AA</v>
      </c>
      <c r="I599">
        <v>20</v>
      </c>
      <c r="J599" s="3">
        <v>1</v>
      </c>
      <c r="K599" s="2">
        <v>39</v>
      </c>
      <c r="L599" s="3" t="s">
        <v>2</v>
      </c>
      <c r="M599" s="4">
        <v>41254</v>
      </c>
      <c r="N599" s="3">
        <v>148</v>
      </c>
    </row>
    <row r="600" spans="1:14" x14ac:dyDescent="0.25">
      <c r="A600" s="2">
        <v>599</v>
      </c>
      <c r="B600" s="3">
        <v>6794509</v>
      </c>
      <c r="C600" s="2" t="s">
        <v>220</v>
      </c>
      <c r="D600" s="3">
        <v>1</v>
      </c>
      <c r="E600" s="2">
        <v>40</v>
      </c>
      <c r="F600" s="2" t="str">
        <f t="shared" si="24"/>
        <v>GXP2100</v>
      </c>
      <c r="G600" s="2" t="str">
        <f>"20EYWP8C203BAA8B"</f>
        <v>20EYWP8C203BAA8B</v>
      </c>
      <c r="I600">
        <v>20</v>
      </c>
      <c r="J600" s="3">
        <v>1</v>
      </c>
      <c r="K600" s="2">
        <v>3</v>
      </c>
      <c r="L600" s="3" t="s">
        <v>2</v>
      </c>
      <c r="M600" s="4">
        <v>41254</v>
      </c>
      <c r="N600" s="3">
        <v>148</v>
      </c>
    </row>
    <row r="601" spans="1:14" x14ac:dyDescent="0.25">
      <c r="A601" s="2">
        <v>600</v>
      </c>
      <c r="B601" s="3">
        <v>6794510</v>
      </c>
      <c r="C601" s="2" t="s">
        <v>220</v>
      </c>
      <c r="D601" s="3">
        <v>1</v>
      </c>
      <c r="E601" s="2">
        <v>40</v>
      </c>
      <c r="F601" s="2" t="str">
        <f t="shared" si="24"/>
        <v>GXP2100</v>
      </c>
      <c r="G601" s="2" t="str">
        <f>"20EYWP8C604050AB"</f>
        <v>20EYWP8C604050AB</v>
      </c>
      <c r="I601">
        <v>20</v>
      </c>
      <c r="J601" s="3">
        <v>1</v>
      </c>
      <c r="K601" s="2">
        <v>30</v>
      </c>
      <c r="L601" s="3" t="s">
        <v>2</v>
      </c>
      <c r="M601" s="4">
        <v>41254</v>
      </c>
      <c r="N601" s="3">
        <v>148</v>
      </c>
    </row>
    <row r="602" spans="1:14" x14ac:dyDescent="0.25">
      <c r="A602" s="2">
        <v>601</v>
      </c>
      <c r="B602" s="3">
        <v>6794511</v>
      </c>
      <c r="C602" s="2" t="s">
        <v>220</v>
      </c>
      <c r="D602" s="3">
        <v>1</v>
      </c>
      <c r="E602" s="2">
        <v>40</v>
      </c>
      <c r="F602" s="2" t="str">
        <f t="shared" si="24"/>
        <v>GXP2100</v>
      </c>
      <c r="G602" s="2" t="str">
        <f>"20EYWP8C604050AF"</f>
        <v>20EYWP8C604050AF</v>
      </c>
      <c r="I602">
        <v>20</v>
      </c>
      <c r="J602" s="3">
        <v>1</v>
      </c>
      <c r="K602" s="2">
        <v>34</v>
      </c>
      <c r="L602" s="3" t="s">
        <v>2</v>
      </c>
      <c r="M602" s="4">
        <v>41254</v>
      </c>
      <c r="N602" s="3">
        <v>148</v>
      </c>
    </row>
    <row r="603" spans="1:14" x14ac:dyDescent="0.25">
      <c r="A603" s="2">
        <v>602</v>
      </c>
      <c r="B603" s="3">
        <v>6794512</v>
      </c>
      <c r="C603" s="2" t="s">
        <v>220</v>
      </c>
      <c r="D603" s="3">
        <v>1</v>
      </c>
      <c r="E603" s="2">
        <v>40</v>
      </c>
      <c r="F603" s="2" t="str">
        <f t="shared" si="24"/>
        <v>GXP2100</v>
      </c>
      <c r="G603" s="2" t="str">
        <f>"20EYWP8C604050B1"</f>
        <v>20EYWP8C604050B1</v>
      </c>
      <c r="I603">
        <v>20</v>
      </c>
      <c r="J603" s="3">
        <v>1</v>
      </c>
      <c r="K603" s="2">
        <v>39</v>
      </c>
      <c r="L603" s="3" t="s">
        <v>2</v>
      </c>
      <c r="M603" s="4">
        <v>41254</v>
      </c>
      <c r="N603" s="3">
        <v>148</v>
      </c>
    </row>
    <row r="604" spans="1:14" x14ac:dyDescent="0.25">
      <c r="A604" s="2">
        <v>603</v>
      </c>
      <c r="B604" s="3">
        <v>6794513</v>
      </c>
      <c r="C604" s="2" t="s">
        <v>220</v>
      </c>
      <c r="D604" s="3">
        <v>1</v>
      </c>
      <c r="E604" s="2">
        <v>40</v>
      </c>
      <c r="F604" s="2" t="str">
        <f t="shared" si="24"/>
        <v>GXP2100</v>
      </c>
      <c r="G604" s="2" t="str">
        <f>"20EYWP8C604050BO"</f>
        <v>20EYWP8C604050BO</v>
      </c>
      <c r="I604">
        <v>20</v>
      </c>
      <c r="J604" s="3">
        <v>1</v>
      </c>
      <c r="K604" s="2">
        <v>30</v>
      </c>
      <c r="L604" s="3" t="s">
        <v>2</v>
      </c>
      <c r="M604" s="4">
        <v>41254</v>
      </c>
      <c r="N604" s="3">
        <v>148</v>
      </c>
    </row>
    <row r="605" spans="1:14" x14ac:dyDescent="0.25">
      <c r="A605" s="2">
        <v>604</v>
      </c>
      <c r="B605" s="3">
        <v>6794514</v>
      </c>
      <c r="C605" s="2" t="s">
        <v>220</v>
      </c>
      <c r="D605" s="3">
        <v>1</v>
      </c>
      <c r="E605" s="2">
        <v>40</v>
      </c>
      <c r="F605" s="2" t="str">
        <f t="shared" si="24"/>
        <v>GXP2100</v>
      </c>
      <c r="G605" s="2" t="str">
        <f>"20EYWP8C604050AE"</f>
        <v>20EYWP8C604050AE</v>
      </c>
      <c r="I605">
        <v>20</v>
      </c>
      <c r="J605" s="3">
        <v>1</v>
      </c>
      <c r="K605" s="2">
        <v>4</v>
      </c>
      <c r="L605" s="3" t="s">
        <v>2</v>
      </c>
      <c r="M605" s="4">
        <v>41254</v>
      </c>
      <c r="N605" s="3">
        <v>148</v>
      </c>
    </row>
    <row r="606" spans="1:14" x14ac:dyDescent="0.25">
      <c r="A606" s="2">
        <v>605</v>
      </c>
      <c r="B606" s="3">
        <v>6794493</v>
      </c>
      <c r="C606" s="2" t="s">
        <v>247</v>
      </c>
      <c r="D606" s="3">
        <v>1</v>
      </c>
      <c r="E606" s="2">
        <v>6</v>
      </c>
      <c r="F606" s="2" t="str">
        <f>"A1395"</f>
        <v>A1395</v>
      </c>
      <c r="G606" s="2" t="str">
        <f>"F5XKR3YMDFHW"</f>
        <v>F5XKR3YMDFHW</v>
      </c>
      <c r="I606">
        <v>22</v>
      </c>
      <c r="J606" s="3">
        <v>2</v>
      </c>
      <c r="K606" s="2">
        <v>39</v>
      </c>
      <c r="L606" s="3" t="s">
        <v>2</v>
      </c>
      <c r="M606" s="4">
        <v>41255</v>
      </c>
      <c r="N606" s="3">
        <v>980</v>
      </c>
    </row>
    <row r="607" spans="1:14" x14ac:dyDescent="0.25">
      <c r="A607" s="2">
        <v>606</v>
      </c>
      <c r="B607" s="3">
        <v>13460220</v>
      </c>
      <c r="C607" s="2" t="s">
        <v>248</v>
      </c>
      <c r="D607" s="3">
        <v>1</v>
      </c>
      <c r="E607" s="2">
        <v>23</v>
      </c>
      <c r="F607" s="2" t="str">
        <f>"D21710 B3"</f>
        <v>D21710 B3</v>
      </c>
      <c r="G607" s="2" t="str">
        <f>"39189"</f>
        <v>39189</v>
      </c>
      <c r="I607">
        <v>1</v>
      </c>
      <c r="J607" s="3">
        <v>1</v>
      </c>
      <c r="K607" s="2">
        <v>3</v>
      </c>
      <c r="L607" s="3" t="s">
        <v>2</v>
      </c>
      <c r="M607" s="4">
        <v>41255</v>
      </c>
      <c r="N607" s="3">
        <v>80</v>
      </c>
    </row>
    <row r="608" spans="1:14" x14ac:dyDescent="0.25">
      <c r="A608" s="2">
        <v>607</v>
      </c>
      <c r="B608" s="3">
        <v>6794475</v>
      </c>
      <c r="C608" s="2" t="s">
        <v>249</v>
      </c>
      <c r="D608" s="3">
        <v>1</v>
      </c>
      <c r="E608" s="2">
        <v>34</v>
      </c>
      <c r="F608" s="2" t="str">
        <f>"FI 6130Z"</f>
        <v>FI 6130Z</v>
      </c>
      <c r="G608" s="2" t="str">
        <f>"473442"</f>
        <v>473442</v>
      </c>
      <c r="I608">
        <v>17</v>
      </c>
      <c r="J608" s="3">
        <v>1</v>
      </c>
      <c r="K608" s="2">
        <v>34</v>
      </c>
      <c r="L608" s="3" t="s">
        <v>2</v>
      </c>
      <c r="M608" s="4">
        <v>41256</v>
      </c>
      <c r="N608" s="5">
        <v>1369</v>
      </c>
    </row>
    <row r="609" spans="1:14" x14ac:dyDescent="0.25">
      <c r="A609" s="2">
        <v>608</v>
      </c>
      <c r="B609" s="3">
        <v>6794476</v>
      </c>
      <c r="C609" s="2" t="s">
        <v>249</v>
      </c>
      <c r="D609" s="3">
        <v>1</v>
      </c>
      <c r="E609" s="2">
        <v>34</v>
      </c>
      <c r="F609" s="2" t="str">
        <f>"FI 6130Z"</f>
        <v>FI 6130Z</v>
      </c>
      <c r="G609" s="2" t="str">
        <f>"600288"</f>
        <v>600288</v>
      </c>
      <c r="I609">
        <v>17</v>
      </c>
      <c r="J609" s="3">
        <v>1</v>
      </c>
      <c r="K609" s="2">
        <v>25</v>
      </c>
      <c r="L609" s="3" t="s">
        <v>2</v>
      </c>
      <c r="M609" s="4">
        <v>41256</v>
      </c>
      <c r="N609" s="5">
        <v>1369</v>
      </c>
    </row>
    <row r="610" spans="1:14" x14ac:dyDescent="0.25">
      <c r="A610" s="2">
        <v>609</v>
      </c>
      <c r="B610" s="3">
        <v>6794477</v>
      </c>
      <c r="C610" s="2" t="s">
        <v>249</v>
      </c>
      <c r="D610" s="3">
        <v>1</v>
      </c>
      <c r="E610" s="2">
        <v>34</v>
      </c>
      <c r="F610" s="2" t="str">
        <f>"FI 6130Z"</f>
        <v>FI 6130Z</v>
      </c>
      <c r="G610" s="2" t="str">
        <f>"600289"</f>
        <v>600289</v>
      </c>
      <c r="I610">
        <v>17</v>
      </c>
      <c r="J610" s="3">
        <v>1</v>
      </c>
      <c r="K610" s="2">
        <v>37</v>
      </c>
      <c r="L610" s="3" t="s">
        <v>2</v>
      </c>
      <c r="M610" s="4">
        <v>41256</v>
      </c>
      <c r="N610" s="5">
        <v>1369</v>
      </c>
    </row>
    <row r="611" spans="1:14" x14ac:dyDescent="0.25">
      <c r="A611" s="2">
        <v>610</v>
      </c>
      <c r="B611" s="3">
        <v>7602755</v>
      </c>
      <c r="C611" s="2" t="s">
        <v>250</v>
      </c>
      <c r="D611" s="3">
        <v>1</v>
      </c>
      <c r="E611" s="2">
        <v>50</v>
      </c>
      <c r="F611" s="2" t="str">
        <f>"SJ 242CD"</f>
        <v>SJ 242CD</v>
      </c>
      <c r="G611" s="2" t="str">
        <f>"241X017K 204TADR01154"</f>
        <v>241X017K 204TADR01154</v>
      </c>
      <c r="I611">
        <v>17</v>
      </c>
      <c r="J611" s="3">
        <v>1</v>
      </c>
      <c r="K611" s="2">
        <v>25</v>
      </c>
      <c r="L611" s="3" t="s">
        <v>2</v>
      </c>
      <c r="M611" s="4">
        <v>41256</v>
      </c>
      <c r="N611" s="3">
        <v>682.14</v>
      </c>
    </row>
    <row r="612" spans="1:14" x14ac:dyDescent="0.25">
      <c r="A612" s="2">
        <v>611</v>
      </c>
      <c r="B612" s="3">
        <v>7602756</v>
      </c>
      <c r="C612" s="2" t="s">
        <v>250</v>
      </c>
      <c r="D612" s="3">
        <v>1</v>
      </c>
      <c r="E612" s="2">
        <v>50</v>
      </c>
      <c r="F612" s="2" t="str">
        <f>"SJ 242CD"</f>
        <v>SJ 242CD</v>
      </c>
      <c r="G612" s="2" t="str">
        <f>"241X017K 204TACX01099"</f>
        <v>241X017K 204TACX01099</v>
      </c>
      <c r="I612">
        <v>17</v>
      </c>
      <c r="J612" s="3">
        <v>1</v>
      </c>
      <c r="K612" s="2">
        <v>9</v>
      </c>
      <c r="L612" s="3" t="s">
        <v>2</v>
      </c>
      <c r="M612" s="4">
        <v>41256</v>
      </c>
      <c r="N612" s="3">
        <v>682.14</v>
      </c>
    </row>
    <row r="613" spans="1:14" x14ac:dyDescent="0.25">
      <c r="A613" s="2">
        <v>612</v>
      </c>
      <c r="B613" s="3">
        <v>7602757</v>
      </c>
      <c r="C613" s="2" t="s">
        <v>250</v>
      </c>
      <c r="D613" s="3">
        <v>1</v>
      </c>
      <c r="E613" s="2">
        <v>50</v>
      </c>
      <c r="F613" s="2" t="str">
        <f>"SJ 242CD"</f>
        <v>SJ 242CD</v>
      </c>
      <c r="G613" s="2" t="str">
        <f>"241X017K 204TALB01104"</f>
        <v>241X017K 204TALB01104</v>
      </c>
      <c r="I613">
        <v>17</v>
      </c>
      <c r="J613" s="3">
        <v>1</v>
      </c>
      <c r="K613" s="2">
        <v>9</v>
      </c>
      <c r="L613" s="3" t="s">
        <v>2</v>
      </c>
      <c r="M613" s="4">
        <v>41256</v>
      </c>
      <c r="N613" s="3">
        <v>682.14</v>
      </c>
    </row>
    <row r="614" spans="1:14" x14ac:dyDescent="0.25">
      <c r="A614" s="2">
        <v>613</v>
      </c>
      <c r="B614" s="3">
        <v>7602758</v>
      </c>
      <c r="C614" s="2" t="s">
        <v>250</v>
      </c>
      <c r="D614" s="3">
        <v>1</v>
      </c>
      <c r="E614" s="2">
        <v>50</v>
      </c>
      <c r="F614" s="2" t="str">
        <f>"SJ 242CD"</f>
        <v>SJ 242CD</v>
      </c>
      <c r="G614" s="2" t="str">
        <f>"241X017K 204TARU01094"</f>
        <v>241X017K 204TARU01094</v>
      </c>
      <c r="I614">
        <v>17</v>
      </c>
      <c r="J614" s="3">
        <v>1</v>
      </c>
      <c r="K614" s="2">
        <v>9</v>
      </c>
      <c r="L614" s="3" t="s">
        <v>2</v>
      </c>
      <c r="M614" s="4">
        <v>41256</v>
      </c>
      <c r="N614" s="3">
        <v>682.14</v>
      </c>
    </row>
    <row r="615" spans="1:14" x14ac:dyDescent="0.25">
      <c r="A615" s="2">
        <v>614</v>
      </c>
      <c r="B615" s="3">
        <v>7602761</v>
      </c>
      <c r="C615" s="2" t="s">
        <v>250</v>
      </c>
      <c r="D615" s="3">
        <v>1</v>
      </c>
      <c r="E615" s="2">
        <v>50</v>
      </c>
      <c r="F615" s="2" t="str">
        <f>"SJ 242CD"</f>
        <v>SJ 242CD</v>
      </c>
      <c r="G615" s="2" t="str">
        <f>"241X017K 204TAMA01155"</f>
        <v>241X017K 204TAMA01155</v>
      </c>
      <c r="I615">
        <v>17</v>
      </c>
      <c r="J615" s="3">
        <v>1</v>
      </c>
      <c r="K615" s="2">
        <v>8</v>
      </c>
      <c r="L615" s="3" t="s">
        <v>2</v>
      </c>
      <c r="M615" s="4">
        <v>41256</v>
      </c>
      <c r="N615" s="3">
        <v>682.16</v>
      </c>
    </row>
    <row r="616" spans="1:14" x14ac:dyDescent="0.25">
      <c r="A616" s="2">
        <v>615</v>
      </c>
      <c r="B616" s="3">
        <v>7602776</v>
      </c>
      <c r="C616" s="2" t="s">
        <v>208</v>
      </c>
      <c r="D616" s="3">
        <v>1</v>
      </c>
      <c r="E616" s="2">
        <v>31</v>
      </c>
      <c r="F616" s="2" t="str">
        <f>"H429A"</f>
        <v>H429A</v>
      </c>
      <c r="G616" s="2" t="str">
        <f>"PSCK2802475"</f>
        <v>PSCK2802475</v>
      </c>
      <c r="I616">
        <v>13</v>
      </c>
      <c r="J616" s="3">
        <v>2</v>
      </c>
      <c r="K616" s="2">
        <v>39</v>
      </c>
      <c r="L616" s="3" t="s">
        <v>2</v>
      </c>
      <c r="M616" s="4">
        <v>41256</v>
      </c>
      <c r="N616" s="3">
        <v>760</v>
      </c>
    </row>
    <row r="617" spans="1:14" x14ac:dyDescent="0.25">
      <c r="A617" s="2">
        <v>616</v>
      </c>
      <c r="B617" s="3">
        <v>7602777</v>
      </c>
      <c r="C617" s="2" t="s">
        <v>208</v>
      </c>
      <c r="D617" s="3">
        <v>1</v>
      </c>
      <c r="E617" s="2">
        <v>31</v>
      </c>
      <c r="F617" s="2" t="str">
        <f>"H429A"</f>
        <v>H429A</v>
      </c>
      <c r="G617" s="2" t="str">
        <f>"PSCK2801143"</f>
        <v>PSCK2801143</v>
      </c>
      <c r="I617">
        <v>13</v>
      </c>
      <c r="J617" s="3">
        <v>2</v>
      </c>
      <c r="K617" s="2">
        <v>23</v>
      </c>
      <c r="L617" s="3" t="s">
        <v>2</v>
      </c>
      <c r="M617" s="4">
        <v>41256</v>
      </c>
      <c r="N617" s="3">
        <v>760</v>
      </c>
    </row>
    <row r="618" spans="1:14" x14ac:dyDescent="0.25">
      <c r="A618" s="2">
        <v>617</v>
      </c>
      <c r="B618" s="3">
        <v>7602811</v>
      </c>
      <c r="C618" s="2" t="s">
        <v>205</v>
      </c>
      <c r="D618" s="3">
        <v>1</v>
      </c>
      <c r="E618" s="2">
        <v>77</v>
      </c>
      <c r="F618" s="2" t="str">
        <f>"KDL 55EX640"</f>
        <v>KDL 55EX640</v>
      </c>
      <c r="G618" s="2" t="str">
        <f>"5032676"</f>
        <v>5032676</v>
      </c>
      <c r="I618">
        <v>20</v>
      </c>
      <c r="J618" s="3">
        <v>1</v>
      </c>
      <c r="K618" s="2">
        <v>8</v>
      </c>
      <c r="L618" s="3" t="s">
        <v>2</v>
      </c>
      <c r="M618" s="4">
        <v>41256</v>
      </c>
      <c r="N618" s="5">
        <v>2053.58</v>
      </c>
    </row>
    <row r="619" spans="1:14" x14ac:dyDescent="0.25">
      <c r="A619" s="2">
        <v>618</v>
      </c>
      <c r="B619" s="3">
        <v>6794561</v>
      </c>
      <c r="C619" s="2" t="s">
        <v>201</v>
      </c>
      <c r="D619" s="3">
        <v>1</v>
      </c>
      <c r="E619" s="2">
        <v>42</v>
      </c>
      <c r="F619" s="2" t="str">
        <f>"2510G 24"</f>
        <v>2510G 24</v>
      </c>
      <c r="G619" s="2" t="str">
        <f>"CN234DE0LG"</f>
        <v>CN234DE0LG</v>
      </c>
      <c r="I619">
        <v>13</v>
      </c>
      <c r="J619" s="3">
        <v>1</v>
      </c>
      <c r="K619" s="2">
        <v>8</v>
      </c>
      <c r="L619" s="3" t="s">
        <v>2</v>
      </c>
      <c r="M619" s="4">
        <v>41257</v>
      </c>
      <c r="N619" s="5">
        <v>1100</v>
      </c>
    </row>
    <row r="620" spans="1:14" x14ac:dyDescent="0.25">
      <c r="A620" s="2">
        <v>619</v>
      </c>
      <c r="B620" s="3">
        <v>6794531</v>
      </c>
      <c r="C620" s="2" t="s">
        <v>195</v>
      </c>
      <c r="D620" s="3">
        <v>1</v>
      </c>
      <c r="E620" s="2">
        <v>50</v>
      </c>
      <c r="F620" s="2" t="str">
        <f>"W1943CV"</f>
        <v>W1943CV</v>
      </c>
      <c r="G620" s="2" t="str">
        <f>"202NDFV2C371"</f>
        <v>202NDFV2C371</v>
      </c>
      <c r="I620">
        <v>20</v>
      </c>
      <c r="J620" s="3">
        <v>1</v>
      </c>
      <c r="K620" s="2">
        <v>34</v>
      </c>
      <c r="L620" s="3" t="s">
        <v>2</v>
      </c>
      <c r="M620" s="4">
        <v>41096</v>
      </c>
      <c r="N620" s="3">
        <v>155.21</v>
      </c>
    </row>
    <row r="621" spans="1:14" x14ac:dyDescent="0.25">
      <c r="A621" s="2">
        <v>620</v>
      </c>
      <c r="B621" s="3">
        <v>6794558</v>
      </c>
      <c r="C621" s="2" t="s">
        <v>251</v>
      </c>
      <c r="D621" s="3">
        <v>1</v>
      </c>
      <c r="E621" s="2">
        <v>25</v>
      </c>
      <c r="F621" s="2" t="str">
        <f>"DIR 655"</f>
        <v>DIR 655</v>
      </c>
      <c r="G621" s="2" t="str">
        <f>"F3U92C5000101"</f>
        <v>F3U92C5000101</v>
      </c>
      <c r="I621">
        <v>11</v>
      </c>
      <c r="J621" s="3">
        <v>1</v>
      </c>
      <c r="K621" s="2">
        <v>2</v>
      </c>
      <c r="L621" s="3" t="s">
        <v>2</v>
      </c>
      <c r="M621" s="4">
        <v>41257</v>
      </c>
      <c r="N621" s="3">
        <v>559.79</v>
      </c>
    </row>
    <row r="622" spans="1:14" x14ac:dyDescent="0.25">
      <c r="A622" s="2">
        <v>621</v>
      </c>
      <c r="B622" s="3">
        <v>6794559</v>
      </c>
      <c r="C622" s="2" t="s">
        <v>201</v>
      </c>
      <c r="D622" s="3">
        <v>1</v>
      </c>
      <c r="E622" s="2">
        <v>42</v>
      </c>
      <c r="F622" s="2" t="str">
        <f>"2510G 24"</f>
        <v>2510G 24</v>
      </c>
      <c r="G622" s="2" t="str">
        <f>"CN234DE0HZ"</f>
        <v>CN234DE0HZ</v>
      </c>
      <c r="I622">
        <v>13</v>
      </c>
      <c r="J622" s="3">
        <v>1</v>
      </c>
      <c r="K622" s="2">
        <v>4</v>
      </c>
      <c r="L622" s="3" t="s">
        <v>2</v>
      </c>
      <c r="M622" s="4">
        <v>41257</v>
      </c>
      <c r="N622" s="5">
        <v>1100</v>
      </c>
    </row>
    <row r="623" spans="1:14" x14ac:dyDescent="0.25">
      <c r="A623" s="2">
        <v>622</v>
      </c>
      <c r="B623" s="3">
        <v>6794560</v>
      </c>
      <c r="C623" s="2" t="s">
        <v>201</v>
      </c>
      <c r="D623" s="3">
        <v>1</v>
      </c>
      <c r="E623" s="2">
        <v>42</v>
      </c>
      <c r="F623" s="2" t="str">
        <f>"2510G 24"</f>
        <v>2510G 24</v>
      </c>
      <c r="G623" s="2" t="str">
        <f>"CN232DE062"</f>
        <v>CN232DE062</v>
      </c>
      <c r="I623">
        <v>13</v>
      </c>
      <c r="J623" s="3">
        <v>1</v>
      </c>
      <c r="K623" s="2">
        <v>4</v>
      </c>
      <c r="L623" s="3" t="s">
        <v>2</v>
      </c>
      <c r="M623" s="4">
        <v>41257</v>
      </c>
      <c r="N623" s="5">
        <v>1100</v>
      </c>
    </row>
    <row r="624" spans="1:14" x14ac:dyDescent="0.25">
      <c r="A624" s="2">
        <v>623</v>
      </c>
      <c r="B624" s="3">
        <v>6794616</v>
      </c>
      <c r="C624" s="2" t="s">
        <v>195</v>
      </c>
      <c r="D624" s="3">
        <v>1</v>
      </c>
      <c r="E624" s="2">
        <v>42</v>
      </c>
      <c r="F624" s="2" t="str">
        <f>"LV1911"</f>
        <v>LV1911</v>
      </c>
      <c r="G624" s="2" t="str">
        <f>"6CM219010G"</f>
        <v>6CM219010G</v>
      </c>
      <c r="I624">
        <v>20</v>
      </c>
      <c r="J624" s="3">
        <v>1</v>
      </c>
      <c r="K624" s="2">
        <v>39</v>
      </c>
      <c r="L624" s="3" t="s">
        <v>2</v>
      </c>
      <c r="M624" s="4">
        <v>41248</v>
      </c>
      <c r="N624" s="3">
        <v>138</v>
      </c>
    </row>
    <row r="625" spans="1:14" x14ac:dyDescent="0.25">
      <c r="A625" s="2">
        <v>624</v>
      </c>
      <c r="B625" s="3">
        <v>6794617</v>
      </c>
      <c r="C625" s="2" t="s">
        <v>195</v>
      </c>
      <c r="D625" s="3">
        <v>1</v>
      </c>
      <c r="E625" s="2">
        <v>42</v>
      </c>
      <c r="F625" s="2" t="str">
        <f>"LV1911"</f>
        <v>LV1911</v>
      </c>
      <c r="G625" s="2" t="str">
        <f>"6CM21903R1"</f>
        <v>6CM21903R1</v>
      </c>
      <c r="I625">
        <v>20</v>
      </c>
      <c r="J625" s="3">
        <v>1</v>
      </c>
      <c r="K625" s="2">
        <v>39</v>
      </c>
      <c r="L625" s="3" t="s">
        <v>2</v>
      </c>
      <c r="M625" s="4">
        <v>41248</v>
      </c>
      <c r="N625" s="3">
        <v>138</v>
      </c>
    </row>
    <row r="626" spans="1:14" x14ac:dyDescent="0.25">
      <c r="A626" s="2">
        <v>625</v>
      </c>
      <c r="B626" s="3">
        <v>6794562</v>
      </c>
      <c r="C626" s="2" t="s">
        <v>201</v>
      </c>
      <c r="D626" s="3">
        <v>1</v>
      </c>
      <c r="E626" s="2">
        <v>42</v>
      </c>
      <c r="F626" s="2" t="str">
        <f>"2510G 24"</f>
        <v>2510G 24</v>
      </c>
      <c r="G626" s="2" t="str">
        <f>"CN233DE128"</f>
        <v>CN233DE128</v>
      </c>
      <c r="I626">
        <v>13</v>
      </c>
      <c r="J626" s="3">
        <v>1</v>
      </c>
      <c r="K626" s="2">
        <v>39</v>
      </c>
      <c r="L626" s="3" t="s">
        <v>2</v>
      </c>
      <c r="M626" s="4">
        <v>41257</v>
      </c>
      <c r="N626" s="5">
        <v>1100</v>
      </c>
    </row>
    <row r="627" spans="1:14" x14ac:dyDescent="0.25">
      <c r="A627" s="2">
        <v>626</v>
      </c>
      <c r="B627" s="3">
        <v>6794563</v>
      </c>
      <c r="C627" s="2" t="s">
        <v>201</v>
      </c>
      <c r="D627" s="3">
        <v>1</v>
      </c>
      <c r="E627" s="2">
        <v>42</v>
      </c>
      <c r="F627" s="2" t="str">
        <f>"A5120 48G"</f>
        <v>A5120 48G</v>
      </c>
      <c r="G627" s="2" t="str">
        <f>"CN28BYV15L"</f>
        <v>CN28BYV15L</v>
      </c>
      <c r="I627">
        <v>13</v>
      </c>
      <c r="J627" s="3">
        <v>1</v>
      </c>
      <c r="K627" s="2">
        <v>4</v>
      </c>
      <c r="L627" s="3" t="s">
        <v>2</v>
      </c>
      <c r="M627" s="4">
        <v>41257</v>
      </c>
      <c r="N627" s="5">
        <v>2300</v>
      </c>
    </row>
    <row r="628" spans="1:14" x14ac:dyDescent="0.25">
      <c r="A628" s="2">
        <v>627</v>
      </c>
      <c r="B628" s="3">
        <v>6794564</v>
      </c>
      <c r="C628" s="2" t="s">
        <v>201</v>
      </c>
      <c r="D628" s="3">
        <v>1</v>
      </c>
      <c r="E628" s="2">
        <v>42</v>
      </c>
      <c r="F628" s="2" t="str">
        <f>"A5120 48G"</f>
        <v>A5120 48G</v>
      </c>
      <c r="G628" s="2" t="str">
        <f>"CN28BYV16L"</f>
        <v>CN28BYV16L</v>
      </c>
      <c r="I628">
        <v>13</v>
      </c>
      <c r="J628" s="3">
        <v>1</v>
      </c>
      <c r="K628" s="2">
        <v>4</v>
      </c>
      <c r="L628" s="3" t="s">
        <v>2</v>
      </c>
      <c r="M628" s="4">
        <v>41257</v>
      </c>
      <c r="N628" s="5">
        <v>2300</v>
      </c>
    </row>
    <row r="629" spans="1:14" x14ac:dyDescent="0.25">
      <c r="A629" s="2">
        <v>628</v>
      </c>
      <c r="B629" s="3">
        <v>6794565</v>
      </c>
      <c r="C629" s="2" t="s">
        <v>252</v>
      </c>
      <c r="D629" s="3">
        <v>2</v>
      </c>
      <c r="E629" s="2">
        <v>76</v>
      </c>
      <c r="F629" s="2" t="str">
        <f>"SIN MODELO"</f>
        <v>SIN MODELO</v>
      </c>
      <c r="G629" s="2" t="str">
        <f>"14101070107002"</f>
        <v>14101070107002</v>
      </c>
      <c r="I629">
        <v>20</v>
      </c>
      <c r="J629" s="3">
        <v>1</v>
      </c>
      <c r="K629" s="2">
        <v>4</v>
      </c>
      <c r="L629" s="3" t="s">
        <v>2</v>
      </c>
      <c r="M629" s="4">
        <v>41257</v>
      </c>
      <c r="N629" s="5">
        <v>1035</v>
      </c>
    </row>
    <row r="630" spans="1:14" x14ac:dyDescent="0.25">
      <c r="A630" s="2">
        <v>629</v>
      </c>
      <c r="B630" s="3">
        <v>6794472</v>
      </c>
      <c r="C630" s="2" t="s">
        <v>253</v>
      </c>
      <c r="D630" s="3">
        <v>1</v>
      </c>
      <c r="E630" s="2">
        <v>89</v>
      </c>
      <c r="F630" s="2" t="str">
        <f>"P430I"</f>
        <v>P430I</v>
      </c>
      <c r="G630" s="2" t="str">
        <f>"88J123600050"</f>
        <v>88J123600050</v>
      </c>
      <c r="I630">
        <v>13</v>
      </c>
      <c r="J630" s="3">
        <v>1</v>
      </c>
      <c r="K630" s="2">
        <v>37</v>
      </c>
      <c r="L630" s="3" t="s">
        <v>2</v>
      </c>
      <c r="M630" s="4">
        <v>41300</v>
      </c>
      <c r="N630" s="5">
        <v>4279.5</v>
      </c>
    </row>
    <row r="631" spans="1:14" x14ac:dyDescent="0.25">
      <c r="A631" s="2">
        <v>630</v>
      </c>
      <c r="B631" s="3">
        <v>6794556</v>
      </c>
      <c r="C631" s="2" t="s">
        <v>254</v>
      </c>
      <c r="D631" s="3">
        <v>1</v>
      </c>
      <c r="E631" s="2">
        <v>51</v>
      </c>
      <c r="F631" s="2" t="str">
        <f>"C920"</f>
        <v>C920</v>
      </c>
      <c r="G631" s="2" t="str">
        <f>"1215LZ010RQ9"</f>
        <v>1215LZ010RQ9</v>
      </c>
      <c r="I631">
        <v>20</v>
      </c>
      <c r="J631" s="3">
        <v>1</v>
      </c>
      <c r="K631" s="2">
        <v>4</v>
      </c>
      <c r="L631" s="3" t="s">
        <v>2</v>
      </c>
      <c r="M631" s="4">
        <v>41300</v>
      </c>
      <c r="N631" s="3">
        <v>300</v>
      </c>
    </row>
    <row r="632" spans="1:14" x14ac:dyDescent="0.25">
      <c r="A632" s="2">
        <v>631</v>
      </c>
      <c r="B632" s="3">
        <v>6794580</v>
      </c>
      <c r="C632" s="2" t="s">
        <v>145</v>
      </c>
      <c r="D632" s="3">
        <v>1</v>
      </c>
      <c r="E632" s="2">
        <v>42</v>
      </c>
      <c r="F632" s="2" t="str">
        <f>"COMPAQ 6200 PRO"</f>
        <v>COMPAQ 6200 PRO</v>
      </c>
      <c r="G632" s="2" t="str">
        <f>"MXL2280F95"</f>
        <v>MXL2280F95</v>
      </c>
      <c r="I632">
        <v>20</v>
      </c>
      <c r="J632" s="3">
        <v>1</v>
      </c>
      <c r="K632" s="2">
        <v>4</v>
      </c>
      <c r="L632" s="3" t="s">
        <v>2</v>
      </c>
      <c r="M632" s="4">
        <v>41300</v>
      </c>
      <c r="N632" s="3">
        <v>771.7</v>
      </c>
    </row>
    <row r="633" spans="1:14" x14ac:dyDescent="0.25">
      <c r="A633" s="2">
        <v>632</v>
      </c>
      <c r="B633" s="3">
        <v>6794606</v>
      </c>
      <c r="C633" s="2" t="s">
        <v>195</v>
      </c>
      <c r="D633" s="3">
        <v>1</v>
      </c>
      <c r="E633" s="2">
        <v>42</v>
      </c>
      <c r="F633" s="2" t="str">
        <f>"LV1911"</f>
        <v>LV1911</v>
      </c>
      <c r="G633" s="2" t="str">
        <f>"6CM2190275"</f>
        <v>6CM2190275</v>
      </c>
      <c r="I633">
        <v>20</v>
      </c>
      <c r="J633" s="3">
        <v>1</v>
      </c>
      <c r="K633" s="2">
        <v>4</v>
      </c>
      <c r="L633" s="3" t="s">
        <v>2</v>
      </c>
      <c r="M633" s="4">
        <v>41300</v>
      </c>
      <c r="N633" s="3">
        <v>138</v>
      </c>
    </row>
    <row r="634" spans="1:14" x14ac:dyDescent="0.25">
      <c r="A634" s="2">
        <v>633</v>
      </c>
      <c r="B634" s="3">
        <v>7602824</v>
      </c>
      <c r="C634" s="2" t="s">
        <v>255</v>
      </c>
      <c r="D634" s="3">
        <v>1</v>
      </c>
      <c r="E634" s="2">
        <v>85</v>
      </c>
      <c r="F634" s="2" t="str">
        <f>"FOH02"</f>
        <v>FOH02</v>
      </c>
      <c r="G634" s="2" t="str">
        <f>"UNK01025930J"</f>
        <v>UNK01025930J</v>
      </c>
      <c r="I634">
        <v>22</v>
      </c>
      <c r="J634" s="3">
        <v>1</v>
      </c>
      <c r="K634" s="2">
        <v>4</v>
      </c>
      <c r="L634" s="3" t="s">
        <v>2</v>
      </c>
      <c r="M634" s="4">
        <v>41300</v>
      </c>
      <c r="N634" s="3">
        <v>230</v>
      </c>
    </row>
    <row r="635" spans="1:14" x14ac:dyDescent="0.25">
      <c r="A635" s="2">
        <v>634</v>
      </c>
      <c r="B635" s="3">
        <v>13182080</v>
      </c>
      <c r="C635" s="2" t="s">
        <v>256</v>
      </c>
      <c r="D635" s="3">
        <v>1</v>
      </c>
      <c r="E635" s="2">
        <v>60</v>
      </c>
      <c r="F635" s="2" t="str">
        <f>"SIN MODELO"</f>
        <v>SIN MODELO</v>
      </c>
      <c r="G635" s="2" t="str">
        <f>"63445040507001"</f>
        <v>63445040507001</v>
      </c>
      <c r="I635">
        <v>22</v>
      </c>
      <c r="J635" s="3">
        <v>1</v>
      </c>
      <c r="K635" s="2">
        <v>4</v>
      </c>
      <c r="L635" s="3" t="s">
        <v>2</v>
      </c>
      <c r="M635" s="4">
        <v>41300</v>
      </c>
      <c r="N635" s="3">
        <v>20</v>
      </c>
    </row>
    <row r="636" spans="1:14" x14ac:dyDescent="0.25">
      <c r="A636" s="2">
        <v>635</v>
      </c>
      <c r="B636" s="3">
        <v>13382744</v>
      </c>
      <c r="C636" s="2" t="s">
        <v>197</v>
      </c>
      <c r="D636" s="3">
        <v>1</v>
      </c>
      <c r="E636" s="2">
        <v>42</v>
      </c>
      <c r="F636" s="2" t="str">
        <f>"MO42KC"</f>
        <v>MO42KC</v>
      </c>
      <c r="G636" s="2" t="str">
        <f>"0403067665"</f>
        <v>0403067665</v>
      </c>
      <c r="I636">
        <v>20</v>
      </c>
      <c r="J636" s="3">
        <v>1</v>
      </c>
      <c r="K636" s="2">
        <v>4</v>
      </c>
      <c r="L636" s="3" t="s">
        <v>2</v>
      </c>
      <c r="M636" s="4">
        <v>41300</v>
      </c>
      <c r="N636" s="3">
        <v>5.04</v>
      </c>
    </row>
    <row r="637" spans="1:14" x14ac:dyDescent="0.25">
      <c r="A637" s="2">
        <v>636</v>
      </c>
      <c r="B637" s="3">
        <v>13382764</v>
      </c>
      <c r="C637" s="2" t="s">
        <v>198</v>
      </c>
      <c r="D637" s="3">
        <v>1</v>
      </c>
      <c r="E637" s="2">
        <v>42</v>
      </c>
      <c r="F637" s="2" t="str">
        <f>"KB 0316"</f>
        <v>KB 0316</v>
      </c>
      <c r="G637" s="2" t="str">
        <f>"BAUDU0OVB2P3YL"</f>
        <v>BAUDU0OVB2P3YL</v>
      </c>
      <c r="I637">
        <v>20</v>
      </c>
      <c r="J637" s="3">
        <v>1</v>
      </c>
      <c r="K637" s="2">
        <v>4</v>
      </c>
      <c r="L637" s="3" t="s">
        <v>2</v>
      </c>
      <c r="M637" s="4">
        <v>41300</v>
      </c>
      <c r="N637" s="3">
        <v>10.63</v>
      </c>
    </row>
    <row r="638" spans="1:14" x14ac:dyDescent="0.25">
      <c r="A638" s="2">
        <v>637</v>
      </c>
      <c r="B638" s="3">
        <v>7606350</v>
      </c>
      <c r="C638" s="2" t="s">
        <v>278</v>
      </c>
      <c r="D638" s="3">
        <v>2</v>
      </c>
      <c r="E638" s="2">
        <v>76</v>
      </c>
      <c r="F638" s="2" t="str">
        <f t="shared" ref="F638:F647" si="25">"SIN MODELO"</f>
        <v>SIN MODELO</v>
      </c>
      <c r="G638" s="2" t="str">
        <f>"14101030109005"</f>
        <v>14101030109005</v>
      </c>
      <c r="I638">
        <v>10</v>
      </c>
      <c r="J638" s="3">
        <v>2</v>
      </c>
      <c r="K638" s="2">
        <v>23</v>
      </c>
      <c r="L638" s="3" t="s">
        <v>2</v>
      </c>
      <c r="M638" s="4">
        <v>41319</v>
      </c>
      <c r="N638" s="3">
        <v>147.84</v>
      </c>
    </row>
    <row r="639" spans="1:14" x14ac:dyDescent="0.25">
      <c r="A639" s="2">
        <v>638</v>
      </c>
      <c r="B639" s="3">
        <v>7606351</v>
      </c>
      <c r="C639" s="2" t="s">
        <v>278</v>
      </c>
      <c r="D639" s="3">
        <v>2</v>
      </c>
      <c r="E639" s="2">
        <v>76</v>
      </c>
      <c r="F639" s="2" t="str">
        <f t="shared" si="25"/>
        <v>SIN MODELO</v>
      </c>
      <c r="G639" s="2" t="str">
        <f>"14101030109006"</f>
        <v>14101030109006</v>
      </c>
      <c r="I639">
        <v>10</v>
      </c>
      <c r="J639" s="3">
        <v>2</v>
      </c>
      <c r="K639" s="2">
        <v>23</v>
      </c>
      <c r="L639" s="3" t="s">
        <v>2</v>
      </c>
      <c r="M639" s="4">
        <v>41319</v>
      </c>
      <c r="N639" s="3">
        <v>147.84</v>
      </c>
    </row>
    <row r="640" spans="1:14" x14ac:dyDescent="0.25">
      <c r="A640" s="2">
        <v>639</v>
      </c>
      <c r="B640" s="3">
        <v>7606352</v>
      </c>
      <c r="C640" s="2" t="s">
        <v>278</v>
      </c>
      <c r="D640" s="3">
        <v>2</v>
      </c>
      <c r="E640" s="2">
        <v>76</v>
      </c>
      <c r="F640" s="2" t="str">
        <f t="shared" si="25"/>
        <v>SIN MODELO</v>
      </c>
      <c r="G640" s="2" t="str">
        <f>"14101030109007"</f>
        <v>14101030109007</v>
      </c>
      <c r="I640">
        <v>10</v>
      </c>
      <c r="J640" s="3">
        <v>2</v>
      </c>
      <c r="K640" s="2">
        <v>23</v>
      </c>
      <c r="L640" s="3" t="s">
        <v>2</v>
      </c>
      <c r="M640" s="4">
        <v>41319</v>
      </c>
      <c r="N640" s="3">
        <v>147.84</v>
      </c>
    </row>
    <row r="641" spans="1:14" x14ac:dyDescent="0.25">
      <c r="A641" s="2">
        <v>640</v>
      </c>
      <c r="B641" s="3">
        <v>7606353</v>
      </c>
      <c r="C641" s="2" t="s">
        <v>278</v>
      </c>
      <c r="D641" s="3">
        <v>2</v>
      </c>
      <c r="E641" s="2">
        <v>76</v>
      </c>
      <c r="F641" s="2" t="str">
        <f t="shared" si="25"/>
        <v>SIN MODELO</v>
      </c>
      <c r="G641" s="2" t="str">
        <f>"14101030109008"</f>
        <v>14101030109008</v>
      </c>
      <c r="I641">
        <v>10</v>
      </c>
      <c r="J641" s="3">
        <v>2</v>
      </c>
      <c r="K641" s="2">
        <v>23</v>
      </c>
      <c r="L641" s="3" t="s">
        <v>2</v>
      </c>
      <c r="M641" s="4">
        <v>41319</v>
      </c>
      <c r="N641" s="3">
        <v>147.84</v>
      </c>
    </row>
    <row r="642" spans="1:14" x14ac:dyDescent="0.25">
      <c r="A642" s="2">
        <v>641</v>
      </c>
      <c r="B642" s="3">
        <v>7606354</v>
      </c>
      <c r="C642" s="2" t="s">
        <v>278</v>
      </c>
      <c r="D642" s="3">
        <v>2</v>
      </c>
      <c r="E642" s="2">
        <v>76</v>
      </c>
      <c r="F642" s="2" t="str">
        <f t="shared" si="25"/>
        <v>SIN MODELO</v>
      </c>
      <c r="G642" s="2" t="str">
        <f>"14101030109009"</f>
        <v>14101030109009</v>
      </c>
      <c r="I642">
        <v>10</v>
      </c>
      <c r="J642" s="3">
        <v>2</v>
      </c>
      <c r="K642" s="2">
        <v>23</v>
      </c>
      <c r="L642" s="3" t="s">
        <v>2</v>
      </c>
      <c r="M642" s="4">
        <v>41319</v>
      </c>
      <c r="N642" s="3">
        <v>147.84</v>
      </c>
    </row>
    <row r="643" spans="1:14" x14ac:dyDescent="0.25">
      <c r="A643" s="2">
        <v>642</v>
      </c>
      <c r="B643" s="3">
        <v>7606355</v>
      </c>
      <c r="C643" s="2" t="s">
        <v>278</v>
      </c>
      <c r="D643" s="3">
        <v>2</v>
      </c>
      <c r="E643" s="2">
        <v>76</v>
      </c>
      <c r="F643" s="2" t="str">
        <f t="shared" si="25"/>
        <v>SIN MODELO</v>
      </c>
      <c r="G643" s="2" t="str">
        <f>"14101030109010"</f>
        <v>14101030109010</v>
      </c>
      <c r="I643">
        <v>10</v>
      </c>
      <c r="J643" s="3">
        <v>2</v>
      </c>
      <c r="K643" s="2">
        <v>23</v>
      </c>
      <c r="L643" s="3" t="s">
        <v>2</v>
      </c>
      <c r="M643" s="4">
        <v>41319</v>
      </c>
      <c r="N643" s="3">
        <v>147.84</v>
      </c>
    </row>
    <row r="644" spans="1:14" x14ac:dyDescent="0.25">
      <c r="A644" s="2">
        <v>643</v>
      </c>
      <c r="B644" s="3">
        <v>7606356</v>
      </c>
      <c r="C644" s="2" t="s">
        <v>278</v>
      </c>
      <c r="D644" s="3">
        <v>2</v>
      </c>
      <c r="E644" s="2">
        <v>76</v>
      </c>
      <c r="F644" s="2" t="str">
        <f t="shared" si="25"/>
        <v>SIN MODELO</v>
      </c>
      <c r="G644" s="2" t="str">
        <f>"14101030109011"</f>
        <v>14101030109011</v>
      </c>
      <c r="I644">
        <v>10</v>
      </c>
      <c r="J644" s="3">
        <v>2</v>
      </c>
      <c r="K644" s="2">
        <v>23</v>
      </c>
      <c r="L644" s="3" t="s">
        <v>2</v>
      </c>
      <c r="M644" s="4">
        <v>41319</v>
      </c>
      <c r="N644" s="3">
        <v>147.84</v>
      </c>
    </row>
    <row r="645" spans="1:14" x14ac:dyDescent="0.25">
      <c r="A645" s="2">
        <v>644</v>
      </c>
      <c r="B645" s="3">
        <v>7606357</v>
      </c>
      <c r="C645" s="2" t="s">
        <v>278</v>
      </c>
      <c r="D645" s="3">
        <v>2</v>
      </c>
      <c r="E645" s="2">
        <v>76</v>
      </c>
      <c r="F645" s="2" t="str">
        <f t="shared" si="25"/>
        <v>SIN MODELO</v>
      </c>
      <c r="G645" s="2" t="str">
        <f>"14101030109012"</f>
        <v>14101030109012</v>
      </c>
      <c r="I645">
        <v>10</v>
      </c>
      <c r="J645" s="3">
        <v>2</v>
      </c>
      <c r="K645" s="2">
        <v>23</v>
      </c>
      <c r="L645" s="3" t="s">
        <v>2</v>
      </c>
      <c r="M645" s="4">
        <v>41319</v>
      </c>
      <c r="N645" s="3">
        <v>147.84</v>
      </c>
    </row>
    <row r="646" spans="1:14" x14ac:dyDescent="0.25">
      <c r="A646" s="2">
        <v>645</v>
      </c>
      <c r="B646" s="3">
        <v>7606358</v>
      </c>
      <c r="C646" s="2" t="s">
        <v>278</v>
      </c>
      <c r="D646" s="3">
        <v>2</v>
      </c>
      <c r="E646" s="2">
        <v>76</v>
      </c>
      <c r="F646" s="2" t="str">
        <f t="shared" si="25"/>
        <v>SIN MODELO</v>
      </c>
      <c r="G646" s="2" t="str">
        <f>"14101030109013"</f>
        <v>14101030109013</v>
      </c>
      <c r="I646">
        <v>10</v>
      </c>
      <c r="J646" s="3">
        <v>2</v>
      </c>
      <c r="K646" s="2">
        <v>23</v>
      </c>
      <c r="L646" s="3" t="s">
        <v>2</v>
      </c>
      <c r="M646" s="4">
        <v>41319</v>
      </c>
      <c r="N646" s="3">
        <v>147.84</v>
      </c>
    </row>
    <row r="647" spans="1:14" x14ac:dyDescent="0.25">
      <c r="A647" s="2">
        <v>646</v>
      </c>
      <c r="B647" s="3">
        <v>7606359</v>
      </c>
      <c r="C647" s="2" t="s">
        <v>278</v>
      </c>
      <c r="D647" s="3">
        <v>2</v>
      </c>
      <c r="E647" s="2">
        <v>76</v>
      </c>
      <c r="F647" s="2" t="str">
        <f t="shared" si="25"/>
        <v>SIN MODELO</v>
      </c>
      <c r="G647" s="2" t="str">
        <f>"14101030109014"</f>
        <v>14101030109014</v>
      </c>
      <c r="I647">
        <v>10</v>
      </c>
      <c r="J647" s="3">
        <v>2</v>
      </c>
      <c r="K647" s="2">
        <v>9</v>
      </c>
      <c r="L647" s="3" t="s">
        <v>2</v>
      </c>
      <c r="M647" s="4">
        <v>41319</v>
      </c>
      <c r="N647" s="3">
        <v>147.84</v>
      </c>
    </row>
    <row r="648" spans="1:14" x14ac:dyDescent="0.25">
      <c r="A648" s="2">
        <v>647</v>
      </c>
      <c r="B648" s="3">
        <v>6794574</v>
      </c>
      <c r="C648" s="2" t="s">
        <v>195</v>
      </c>
      <c r="D648" s="3">
        <v>1</v>
      </c>
      <c r="E648" s="2">
        <v>42</v>
      </c>
      <c r="F648" s="2" t="str">
        <f>"LV1911"</f>
        <v>LV1911</v>
      </c>
      <c r="G648" s="2" t="str">
        <f>"6CM22912HT"</f>
        <v>6CM22912HT</v>
      </c>
      <c r="I648">
        <v>20</v>
      </c>
      <c r="J648" s="3">
        <v>1</v>
      </c>
      <c r="K648" s="2">
        <v>4</v>
      </c>
      <c r="L648" s="3" t="s">
        <v>2</v>
      </c>
      <c r="M648" s="4">
        <v>41334</v>
      </c>
      <c r="N648" s="3">
        <v>157.02000000000001</v>
      </c>
    </row>
    <row r="649" spans="1:14" x14ac:dyDescent="0.25">
      <c r="A649" s="2">
        <v>648</v>
      </c>
      <c r="B649" s="3">
        <v>6794422</v>
      </c>
      <c r="C649" s="2" t="s">
        <v>145</v>
      </c>
      <c r="D649" s="3">
        <v>1</v>
      </c>
      <c r="E649" s="2">
        <v>42</v>
      </c>
      <c r="F649" s="2" t="str">
        <f>"COMPAQ 6300 MT"</f>
        <v>COMPAQ 6300 MT</v>
      </c>
      <c r="G649" s="2" t="str">
        <f>"MXL2500KXL"</f>
        <v>MXL2500KXL</v>
      </c>
      <c r="I649">
        <v>20</v>
      </c>
      <c r="J649" s="3">
        <v>1</v>
      </c>
      <c r="K649" s="2">
        <v>15</v>
      </c>
      <c r="L649" s="3" t="s">
        <v>2</v>
      </c>
      <c r="M649" s="4">
        <v>41373</v>
      </c>
      <c r="N649" s="3">
        <v>683.66</v>
      </c>
    </row>
    <row r="650" spans="1:14" x14ac:dyDescent="0.25">
      <c r="A650" s="2">
        <v>649</v>
      </c>
      <c r="B650" s="3">
        <v>6794423</v>
      </c>
      <c r="C650" s="2" t="s">
        <v>145</v>
      </c>
      <c r="D650" s="3">
        <v>1</v>
      </c>
      <c r="E650" s="2">
        <v>42</v>
      </c>
      <c r="F650" s="2" t="str">
        <f>"COMPAQ 6300 MT"</f>
        <v>COMPAQ 6300 MT</v>
      </c>
      <c r="G650" s="2" t="str">
        <f>"MXL2500KWS"</f>
        <v>MXL2500KWS</v>
      </c>
      <c r="I650">
        <v>20</v>
      </c>
      <c r="J650" s="3">
        <v>1</v>
      </c>
      <c r="K650" s="2">
        <v>2</v>
      </c>
      <c r="L650" s="3" t="s">
        <v>2</v>
      </c>
      <c r="M650" s="4">
        <v>41373</v>
      </c>
      <c r="N650" s="3">
        <v>683.66</v>
      </c>
    </row>
    <row r="651" spans="1:14" x14ac:dyDescent="0.25">
      <c r="A651" s="2">
        <v>650</v>
      </c>
      <c r="B651" s="3">
        <v>6794424</v>
      </c>
      <c r="C651" s="2" t="s">
        <v>145</v>
      </c>
      <c r="D651" s="3">
        <v>1</v>
      </c>
      <c r="E651" s="2">
        <v>42</v>
      </c>
      <c r="F651" s="2" t="str">
        <f>"COMPAQ 6300 MT"</f>
        <v>COMPAQ 6300 MT</v>
      </c>
      <c r="G651" s="2" t="str">
        <f>"MXL2500KY1"</f>
        <v>MXL2500KY1</v>
      </c>
      <c r="I651">
        <v>20</v>
      </c>
      <c r="J651" s="3">
        <v>1</v>
      </c>
      <c r="K651" s="2">
        <v>2</v>
      </c>
      <c r="L651" s="3" t="s">
        <v>2</v>
      </c>
      <c r="M651" s="4">
        <v>41373</v>
      </c>
      <c r="N651" s="3">
        <v>683.66</v>
      </c>
    </row>
    <row r="652" spans="1:14" x14ac:dyDescent="0.25">
      <c r="A652" s="2">
        <v>651</v>
      </c>
      <c r="B652" s="3">
        <v>6794425</v>
      </c>
      <c r="C652" s="2" t="s">
        <v>145</v>
      </c>
      <c r="D652" s="3">
        <v>1</v>
      </c>
      <c r="E652" s="2">
        <v>42</v>
      </c>
      <c r="F652" s="2" t="str">
        <f>"COMPAQ 6300 MT"</f>
        <v>COMPAQ 6300 MT</v>
      </c>
      <c r="G652" s="2" t="str">
        <f>"MXL2500KXZ"</f>
        <v>MXL2500KXZ</v>
      </c>
      <c r="I652">
        <v>20</v>
      </c>
      <c r="J652" s="3">
        <v>1</v>
      </c>
      <c r="K652" s="2">
        <v>39</v>
      </c>
      <c r="L652" s="3" t="s">
        <v>2</v>
      </c>
      <c r="M652" s="4">
        <v>41373</v>
      </c>
      <c r="N652" s="3">
        <v>683.66</v>
      </c>
    </row>
    <row r="653" spans="1:14" x14ac:dyDescent="0.25">
      <c r="A653" s="2">
        <v>652</v>
      </c>
      <c r="B653" s="3">
        <v>6794426</v>
      </c>
      <c r="C653" s="2" t="s">
        <v>145</v>
      </c>
      <c r="D653" s="3">
        <v>1</v>
      </c>
      <c r="E653" s="2">
        <v>42</v>
      </c>
      <c r="F653" s="2" t="str">
        <f>"COMPAQ 6300 MT"</f>
        <v>COMPAQ 6300 MT</v>
      </c>
      <c r="G653" s="2" t="str">
        <f>"MXL2500KXQ"</f>
        <v>MXL2500KXQ</v>
      </c>
      <c r="I653">
        <v>20</v>
      </c>
      <c r="J653" s="3">
        <v>1</v>
      </c>
      <c r="K653" s="2">
        <v>23</v>
      </c>
      <c r="L653" s="3" t="s">
        <v>2</v>
      </c>
      <c r="M653" s="4">
        <v>41373</v>
      </c>
      <c r="N653" s="3">
        <v>683.66</v>
      </c>
    </row>
    <row r="654" spans="1:14" x14ac:dyDescent="0.25">
      <c r="A654" s="2">
        <v>653</v>
      </c>
      <c r="B654" s="3">
        <v>6794427</v>
      </c>
      <c r="C654" s="2" t="s">
        <v>145</v>
      </c>
      <c r="D654" s="3">
        <v>1</v>
      </c>
      <c r="E654" s="2">
        <v>37</v>
      </c>
      <c r="F654" s="2" t="str">
        <f>"SIN MODELO"</f>
        <v>SIN MODELO</v>
      </c>
      <c r="G654" s="2" t="str">
        <f>"14101070101054"</f>
        <v>14101070101054</v>
      </c>
      <c r="I654">
        <v>24</v>
      </c>
      <c r="J654" s="3">
        <v>1</v>
      </c>
      <c r="K654" s="2">
        <v>39</v>
      </c>
      <c r="L654" s="3" t="s">
        <v>2</v>
      </c>
      <c r="M654" s="4">
        <v>41373</v>
      </c>
      <c r="N654" s="3">
        <v>514.24</v>
      </c>
    </row>
    <row r="655" spans="1:14" x14ac:dyDescent="0.25">
      <c r="A655" s="2">
        <v>654</v>
      </c>
      <c r="B655" s="3">
        <v>6794428</v>
      </c>
      <c r="C655" s="2" t="s">
        <v>145</v>
      </c>
      <c r="D655" s="3">
        <v>1</v>
      </c>
      <c r="E655" s="2">
        <v>37</v>
      </c>
      <c r="F655" s="2" t="str">
        <f>"SIN MODELO"</f>
        <v>SIN MODELO</v>
      </c>
      <c r="G655" s="2" t="str">
        <f>"14101070101055"</f>
        <v>14101070101055</v>
      </c>
      <c r="I655">
        <v>24</v>
      </c>
      <c r="J655" s="3">
        <v>1</v>
      </c>
      <c r="K655" s="2">
        <v>23</v>
      </c>
      <c r="L655" s="3" t="s">
        <v>2</v>
      </c>
      <c r="M655" s="4">
        <v>41373</v>
      </c>
      <c r="N655" s="3">
        <v>514.24</v>
      </c>
    </row>
    <row r="656" spans="1:14" x14ac:dyDescent="0.25">
      <c r="A656" s="2">
        <v>655</v>
      </c>
      <c r="B656" s="3">
        <v>6794429</v>
      </c>
      <c r="C656" s="2" t="s">
        <v>145</v>
      </c>
      <c r="D656" s="3">
        <v>1</v>
      </c>
      <c r="E656" s="2">
        <v>37</v>
      </c>
      <c r="F656" s="2" t="str">
        <f>"SIN MODELO"</f>
        <v>SIN MODELO</v>
      </c>
      <c r="G656" s="2" t="str">
        <f>"14101070101056"</f>
        <v>14101070101056</v>
      </c>
      <c r="I656">
        <v>24</v>
      </c>
      <c r="J656" s="3">
        <v>1</v>
      </c>
      <c r="K656" s="2">
        <v>39</v>
      </c>
      <c r="L656" s="3" t="s">
        <v>2</v>
      </c>
      <c r="M656" s="4">
        <v>41373</v>
      </c>
      <c r="N656" s="3">
        <v>514.24</v>
      </c>
    </row>
    <row r="657" spans="1:14" x14ac:dyDescent="0.25">
      <c r="A657" s="2">
        <v>656</v>
      </c>
      <c r="B657" s="3">
        <v>6794430</v>
      </c>
      <c r="C657" s="2" t="s">
        <v>145</v>
      </c>
      <c r="D657" s="3">
        <v>1</v>
      </c>
      <c r="E657" s="2">
        <v>37</v>
      </c>
      <c r="F657" s="2" t="str">
        <f>"SIN MODELO"</f>
        <v>SIN MODELO</v>
      </c>
      <c r="G657" s="2" t="str">
        <f>"14101070101057"</f>
        <v>14101070101057</v>
      </c>
      <c r="I657">
        <v>24</v>
      </c>
      <c r="J657" s="3">
        <v>1</v>
      </c>
      <c r="K657" s="2">
        <v>30</v>
      </c>
      <c r="L657" s="3" t="s">
        <v>2</v>
      </c>
      <c r="M657" s="4">
        <v>41373</v>
      </c>
      <c r="N657" s="3">
        <v>514.24</v>
      </c>
    </row>
    <row r="658" spans="1:14" x14ac:dyDescent="0.25">
      <c r="A658" s="2">
        <v>657</v>
      </c>
      <c r="B658" s="3">
        <v>6794462</v>
      </c>
      <c r="C658" s="2" t="s">
        <v>192</v>
      </c>
      <c r="D658" s="3">
        <v>1</v>
      </c>
      <c r="E658" s="2">
        <v>42</v>
      </c>
      <c r="F658" s="2" t="str">
        <f>"CP1025NW"</f>
        <v>CP1025NW</v>
      </c>
      <c r="G658" s="2" t="str">
        <f>"CNB2Q15708"</f>
        <v>CNB2Q15708</v>
      </c>
      <c r="I658">
        <v>5</v>
      </c>
      <c r="J658" s="3">
        <v>1</v>
      </c>
      <c r="K658" s="2">
        <v>39</v>
      </c>
      <c r="L658" s="3" t="s">
        <v>2</v>
      </c>
      <c r="M658" s="4">
        <v>41373</v>
      </c>
      <c r="N658" s="3">
        <v>291.60000000000002</v>
      </c>
    </row>
    <row r="659" spans="1:14" x14ac:dyDescent="0.25">
      <c r="A659" s="2">
        <v>658</v>
      </c>
      <c r="B659" s="3">
        <v>6794473</v>
      </c>
      <c r="C659" s="2" t="s">
        <v>252</v>
      </c>
      <c r="D659" s="3">
        <v>2</v>
      </c>
      <c r="E659" s="2">
        <v>76</v>
      </c>
      <c r="F659" s="2" t="str">
        <f>"42 UR"</f>
        <v>42 UR</v>
      </c>
      <c r="G659" s="2" t="str">
        <f>"14101070107001"</f>
        <v>14101070107001</v>
      </c>
      <c r="I659">
        <v>20</v>
      </c>
      <c r="J659" s="3">
        <v>2</v>
      </c>
      <c r="K659" s="2">
        <v>4</v>
      </c>
      <c r="L659" s="3" t="s">
        <v>2</v>
      </c>
      <c r="M659" s="4">
        <v>41373</v>
      </c>
      <c r="N659" s="5">
        <v>1600</v>
      </c>
    </row>
    <row r="660" spans="1:14" x14ac:dyDescent="0.25">
      <c r="A660" s="2">
        <v>659</v>
      </c>
      <c r="B660" s="3">
        <v>6794479</v>
      </c>
      <c r="C660" s="2" t="s">
        <v>249</v>
      </c>
      <c r="D660" s="3">
        <v>1</v>
      </c>
      <c r="E660" s="2">
        <v>42</v>
      </c>
      <c r="F660" s="2" t="str">
        <f>"G2710"</f>
        <v>G2710</v>
      </c>
      <c r="G660" s="2" t="str">
        <f>"CN249AD0V6"</f>
        <v>CN249AD0V6</v>
      </c>
      <c r="I660">
        <v>5</v>
      </c>
      <c r="J660" s="3">
        <v>1</v>
      </c>
      <c r="K660" s="2">
        <v>39</v>
      </c>
      <c r="L660" s="3" t="s">
        <v>2</v>
      </c>
      <c r="M660" s="4">
        <v>41373</v>
      </c>
      <c r="N660" s="3">
        <v>102.6</v>
      </c>
    </row>
    <row r="661" spans="1:14" x14ac:dyDescent="0.25">
      <c r="A661" s="2">
        <v>660</v>
      </c>
      <c r="B661" s="3">
        <v>6794485</v>
      </c>
      <c r="C661" s="2" t="s">
        <v>201</v>
      </c>
      <c r="D661" s="3">
        <v>1</v>
      </c>
      <c r="E661" s="2">
        <v>42</v>
      </c>
      <c r="F661" s="2" t="str">
        <f>"J9663A"</f>
        <v>J9663A</v>
      </c>
      <c r="G661" s="2" t="str">
        <f>"7893552003130"</f>
        <v>7893552003130</v>
      </c>
      <c r="I661">
        <v>13</v>
      </c>
      <c r="J661" s="3">
        <v>1</v>
      </c>
      <c r="K661" s="2">
        <v>39</v>
      </c>
      <c r="L661" s="3" t="s">
        <v>2</v>
      </c>
      <c r="M661" s="4">
        <v>41373</v>
      </c>
      <c r="N661" s="3">
        <v>123.5</v>
      </c>
    </row>
    <row r="662" spans="1:14" x14ac:dyDescent="0.25">
      <c r="A662" s="2">
        <v>661</v>
      </c>
      <c r="B662" s="3">
        <v>6794492</v>
      </c>
      <c r="C662" s="2" t="s">
        <v>257</v>
      </c>
      <c r="D662" s="3">
        <v>1</v>
      </c>
      <c r="E662" s="2">
        <v>32</v>
      </c>
      <c r="F662" s="2" t="str">
        <f>"VT 3 KVA"</f>
        <v>VT 3 KVA</v>
      </c>
      <c r="G662" s="2" t="str">
        <f>"83311210100309"</f>
        <v>83311210100309</v>
      </c>
      <c r="I662">
        <v>20</v>
      </c>
      <c r="J662" s="3">
        <v>1</v>
      </c>
      <c r="K662" s="2">
        <v>4</v>
      </c>
      <c r="L662" s="3" t="s">
        <v>2</v>
      </c>
      <c r="M662" s="4">
        <v>41373</v>
      </c>
      <c r="N662" s="5">
        <v>1429</v>
      </c>
    </row>
    <row r="663" spans="1:14" x14ac:dyDescent="0.25">
      <c r="A663" s="2">
        <v>662</v>
      </c>
      <c r="B663" s="3">
        <v>6794547</v>
      </c>
      <c r="C663" s="2" t="s">
        <v>195</v>
      </c>
      <c r="D663" s="3">
        <v>1</v>
      </c>
      <c r="E663" s="2">
        <v>42</v>
      </c>
      <c r="F663" s="2" t="str">
        <f>"LV1911"</f>
        <v>LV1911</v>
      </c>
      <c r="G663" s="2" t="str">
        <f>"6CM2300K18"</f>
        <v>6CM2300K18</v>
      </c>
      <c r="I663">
        <v>20</v>
      </c>
      <c r="J663" s="3">
        <v>1</v>
      </c>
      <c r="K663" s="2">
        <v>15</v>
      </c>
      <c r="L663" s="3" t="s">
        <v>2</v>
      </c>
      <c r="M663" s="4">
        <v>41373</v>
      </c>
      <c r="N663" s="3">
        <v>121.69</v>
      </c>
    </row>
    <row r="664" spans="1:14" x14ac:dyDescent="0.25">
      <c r="A664" s="2">
        <v>663</v>
      </c>
      <c r="B664" s="3">
        <v>6794548</v>
      </c>
      <c r="C664" s="2" t="s">
        <v>195</v>
      </c>
      <c r="D664" s="3">
        <v>1</v>
      </c>
      <c r="E664" s="2">
        <v>42</v>
      </c>
      <c r="F664" s="2" t="str">
        <f>"LV1911"</f>
        <v>LV1911</v>
      </c>
      <c r="G664" s="2" t="str">
        <f>"6CM2270RR2"</f>
        <v>6CM2270RR2</v>
      </c>
      <c r="I664">
        <v>20</v>
      </c>
      <c r="J664" s="3">
        <v>1</v>
      </c>
      <c r="K664" s="2">
        <v>23</v>
      </c>
      <c r="L664" s="3" t="s">
        <v>2</v>
      </c>
      <c r="M664" s="4">
        <v>41373</v>
      </c>
      <c r="N664" s="3">
        <v>121.69</v>
      </c>
    </row>
    <row r="665" spans="1:14" x14ac:dyDescent="0.25">
      <c r="A665" s="2">
        <v>664</v>
      </c>
      <c r="B665" s="3">
        <v>6794549</v>
      </c>
      <c r="C665" s="2" t="s">
        <v>195</v>
      </c>
      <c r="D665" s="3">
        <v>1</v>
      </c>
      <c r="E665" s="2">
        <v>42</v>
      </c>
      <c r="F665" s="2" t="str">
        <f>"LV1911"</f>
        <v>LV1911</v>
      </c>
      <c r="G665" s="2" t="str">
        <f>"6CM2270QCC"</f>
        <v>6CM2270QCC</v>
      </c>
      <c r="I665">
        <v>20</v>
      </c>
      <c r="J665" s="3">
        <v>1</v>
      </c>
      <c r="K665" s="2">
        <v>2</v>
      </c>
      <c r="L665" s="3" t="s">
        <v>2</v>
      </c>
      <c r="M665" s="4">
        <v>41373</v>
      </c>
      <c r="N665" s="3">
        <v>121.69</v>
      </c>
    </row>
    <row r="666" spans="1:14" x14ac:dyDescent="0.25">
      <c r="A666" s="2">
        <v>665</v>
      </c>
      <c r="B666" s="3">
        <v>6794550</v>
      </c>
      <c r="C666" s="2" t="s">
        <v>195</v>
      </c>
      <c r="D666" s="3">
        <v>1</v>
      </c>
      <c r="E666" s="2">
        <v>42</v>
      </c>
      <c r="F666" s="2" t="str">
        <f>"LV1911"</f>
        <v>LV1911</v>
      </c>
      <c r="G666" s="2" t="str">
        <f>"6CM2270QBQ"</f>
        <v>6CM2270QBQ</v>
      </c>
      <c r="I666">
        <v>20</v>
      </c>
      <c r="J666" s="3">
        <v>1</v>
      </c>
      <c r="K666" s="2">
        <v>26</v>
      </c>
      <c r="L666" s="3" t="s">
        <v>2</v>
      </c>
      <c r="M666" s="4">
        <v>41373</v>
      </c>
      <c r="N666" s="3">
        <v>121.69</v>
      </c>
    </row>
    <row r="667" spans="1:14" x14ac:dyDescent="0.25">
      <c r="A667" s="2">
        <v>666</v>
      </c>
      <c r="B667" s="3">
        <v>6794551</v>
      </c>
      <c r="C667" s="2" t="s">
        <v>195</v>
      </c>
      <c r="D667" s="3">
        <v>1</v>
      </c>
      <c r="E667" s="2">
        <v>42</v>
      </c>
      <c r="F667" s="2" t="str">
        <f>"LV1911"</f>
        <v>LV1911</v>
      </c>
      <c r="G667" s="2" t="str">
        <f>"6CM2270QBV"</f>
        <v>6CM2270QBV</v>
      </c>
      <c r="I667">
        <v>20</v>
      </c>
      <c r="J667" s="3">
        <v>1</v>
      </c>
      <c r="K667" s="2">
        <v>39</v>
      </c>
      <c r="L667" s="3" t="s">
        <v>2</v>
      </c>
      <c r="M667" s="4">
        <v>41373</v>
      </c>
      <c r="N667" s="3">
        <v>121.69</v>
      </c>
    </row>
    <row r="668" spans="1:14" x14ac:dyDescent="0.25">
      <c r="A668" s="2">
        <v>667</v>
      </c>
      <c r="B668" s="3">
        <v>6794552</v>
      </c>
      <c r="C668" s="2" t="s">
        <v>195</v>
      </c>
      <c r="D668" s="3">
        <v>1</v>
      </c>
      <c r="E668" s="2">
        <v>50</v>
      </c>
      <c r="F668" s="2" t="str">
        <f>"E1642CA"</f>
        <v>E1642CA</v>
      </c>
      <c r="G668" s="2" t="str">
        <f>"209INFK9L683"</f>
        <v>209INFK9L683</v>
      </c>
      <c r="I668">
        <v>20</v>
      </c>
      <c r="J668" s="3">
        <v>1</v>
      </c>
      <c r="K668" s="2">
        <v>39</v>
      </c>
      <c r="L668" s="3" t="s">
        <v>2</v>
      </c>
      <c r="M668" s="4">
        <v>41373</v>
      </c>
      <c r="N668" s="3">
        <v>100.35</v>
      </c>
    </row>
    <row r="669" spans="1:14" x14ac:dyDescent="0.25">
      <c r="A669" s="2">
        <v>668</v>
      </c>
      <c r="B669" s="3">
        <v>6794553</v>
      </c>
      <c r="C669" s="2" t="s">
        <v>195</v>
      </c>
      <c r="D669" s="3">
        <v>1</v>
      </c>
      <c r="E669" s="2">
        <v>50</v>
      </c>
      <c r="F669" s="2" t="str">
        <f>"E1642CA"</f>
        <v>E1642CA</v>
      </c>
      <c r="G669" s="2" t="str">
        <f>"209INUB9L606"</f>
        <v>209INUB9L606</v>
      </c>
      <c r="I669">
        <v>20</v>
      </c>
      <c r="J669" s="3">
        <v>1</v>
      </c>
      <c r="K669" s="2">
        <v>30</v>
      </c>
      <c r="L669" s="3" t="s">
        <v>2</v>
      </c>
      <c r="M669" s="4">
        <v>41373</v>
      </c>
      <c r="N669" s="3">
        <v>100.35</v>
      </c>
    </row>
    <row r="670" spans="1:14" x14ac:dyDescent="0.25">
      <c r="A670" s="2">
        <v>669</v>
      </c>
      <c r="B670" s="3">
        <v>6794554</v>
      </c>
      <c r="C670" s="2" t="s">
        <v>195</v>
      </c>
      <c r="D670" s="3">
        <v>1</v>
      </c>
      <c r="E670" s="2">
        <v>50</v>
      </c>
      <c r="F670" s="2" t="str">
        <f>"E1642CA"</f>
        <v>E1642CA</v>
      </c>
      <c r="G670" s="2" t="str">
        <f>"209INWA9L633"</f>
        <v>209INWA9L633</v>
      </c>
      <c r="I670">
        <v>20</v>
      </c>
      <c r="J670" s="3">
        <v>1</v>
      </c>
      <c r="K670" s="2">
        <v>39</v>
      </c>
      <c r="L670" s="3" t="s">
        <v>2</v>
      </c>
      <c r="M670" s="4">
        <v>41373</v>
      </c>
      <c r="N670" s="3">
        <v>100.35</v>
      </c>
    </row>
    <row r="671" spans="1:14" x14ac:dyDescent="0.25">
      <c r="A671" s="2">
        <v>670</v>
      </c>
      <c r="B671" s="3">
        <v>6794555</v>
      </c>
      <c r="C671" s="2" t="s">
        <v>195</v>
      </c>
      <c r="D671" s="3">
        <v>1</v>
      </c>
      <c r="E671" s="2">
        <v>50</v>
      </c>
      <c r="F671" s="2" t="str">
        <f>"E1642CA"</f>
        <v>E1642CA</v>
      </c>
      <c r="G671" s="2" t="str">
        <f>"209INKH9N325"</f>
        <v>209INKH9N325</v>
      </c>
      <c r="I671">
        <v>20</v>
      </c>
      <c r="J671" s="3">
        <v>1</v>
      </c>
      <c r="K671" s="2">
        <v>2</v>
      </c>
      <c r="L671" s="3" t="s">
        <v>2</v>
      </c>
      <c r="M671" s="4">
        <v>41373</v>
      </c>
      <c r="N671" s="3">
        <v>100.35</v>
      </c>
    </row>
    <row r="672" spans="1:14" x14ac:dyDescent="0.25">
      <c r="A672" s="2">
        <v>671</v>
      </c>
      <c r="B672" s="3">
        <v>7602762</v>
      </c>
      <c r="C672" s="2" t="s">
        <v>250</v>
      </c>
      <c r="D672" s="3">
        <v>1</v>
      </c>
      <c r="E672" s="2">
        <v>45</v>
      </c>
      <c r="F672" s="2" t="str">
        <f>"PET12C1PR1"</f>
        <v>PET12C1PR1</v>
      </c>
      <c r="G672" s="2" t="str">
        <f>"D205016710112504200144"</f>
        <v>D205016710112504200144</v>
      </c>
      <c r="I672">
        <v>5</v>
      </c>
      <c r="J672" s="3">
        <v>1</v>
      </c>
      <c r="K672" s="2">
        <v>4</v>
      </c>
      <c r="L672" s="3" t="s">
        <v>2</v>
      </c>
      <c r="M672" s="4">
        <v>41373</v>
      </c>
      <c r="N672" s="3">
        <v>860.93</v>
      </c>
    </row>
    <row r="673" spans="1:14" x14ac:dyDescent="0.25">
      <c r="A673" s="2">
        <v>672</v>
      </c>
      <c r="B673" s="3">
        <v>7602767</v>
      </c>
      <c r="C673" s="2" t="s">
        <v>193</v>
      </c>
      <c r="D673" s="3">
        <v>1</v>
      </c>
      <c r="E673" s="2">
        <v>81</v>
      </c>
      <c r="F673" s="2" t="str">
        <f>"LS 2208"</f>
        <v>LS 2208</v>
      </c>
      <c r="G673" s="2" t="str">
        <f>"YAEB02"</f>
        <v>YAEB02</v>
      </c>
      <c r="I673">
        <v>13</v>
      </c>
      <c r="J673" s="3">
        <v>1</v>
      </c>
      <c r="K673" s="2">
        <v>4</v>
      </c>
      <c r="L673" s="3" t="s">
        <v>2</v>
      </c>
      <c r="M673" s="4">
        <v>41373</v>
      </c>
      <c r="N673" s="3">
        <v>196.93</v>
      </c>
    </row>
    <row r="674" spans="1:14" x14ac:dyDescent="0.25">
      <c r="A674" s="2">
        <v>673</v>
      </c>
      <c r="B674" s="3">
        <v>7602768</v>
      </c>
      <c r="C674" s="2" t="s">
        <v>193</v>
      </c>
      <c r="D674" s="3">
        <v>1</v>
      </c>
      <c r="E674" s="2">
        <v>81</v>
      </c>
      <c r="F674" s="2" t="str">
        <f>"LS 2208"</f>
        <v>LS 2208</v>
      </c>
      <c r="G674" s="2" t="str">
        <f>"YAEB10"</f>
        <v>YAEB10</v>
      </c>
      <c r="I674">
        <v>13</v>
      </c>
      <c r="J674" s="3">
        <v>1</v>
      </c>
      <c r="K674" s="2">
        <v>4</v>
      </c>
      <c r="L674" s="3" t="s">
        <v>2</v>
      </c>
      <c r="M674" s="4">
        <v>41373</v>
      </c>
      <c r="N674" s="3">
        <v>196.93</v>
      </c>
    </row>
    <row r="675" spans="1:14" x14ac:dyDescent="0.25">
      <c r="A675" s="2">
        <v>674</v>
      </c>
      <c r="B675" s="3">
        <v>7602769</v>
      </c>
      <c r="C675" s="2" t="s">
        <v>193</v>
      </c>
      <c r="D675" s="3">
        <v>1</v>
      </c>
      <c r="E675" s="2">
        <v>81</v>
      </c>
      <c r="F675" s="2" t="str">
        <f>"LS 2208"</f>
        <v>LS 2208</v>
      </c>
      <c r="G675" s="2" t="str">
        <f>"YAEB0W"</f>
        <v>YAEB0W</v>
      </c>
      <c r="I675">
        <v>13</v>
      </c>
      <c r="J675" s="3">
        <v>1</v>
      </c>
      <c r="K675" s="2">
        <v>4</v>
      </c>
      <c r="L675" s="3" t="s">
        <v>2</v>
      </c>
      <c r="M675" s="4">
        <v>41373</v>
      </c>
      <c r="N675" s="3">
        <v>196.93</v>
      </c>
    </row>
    <row r="676" spans="1:14" x14ac:dyDescent="0.25">
      <c r="A676" s="2">
        <v>675</v>
      </c>
      <c r="B676" s="3">
        <v>7602780</v>
      </c>
      <c r="C676" s="2" t="s">
        <v>208</v>
      </c>
      <c r="D676" s="3">
        <v>1</v>
      </c>
      <c r="E676" s="2">
        <v>31</v>
      </c>
      <c r="F676" s="2" t="str">
        <f>"H430A"</f>
        <v>H430A</v>
      </c>
      <c r="G676" s="2" t="str">
        <f>"PSPK2903121"</f>
        <v>PSPK2903121</v>
      </c>
      <c r="I676">
        <v>20</v>
      </c>
      <c r="J676" s="3">
        <v>1</v>
      </c>
      <c r="K676" s="2">
        <v>4</v>
      </c>
      <c r="L676" s="3" t="s">
        <v>2</v>
      </c>
      <c r="M676" s="4">
        <v>41373</v>
      </c>
      <c r="N676" s="3">
        <v>808.86</v>
      </c>
    </row>
    <row r="677" spans="1:14" x14ac:dyDescent="0.25">
      <c r="A677" s="2">
        <v>676</v>
      </c>
      <c r="B677" s="3">
        <v>7602818</v>
      </c>
      <c r="C677" s="2" t="s">
        <v>219</v>
      </c>
      <c r="D677" s="3">
        <v>1</v>
      </c>
      <c r="E677" s="2">
        <v>64</v>
      </c>
      <c r="F677" s="2" t="str">
        <f>"PG46515"</f>
        <v>PG46515</v>
      </c>
      <c r="G677" s="2" t="str">
        <f>"110C6501710"</f>
        <v>110C6501710</v>
      </c>
      <c r="I677">
        <v>1</v>
      </c>
      <c r="J677" s="3">
        <v>1</v>
      </c>
      <c r="K677" s="2">
        <v>23</v>
      </c>
      <c r="L677" s="3" t="s">
        <v>2</v>
      </c>
      <c r="M677" s="4">
        <v>41373</v>
      </c>
      <c r="N677" s="3">
        <v>323.39999999999998</v>
      </c>
    </row>
    <row r="678" spans="1:14" x14ac:dyDescent="0.25">
      <c r="A678" s="2">
        <v>677</v>
      </c>
      <c r="B678" s="3">
        <v>13382648</v>
      </c>
      <c r="C678" s="2" t="s">
        <v>201</v>
      </c>
      <c r="D678" s="3">
        <v>1</v>
      </c>
      <c r="E678" s="2">
        <v>83</v>
      </c>
      <c r="F678" s="2" t="str">
        <f>"TK 409"</f>
        <v>TK 409</v>
      </c>
      <c r="G678" s="2" t="str">
        <f>"UN12204092524"</f>
        <v>UN12204092524</v>
      </c>
      <c r="I678">
        <v>2</v>
      </c>
      <c r="J678" s="3">
        <v>1</v>
      </c>
      <c r="K678" s="2">
        <v>39</v>
      </c>
      <c r="L678" s="3" t="s">
        <v>2</v>
      </c>
      <c r="M678" s="4">
        <v>41373</v>
      </c>
      <c r="N678" s="3">
        <v>63.51</v>
      </c>
    </row>
    <row r="679" spans="1:14" x14ac:dyDescent="0.25">
      <c r="A679" s="2">
        <v>678</v>
      </c>
      <c r="B679" s="3">
        <v>13382649</v>
      </c>
      <c r="C679" s="2" t="s">
        <v>201</v>
      </c>
      <c r="D679" s="3">
        <v>1</v>
      </c>
      <c r="E679" s="2">
        <v>83</v>
      </c>
      <c r="F679" s="2" t="str">
        <f>"TK 407"</f>
        <v>TK 407</v>
      </c>
      <c r="G679" s="2" t="str">
        <f>"UN12304071428"</f>
        <v>UN12304071428</v>
      </c>
      <c r="I679">
        <v>2</v>
      </c>
      <c r="J679" s="3">
        <v>1</v>
      </c>
      <c r="K679" s="2">
        <v>4</v>
      </c>
      <c r="L679" s="3" t="s">
        <v>2</v>
      </c>
      <c r="M679" s="4">
        <v>41373</v>
      </c>
      <c r="N679" s="3">
        <v>63.51</v>
      </c>
    </row>
    <row r="680" spans="1:14" x14ac:dyDescent="0.25">
      <c r="A680" s="2">
        <v>679</v>
      </c>
      <c r="B680" s="3">
        <v>13382679</v>
      </c>
      <c r="C680" s="2" t="s">
        <v>198</v>
      </c>
      <c r="D680" s="3">
        <v>1</v>
      </c>
      <c r="E680" s="2">
        <v>42</v>
      </c>
      <c r="F680" s="2" t="str">
        <f>"KB 0316"</f>
        <v>KB 0316</v>
      </c>
      <c r="G680" s="2" t="str">
        <f>"BAUDU0OVB2M571"</f>
        <v>BAUDU0OVB2M571</v>
      </c>
      <c r="I680">
        <v>20</v>
      </c>
      <c r="J680" s="3">
        <v>1</v>
      </c>
      <c r="K680" s="2">
        <v>30</v>
      </c>
      <c r="L680" s="3" t="s">
        <v>2</v>
      </c>
      <c r="M680" s="4">
        <v>41373</v>
      </c>
      <c r="N680" s="3">
        <v>11.09</v>
      </c>
    </row>
    <row r="681" spans="1:14" x14ac:dyDescent="0.25">
      <c r="A681" s="2">
        <v>680</v>
      </c>
      <c r="B681" s="3">
        <v>13382680</v>
      </c>
      <c r="C681" s="2" t="s">
        <v>198</v>
      </c>
      <c r="D681" s="3">
        <v>1</v>
      </c>
      <c r="E681" s="2">
        <v>42</v>
      </c>
      <c r="F681" s="2" t="str">
        <f>"KB 0316"</f>
        <v>KB 0316</v>
      </c>
      <c r="G681" s="2" t="str">
        <f>"BDAEV0QVB3K6CJ"</f>
        <v>BDAEV0QVB3K6CJ</v>
      </c>
      <c r="I681">
        <v>20</v>
      </c>
      <c r="J681" s="3">
        <v>1</v>
      </c>
      <c r="K681" s="2">
        <v>39</v>
      </c>
      <c r="L681" s="3" t="s">
        <v>2</v>
      </c>
      <c r="M681" s="4">
        <v>41373</v>
      </c>
      <c r="N681" s="3">
        <v>11.09</v>
      </c>
    </row>
    <row r="682" spans="1:14" x14ac:dyDescent="0.25">
      <c r="A682" s="2">
        <v>681</v>
      </c>
      <c r="B682" s="3">
        <v>13382681</v>
      </c>
      <c r="C682" s="2" t="s">
        <v>198</v>
      </c>
      <c r="D682" s="3">
        <v>1</v>
      </c>
      <c r="E682" s="2">
        <v>42</v>
      </c>
      <c r="F682" s="2" t="str">
        <f>"KB 0316"</f>
        <v>KB 0316</v>
      </c>
      <c r="G682" s="2" t="str">
        <f>"BDAEV0QVB3NATW"</f>
        <v>BDAEV0QVB3NATW</v>
      </c>
      <c r="I682">
        <v>20</v>
      </c>
      <c r="J682" s="3">
        <v>1</v>
      </c>
      <c r="K682" s="2">
        <v>15</v>
      </c>
      <c r="L682" s="3" t="s">
        <v>2</v>
      </c>
      <c r="M682" s="4">
        <v>41373</v>
      </c>
      <c r="N682" s="3">
        <v>11.09</v>
      </c>
    </row>
    <row r="683" spans="1:14" x14ac:dyDescent="0.25">
      <c r="A683" s="2">
        <v>682</v>
      </c>
      <c r="B683" s="3">
        <v>13382682</v>
      </c>
      <c r="C683" s="2" t="s">
        <v>198</v>
      </c>
      <c r="D683" s="3">
        <v>1</v>
      </c>
      <c r="E683" s="2">
        <v>42</v>
      </c>
      <c r="F683" s="2" t="str">
        <f>"KB 0316"</f>
        <v>KB 0316</v>
      </c>
      <c r="G683" s="2" t="str">
        <f>"BDAEV0QVB3K6BS"</f>
        <v>BDAEV0QVB3K6BS</v>
      </c>
      <c r="I683">
        <v>20</v>
      </c>
      <c r="J683" s="3">
        <v>1</v>
      </c>
      <c r="K683" s="2">
        <v>39</v>
      </c>
      <c r="L683" s="3" t="s">
        <v>2</v>
      </c>
      <c r="M683" s="4">
        <v>41373</v>
      </c>
      <c r="N683" s="3">
        <v>11.09</v>
      </c>
    </row>
    <row r="684" spans="1:14" x14ac:dyDescent="0.25">
      <c r="A684" s="2">
        <v>683</v>
      </c>
      <c r="B684" s="3">
        <v>13382683</v>
      </c>
      <c r="C684" s="2" t="s">
        <v>198</v>
      </c>
      <c r="D684" s="3">
        <v>1</v>
      </c>
      <c r="E684" s="2">
        <v>42</v>
      </c>
      <c r="F684" s="2" t="str">
        <f>"KB 0316"</f>
        <v>KB 0316</v>
      </c>
      <c r="G684" s="2" t="str">
        <f>"BDAEV0QVB3K6CO"</f>
        <v>BDAEV0QVB3K6CO</v>
      </c>
      <c r="I684">
        <v>20</v>
      </c>
      <c r="J684" s="3">
        <v>1</v>
      </c>
      <c r="K684" s="2">
        <v>39</v>
      </c>
      <c r="L684" s="3" t="s">
        <v>2</v>
      </c>
      <c r="M684" s="4">
        <v>41373</v>
      </c>
      <c r="N684" s="3">
        <v>11.09</v>
      </c>
    </row>
    <row r="685" spans="1:14" x14ac:dyDescent="0.25">
      <c r="A685" s="2">
        <v>684</v>
      </c>
      <c r="B685" s="3">
        <v>13382684</v>
      </c>
      <c r="C685" s="2" t="s">
        <v>198</v>
      </c>
      <c r="D685" s="3">
        <v>1</v>
      </c>
      <c r="E685" s="2">
        <v>70</v>
      </c>
      <c r="F685" s="2" t="str">
        <f>"SX K818"</f>
        <v>SX K818</v>
      </c>
      <c r="G685" s="2" t="str">
        <f>"63445070103035"</f>
        <v>63445070103035</v>
      </c>
      <c r="I685">
        <v>24</v>
      </c>
      <c r="J685" s="3">
        <v>1</v>
      </c>
      <c r="K685" s="2">
        <v>4</v>
      </c>
      <c r="L685" s="3" t="s">
        <v>2</v>
      </c>
      <c r="M685" s="4">
        <v>41373</v>
      </c>
      <c r="N685" s="3">
        <v>8.4700000000000006</v>
      </c>
    </row>
    <row r="686" spans="1:14" x14ac:dyDescent="0.25">
      <c r="A686" s="2">
        <v>685</v>
      </c>
      <c r="B686" s="3">
        <v>13382685</v>
      </c>
      <c r="C686" s="2" t="s">
        <v>198</v>
      </c>
      <c r="D686" s="3">
        <v>1</v>
      </c>
      <c r="E686" s="2">
        <v>70</v>
      </c>
      <c r="F686" s="2" t="str">
        <f>"S/MODELO"</f>
        <v>S/MODELO</v>
      </c>
      <c r="G686" s="2" t="str">
        <f>"63445070103036"</f>
        <v>63445070103036</v>
      </c>
      <c r="I686">
        <v>20</v>
      </c>
      <c r="J686" s="3">
        <v>1</v>
      </c>
      <c r="K686" s="2">
        <v>18</v>
      </c>
      <c r="L686" s="3" t="s">
        <v>2</v>
      </c>
      <c r="M686" s="4">
        <v>41373</v>
      </c>
      <c r="N686" s="3">
        <v>8.4700000000000006</v>
      </c>
    </row>
    <row r="687" spans="1:14" x14ac:dyDescent="0.25">
      <c r="A687" s="2">
        <v>686</v>
      </c>
      <c r="B687" s="3">
        <v>13382686</v>
      </c>
      <c r="C687" s="2" t="s">
        <v>198</v>
      </c>
      <c r="D687" s="3">
        <v>1</v>
      </c>
      <c r="E687" s="2">
        <v>70</v>
      </c>
      <c r="F687" s="2" t="str">
        <f>"SX K818"</f>
        <v>SX K818</v>
      </c>
      <c r="G687" s="2" t="str">
        <f>"63445070103037"</f>
        <v>63445070103037</v>
      </c>
      <c r="I687">
        <v>24</v>
      </c>
      <c r="J687" s="3">
        <v>1</v>
      </c>
      <c r="K687" s="2">
        <v>23</v>
      </c>
      <c r="L687" s="3" t="s">
        <v>2</v>
      </c>
      <c r="M687" s="4">
        <v>41373</v>
      </c>
      <c r="N687" s="3">
        <v>8.4700000000000006</v>
      </c>
    </row>
    <row r="688" spans="1:14" x14ac:dyDescent="0.25">
      <c r="A688" s="2">
        <v>687</v>
      </c>
      <c r="B688" s="3">
        <v>13382687</v>
      </c>
      <c r="C688" s="2" t="s">
        <v>198</v>
      </c>
      <c r="D688" s="3">
        <v>1</v>
      </c>
      <c r="E688" s="2">
        <v>70</v>
      </c>
      <c r="F688" s="2" t="str">
        <f>"SX K818"</f>
        <v>SX K818</v>
      </c>
      <c r="G688" s="2" t="str">
        <f>"63445070103038"</f>
        <v>63445070103038</v>
      </c>
      <c r="I688">
        <v>24</v>
      </c>
      <c r="J688" s="3">
        <v>1</v>
      </c>
      <c r="K688" s="2">
        <v>39</v>
      </c>
      <c r="L688" s="3" t="s">
        <v>2</v>
      </c>
      <c r="M688" s="4">
        <v>41373</v>
      </c>
      <c r="N688" s="3">
        <v>8.4700000000000006</v>
      </c>
    </row>
    <row r="689" spans="1:14" x14ac:dyDescent="0.25">
      <c r="A689" s="2">
        <v>688</v>
      </c>
      <c r="B689" s="3">
        <v>13382688</v>
      </c>
      <c r="C689" s="2" t="s">
        <v>198</v>
      </c>
      <c r="D689" s="3">
        <v>1</v>
      </c>
      <c r="E689" s="2">
        <v>38</v>
      </c>
      <c r="F689" s="2" t="str">
        <f>"K640"</f>
        <v>K640</v>
      </c>
      <c r="G689" s="2" t="str">
        <f>"ZM7305002163"</f>
        <v>ZM7305002163</v>
      </c>
      <c r="I689">
        <v>20</v>
      </c>
      <c r="J689" s="3">
        <v>1</v>
      </c>
      <c r="K689" s="2">
        <v>2</v>
      </c>
      <c r="L689" s="3" t="s">
        <v>2</v>
      </c>
      <c r="M689" s="4">
        <v>41373</v>
      </c>
      <c r="N689" s="3">
        <v>12.04</v>
      </c>
    </row>
    <row r="690" spans="1:14" x14ac:dyDescent="0.25">
      <c r="A690" s="2">
        <v>689</v>
      </c>
      <c r="B690" s="3">
        <v>13382691</v>
      </c>
      <c r="C690" s="2" t="s">
        <v>197</v>
      </c>
      <c r="D690" s="3">
        <v>1</v>
      </c>
      <c r="E690" s="2">
        <v>38</v>
      </c>
      <c r="F690" s="2" t="str">
        <f>"GM 110020"</f>
        <v>GM 110020</v>
      </c>
      <c r="G690" s="2" t="str">
        <f>"X80369300403"</f>
        <v>X80369300403</v>
      </c>
      <c r="I690">
        <v>20</v>
      </c>
      <c r="J690" s="3">
        <v>1</v>
      </c>
      <c r="K690" s="2">
        <v>30</v>
      </c>
      <c r="L690" s="3" t="s">
        <v>2</v>
      </c>
      <c r="M690" s="4">
        <v>41373</v>
      </c>
      <c r="N690" s="3">
        <v>5.71</v>
      </c>
    </row>
    <row r="691" spans="1:14" x14ac:dyDescent="0.25">
      <c r="A691" s="2">
        <v>690</v>
      </c>
      <c r="B691" s="3">
        <v>13382718</v>
      </c>
      <c r="C691" s="2" t="s">
        <v>197</v>
      </c>
      <c r="D691" s="3">
        <v>1</v>
      </c>
      <c r="E691" s="2">
        <v>42</v>
      </c>
      <c r="F691" s="2" t="str">
        <f>"MOFXKO"</f>
        <v>MOFXKO</v>
      </c>
      <c r="G691" s="2" t="str">
        <f>"FCGLH0D9W3K9JP"</f>
        <v>FCGLH0D9W3K9JP</v>
      </c>
      <c r="I691">
        <v>20</v>
      </c>
      <c r="J691" s="3">
        <v>1</v>
      </c>
      <c r="K691" s="2">
        <v>30</v>
      </c>
      <c r="L691" s="3" t="s">
        <v>2</v>
      </c>
      <c r="M691" s="4">
        <v>41373</v>
      </c>
      <c r="N691" s="3">
        <v>5.26</v>
      </c>
    </row>
    <row r="692" spans="1:14" x14ac:dyDescent="0.25">
      <c r="A692" s="2">
        <v>691</v>
      </c>
      <c r="B692" s="3">
        <v>13382719</v>
      </c>
      <c r="C692" s="2" t="s">
        <v>197</v>
      </c>
      <c r="D692" s="3">
        <v>1</v>
      </c>
      <c r="E692" s="2">
        <v>42</v>
      </c>
      <c r="F692" s="2" t="str">
        <f>"M SBN96"</f>
        <v>M SBN96</v>
      </c>
      <c r="G692" s="2" t="str">
        <f>"FB7330AN3WN17XU"</f>
        <v>FB7330AN3WN17XU</v>
      </c>
      <c r="I692">
        <v>20</v>
      </c>
      <c r="J692" s="3">
        <v>1</v>
      </c>
      <c r="K692" s="2">
        <v>39</v>
      </c>
      <c r="L692" s="3" t="s">
        <v>2</v>
      </c>
      <c r="M692" s="4">
        <v>41373</v>
      </c>
      <c r="N692" s="3">
        <v>5.26</v>
      </c>
    </row>
    <row r="693" spans="1:14" x14ac:dyDescent="0.25">
      <c r="A693" s="2">
        <v>692</v>
      </c>
      <c r="B693" s="3">
        <v>13382720</v>
      </c>
      <c r="C693" s="2" t="s">
        <v>197</v>
      </c>
      <c r="D693" s="3">
        <v>1</v>
      </c>
      <c r="E693" s="2">
        <v>42</v>
      </c>
      <c r="F693" s="2" t="str">
        <f>"MOFXKO"</f>
        <v>MOFXKO</v>
      </c>
      <c r="G693" s="2" t="str">
        <f>"FCGLH0D9W3K4MT"</f>
        <v>FCGLH0D9W3K4MT</v>
      </c>
      <c r="I693">
        <v>20</v>
      </c>
      <c r="J693" s="3">
        <v>1</v>
      </c>
      <c r="K693" s="2">
        <v>15</v>
      </c>
      <c r="L693" s="3" t="s">
        <v>2</v>
      </c>
      <c r="M693" s="4">
        <v>41373</v>
      </c>
      <c r="N693" s="3">
        <v>5.26</v>
      </c>
    </row>
    <row r="694" spans="1:14" x14ac:dyDescent="0.25">
      <c r="A694" s="2">
        <v>693</v>
      </c>
      <c r="B694" s="3">
        <v>13382721</v>
      </c>
      <c r="C694" s="2" t="s">
        <v>197</v>
      </c>
      <c r="D694" s="3">
        <v>1</v>
      </c>
      <c r="E694" s="2">
        <v>42</v>
      </c>
      <c r="F694" s="2" t="str">
        <f>"MOFXKO"</f>
        <v>MOFXKO</v>
      </c>
      <c r="G694" s="2" t="str">
        <f>"FCGLH0D9W3K9JO"</f>
        <v>FCGLH0D9W3K9JO</v>
      </c>
      <c r="I694">
        <v>20</v>
      </c>
      <c r="J694" s="3">
        <v>1</v>
      </c>
      <c r="K694" s="2">
        <v>39</v>
      </c>
      <c r="L694" s="3" t="s">
        <v>2</v>
      </c>
      <c r="M694" s="4">
        <v>41373</v>
      </c>
      <c r="N694" s="3">
        <v>5.26</v>
      </c>
    </row>
    <row r="695" spans="1:14" x14ac:dyDescent="0.25">
      <c r="A695" s="2">
        <v>694</v>
      </c>
      <c r="B695" s="3">
        <v>13382722</v>
      </c>
      <c r="C695" s="2" t="s">
        <v>197</v>
      </c>
      <c r="D695" s="3">
        <v>1</v>
      </c>
      <c r="E695" s="2">
        <v>42</v>
      </c>
      <c r="F695" s="2" t="str">
        <f>"MOFXKO"</f>
        <v>MOFXKO</v>
      </c>
      <c r="G695" s="2" t="str">
        <f>"FCGLH0D9W3K9JI"</f>
        <v>FCGLH0D9W3K9JI</v>
      </c>
      <c r="I695">
        <v>20</v>
      </c>
      <c r="J695" s="3">
        <v>1</v>
      </c>
      <c r="K695" s="2">
        <v>2</v>
      </c>
      <c r="L695" s="3" t="s">
        <v>2</v>
      </c>
      <c r="M695" s="4">
        <v>41373</v>
      </c>
      <c r="N695" s="3">
        <v>5.26</v>
      </c>
    </row>
    <row r="696" spans="1:14" x14ac:dyDescent="0.25">
      <c r="A696" s="2">
        <v>695</v>
      </c>
      <c r="B696" s="3">
        <v>13382723</v>
      </c>
      <c r="C696" s="2" t="s">
        <v>197</v>
      </c>
      <c r="D696" s="3">
        <v>1</v>
      </c>
      <c r="E696" s="2">
        <v>70</v>
      </c>
      <c r="F696" s="2" t="str">
        <f>"UM 2018"</f>
        <v>UM 2018</v>
      </c>
      <c r="G696" s="2" t="str">
        <f>"IAS71450629"</f>
        <v>IAS71450629</v>
      </c>
      <c r="I696">
        <v>20</v>
      </c>
      <c r="J696" s="3">
        <v>1</v>
      </c>
      <c r="K696" s="2">
        <v>39</v>
      </c>
      <c r="L696" s="3" t="s">
        <v>2</v>
      </c>
      <c r="M696" s="4">
        <v>41373</v>
      </c>
      <c r="N696" s="3">
        <v>4.1399999999999997</v>
      </c>
    </row>
    <row r="697" spans="1:14" x14ac:dyDescent="0.25">
      <c r="A697" s="2">
        <v>696</v>
      </c>
      <c r="B697" s="3">
        <v>13382724</v>
      </c>
      <c r="C697" s="2" t="s">
        <v>197</v>
      </c>
      <c r="D697" s="3">
        <v>1</v>
      </c>
      <c r="E697" s="2">
        <v>42</v>
      </c>
      <c r="F697" s="2" t="str">
        <f>"M S0005 O"</f>
        <v>M S0005 O</v>
      </c>
      <c r="G697" s="2" t="str">
        <f>"FCGLH0DDR2PJN7"</f>
        <v>FCGLH0DDR2PJN7</v>
      </c>
      <c r="I697">
        <v>20</v>
      </c>
      <c r="J697" s="3">
        <v>1</v>
      </c>
      <c r="K697" s="2">
        <v>39</v>
      </c>
      <c r="L697" s="3" t="s">
        <v>2</v>
      </c>
      <c r="M697" s="4">
        <v>41373</v>
      </c>
      <c r="N697" s="3">
        <v>4.1399999999999997</v>
      </c>
    </row>
    <row r="698" spans="1:14" x14ac:dyDescent="0.25">
      <c r="A698" s="2">
        <v>697</v>
      </c>
      <c r="B698" s="3">
        <v>13382725</v>
      </c>
      <c r="C698" s="2" t="s">
        <v>197</v>
      </c>
      <c r="D698" s="3">
        <v>1</v>
      </c>
      <c r="E698" s="2">
        <v>70</v>
      </c>
      <c r="F698" s="2" t="str">
        <f>"UM 2018"</f>
        <v>UM 2018</v>
      </c>
      <c r="G698" s="2" t="str">
        <f>"63445070104037"</f>
        <v>63445070104037</v>
      </c>
      <c r="I698">
        <v>20</v>
      </c>
      <c r="J698" s="3">
        <v>1</v>
      </c>
      <c r="K698" s="2">
        <v>39</v>
      </c>
      <c r="L698" s="3" t="s">
        <v>2</v>
      </c>
      <c r="M698" s="4">
        <v>41373</v>
      </c>
      <c r="N698" s="3">
        <v>4.1399999999999997</v>
      </c>
    </row>
    <row r="699" spans="1:14" x14ac:dyDescent="0.25">
      <c r="A699" s="2">
        <v>698</v>
      </c>
      <c r="B699" s="3">
        <v>13382726</v>
      </c>
      <c r="C699" s="2" t="s">
        <v>197</v>
      </c>
      <c r="D699" s="3">
        <v>1</v>
      </c>
      <c r="E699" s="2">
        <v>70</v>
      </c>
      <c r="F699" s="2" t="str">
        <f>"2012QCPASS"</f>
        <v>2012QCPASS</v>
      </c>
      <c r="G699" s="2" t="str">
        <f>"63445070104038"</f>
        <v>63445070104038</v>
      </c>
      <c r="I699">
        <v>20</v>
      </c>
      <c r="J699" s="3">
        <v>1</v>
      </c>
      <c r="K699" s="2">
        <v>39</v>
      </c>
      <c r="L699" s="3" t="s">
        <v>2</v>
      </c>
      <c r="M699" s="4">
        <v>41373</v>
      </c>
      <c r="N699" s="3">
        <v>4.1399999999999997</v>
      </c>
    </row>
    <row r="700" spans="1:14" x14ac:dyDescent="0.25">
      <c r="A700" s="2">
        <v>699</v>
      </c>
      <c r="B700" s="3">
        <v>13382727</v>
      </c>
      <c r="C700" s="2" t="s">
        <v>197</v>
      </c>
      <c r="D700" s="3">
        <v>1</v>
      </c>
      <c r="E700" s="2">
        <v>38</v>
      </c>
      <c r="F700" s="2" t="str">
        <f>"GM 050009P"</f>
        <v>GM 050009P</v>
      </c>
      <c r="G700" s="2" t="str">
        <f>"139635705770"</f>
        <v>139635705770</v>
      </c>
      <c r="I700">
        <v>20</v>
      </c>
      <c r="J700" s="3">
        <v>1</v>
      </c>
      <c r="K700" s="2">
        <v>2</v>
      </c>
      <c r="L700" s="3" t="s">
        <v>2</v>
      </c>
      <c r="M700" s="4">
        <v>41373</v>
      </c>
      <c r="N700" s="3">
        <v>5.71</v>
      </c>
    </row>
    <row r="701" spans="1:14" x14ac:dyDescent="0.25">
      <c r="A701" s="2">
        <v>700</v>
      </c>
      <c r="B701" s="3">
        <v>6794599</v>
      </c>
      <c r="C701" s="2" t="s">
        <v>249</v>
      </c>
      <c r="D701" s="3">
        <v>1</v>
      </c>
      <c r="E701" s="2">
        <v>34</v>
      </c>
      <c r="F701" s="2" t="str">
        <f>"FI 6670"</f>
        <v>FI 6670</v>
      </c>
      <c r="G701" s="2" t="str">
        <f>"500718"</f>
        <v>500718</v>
      </c>
      <c r="I701">
        <v>11</v>
      </c>
      <c r="J701" s="3">
        <v>1</v>
      </c>
      <c r="K701" s="2">
        <v>2</v>
      </c>
      <c r="L701" s="3" t="s">
        <v>2</v>
      </c>
      <c r="M701" s="4">
        <v>41374</v>
      </c>
      <c r="N701" s="5">
        <v>6193.6</v>
      </c>
    </row>
    <row r="702" spans="1:14" x14ac:dyDescent="0.25">
      <c r="A702" s="2">
        <v>701</v>
      </c>
      <c r="B702" s="3">
        <v>6794575</v>
      </c>
      <c r="C702" s="2" t="s">
        <v>251</v>
      </c>
      <c r="D702" s="3">
        <v>1</v>
      </c>
      <c r="E702" s="2">
        <v>56</v>
      </c>
      <c r="F702" s="2" t="str">
        <f>"RB2011"</f>
        <v>RB2011</v>
      </c>
      <c r="G702" s="2" t="str">
        <f>"402702B4629D"</f>
        <v>402702B4629D</v>
      </c>
      <c r="I702">
        <v>24</v>
      </c>
      <c r="J702" s="3">
        <v>1</v>
      </c>
      <c r="K702" s="2">
        <v>4</v>
      </c>
      <c r="L702" s="3" t="s">
        <v>2</v>
      </c>
      <c r="M702" s="4">
        <v>41396</v>
      </c>
      <c r="N702" s="3">
        <v>389.76</v>
      </c>
    </row>
    <row r="703" spans="1:14" x14ac:dyDescent="0.25">
      <c r="A703" s="2">
        <v>702</v>
      </c>
      <c r="B703" s="3">
        <v>13382635</v>
      </c>
      <c r="C703" s="2" t="s">
        <v>258</v>
      </c>
      <c r="D703" s="3">
        <v>1</v>
      </c>
      <c r="E703" s="2">
        <v>38</v>
      </c>
      <c r="F703" s="2" t="str">
        <f>"HS 04SU"</f>
        <v>HS 04SU</v>
      </c>
      <c r="G703" s="2" t="str">
        <f>"WL1212F08642"</f>
        <v>WL1212F08642</v>
      </c>
      <c r="I703">
        <v>20</v>
      </c>
      <c r="J703" s="3">
        <v>2</v>
      </c>
      <c r="K703" s="2">
        <v>39</v>
      </c>
      <c r="L703" s="3" t="s">
        <v>2</v>
      </c>
      <c r="M703" s="4">
        <v>41403</v>
      </c>
      <c r="N703" s="3">
        <v>15.57</v>
      </c>
    </row>
    <row r="704" spans="1:14" x14ac:dyDescent="0.25">
      <c r="A704" s="2">
        <v>703</v>
      </c>
      <c r="B704" s="3">
        <v>13382636</v>
      </c>
      <c r="C704" s="2" t="s">
        <v>258</v>
      </c>
      <c r="D704" s="3">
        <v>1</v>
      </c>
      <c r="E704" s="2">
        <v>38</v>
      </c>
      <c r="F704" s="2" t="str">
        <f>"HS 04SU"</f>
        <v>HS 04SU</v>
      </c>
      <c r="G704" s="2" t="str">
        <f>"WL1212F08660"</f>
        <v>WL1212F08660</v>
      </c>
      <c r="I704">
        <v>20</v>
      </c>
      <c r="J704" s="3">
        <v>2</v>
      </c>
      <c r="K704" s="2">
        <v>39</v>
      </c>
      <c r="L704" s="3" t="s">
        <v>2</v>
      </c>
      <c r="M704" s="4">
        <v>41403</v>
      </c>
      <c r="N704" s="3">
        <v>15.57</v>
      </c>
    </row>
    <row r="705" spans="1:14" x14ac:dyDescent="0.25">
      <c r="A705" s="2">
        <v>704</v>
      </c>
      <c r="B705" s="3">
        <v>13382637</v>
      </c>
      <c r="C705" s="2" t="s">
        <v>258</v>
      </c>
      <c r="D705" s="3">
        <v>1</v>
      </c>
      <c r="E705" s="2">
        <v>38</v>
      </c>
      <c r="F705" s="2" t="str">
        <f>"HS 04SU"</f>
        <v>HS 04SU</v>
      </c>
      <c r="G705" s="2" t="str">
        <f>"WL1212F08655"</f>
        <v>WL1212F08655</v>
      </c>
      <c r="I705">
        <v>20</v>
      </c>
      <c r="J705" s="3">
        <v>2</v>
      </c>
      <c r="K705" s="2">
        <v>39</v>
      </c>
      <c r="L705" s="3" t="s">
        <v>2</v>
      </c>
      <c r="M705" s="4">
        <v>41403</v>
      </c>
      <c r="N705" s="3">
        <v>15.57</v>
      </c>
    </row>
    <row r="706" spans="1:14" x14ac:dyDescent="0.25">
      <c r="A706" s="2">
        <v>705</v>
      </c>
      <c r="B706" s="3">
        <v>13382638</v>
      </c>
      <c r="C706" s="2" t="s">
        <v>258</v>
      </c>
      <c r="D706" s="3">
        <v>1</v>
      </c>
      <c r="E706" s="2">
        <v>38</v>
      </c>
      <c r="F706" s="2" t="str">
        <f>"HS 04SU"</f>
        <v>HS 04SU</v>
      </c>
      <c r="G706" s="2" t="str">
        <f>"WL1212G10952"</f>
        <v>WL1212G10952</v>
      </c>
      <c r="I706">
        <v>20</v>
      </c>
      <c r="J706" s="3">
        <v>2</v>
      </c>
      <c r="K706" s="2">
        <v>39</v>
      </c>
      <c r="L706" s="3" t="s">
        <v>2</v>
      </c>
      <c r="M706" s="4">
        <v>41403</v>
      </c>
      <c r="N706" s="3">
        <v>15.57</v>
      </c>
    </row>
    <row r="707" spans="1:14" x14ac:dyDescent="0.25">
      <c r="A707" s="2">
        <v>706</v>
      </c>
      <c r="B707" s="3">
        <v>6794566</v>
      </c>
      <c r="C707" s="2" t="s">
        <v>254</v>
      </c>
      <c r="D707" s="3">
        <v>1</v>
      </c>
      <c r="E707" s="2">
        <v>55</v>
      </c>
      <c r="F707" s="2" t="str">
        <f>"1425"</f>
        <v>1425</v>
      </c>
      <c r="G707" s="2" t="str">
        <f>"X821857 003"</f>
        <v>X821857 003</v>
      </c>
      <c r="I707">
        <v>22</v>
      </c>
      <c r="J707" s="3">
        <v>1</v>
      </c>
      <c r="K707" s="2">
        <v>8</v>
      </c>
      <c r="L707" s="3" t="s">
        <v>2</v>
      </c>
      <c r="M707" s="4">
        <v>41471</v>
      </c>
      <c r="N707" s="3">
        <v>112.01</v>
      </c>
    </row>
    <row r="708" spans="1:14" x14ac:dyDescent="0.25">
      <c r="A708" s="2">
        <v>707</v>
      </c>
      <c r="B708" s="3">
        <v>6794567</v>
      </c>
      <c r="C708" s="2" t="s">
        <v>209</v>
      </c>
      <c r="D708" s="3">
        <v>1</v>
      </c>
      <c r="E708" s="2">
        <v>12</v>
      </c>
      <c r="F708" s="2" t="str">
        <f>"B SMART 1108"</f>
        <v>B SMART 1108</v>
      </c>
      <c r="G708" s="2" t="str">
        <f>"1111090500044"</f>
        <v>1111090500044</v>
      </c>
      <c r="I708">
        <v>20</v>
      </c>
      <c r="J708" s="3">
        <v>1</v>
      </c>
      <c r="K708" s="2">
        <v>9</v>
      </c>
      <c r="L708" s="3" t="s">
        <v>2</v>
      </c>
      <c r="M708" s="4">
        <v>41471</v>
      </c>
      <c r="N708" s="3">
        <v>144.4</v>
      </c>
    </row>
    <row r="709" spans="1:14" x14ac:dyDescent="0.25">
      <c r="A709" s="2">
        <v>708</v>
      </c>
      <c r="B709" s="3">
        <v>7602825</v>
      </c>
      <c r="C709" s="2" t="s">
        <v>218</v>
      </c>
      <c r="D709" s="3">
        <v>1</v>
      </c>
      <c r="E709" s="2">
        <v>63</v>
      </c>
      <c r="F709" s="2" t="str">
        <f>"C100S"</f>
        <v>C100S</v>
      </c>
      <c r="G709" s="2" t="str">
        <f>"L811490B4BD2"</f>
        <v>L811490B4BD2</v>
      </c>
      <c r="I709">
        <v>23</v>
      </c>
      <c r="J709" s="3">
        <v>1</v>
      </c>
      <c r="K709" s="2">
        <v>8</v>
      </c>
      <c r="L709" s="3" t="s">
        <v>2</v>
      </c>
      <c r="M709" s="4">
        <v>41471</v>
      </c>
      <c r="N709" s="3">
        <v>155.68</v>
      </c>
    </row>
    <row r="710" spans="1:14" x14ac:dyDescent="0.25">
      <c r="A710" s="2">
        <v>709</v>
      </c>
      <c r="B710" s="3">
        <v>7602826</v>
      </c>
      <c r="C710" s="2" t="s">
        <v>205</v>
      </c>
      <c r="D710" s="3">
        <v>1</v>
      </c>
      <c r="E710" s="2">
        <v>77</v>
      </c>
      <c r="F710" s="2" t="str">
        <f>"KDL 46HX755"</f>
        <v>KDL 46HX755</v>
      </c>
      <c r="G710" s="2" t="str">
        <f>"5502677"</f>
        <v>5502677</v>
      </c>
      <c r="I710">
        <v>20</v>
      </c>
      <c r="J710" s="3">
        <v>1</v>
      </c>
      <c r="K710" s="2">
        <v>9</v>
      </c>
      <c r="L710" s="3" t="s">
        <v>2</v>
      </c>
      <c r="M710" s="4">
        <v>41471</v>
      </c>
      <c r="N710" s="5">
        <v>1618.91</v>
      </c>
    </row>
    <row r="711" spans="1:14" x14ac:dyDescent="0.25">
      <c r="A711" s="2">
        <v>710</v>
      </c>
      <c r="B711" s="3">
        <v>7602827</v>
      </c>
      <c r="C711" s="2" t="s">
        <v>259</v>
      </c>
      <c r="D711" s="3">
        <v>1</v>
      </c>
      <c r="E711" s="2">
        <v>63</v>
      </c>
      <c r="F711" s="2" t="str">
        <f>"7200 63530 034"</f>
        <v>7200 63530 034</v>
      </c>
      <c r="G711" s="2" t="str">
        <f>"14101040208001"</f>
        <v>14101040208001</v>
      </c>
      <c r="I711">
        <v>22</v>
      </c>
      <c r="J711" s="3">
        <v>1</v>
      </c>
      <c r="K711" s="2">
        <v>9</v>
      </c>
      <c r="L711" s="3" t="s">
        <v>2</v>
      </c>
      <c r="M711" s="4">
        <v>41471</v>
      </c>
      <c r="N711" s="5">
        <v>4670.3999999999996</v>
      </c>
    </row>
    <row r="712" spans="1:14" x14ac:dyDescent="0.25">
      <c r="A712" s="2">
        <v>711</v>
      </c>
      <c r="B712" s="3">
        <v>7602764</v>
      </c>
      <c r="C712" s="2" t="s">
        <v>260</v>
      </c>
      <c r="D712" s="3">
        <v>1</v>
      </c>
      <c r="E712" s="2">
        <v>73</v>
      </c>
      <c r="F712" s="2" t="str">
        <f>"MPC 5000"</f>
        <v>MPC 5000</v>
      </c>
      <c r="G712" s="2" t="str">
        <f>"V1385800407"</f>
        <v>V1385800407</v>
      </c>
      <c r="I712">
        <v>17</v>
      </c>
      <c r="J712" s="3">
        <v>1</v>
      </c>
      <c r="K712" s="2">
        <v>25</v>
      </c>
      <c r="L712" s="3" t="s">
        <v>2</v>
      </c>
      <c r="M712" s="4">
        <v>41565</v>
      </c>
      <c r="N712" s="5">
        <v>4312</v>
      </c>
    </row>
    <row r="713" spans="1:14" x14ac:dyDescent="0.25">
      <c r="A713" s="2">
        <v>712</v>
      </c>
      <c r="B713" s="3">
        <v>7606392</v>
      </c>
      <c r="C713" s="2" t="s">
        <v>189</v>
      </c>
      <c r="D713" s="3">
        <v>2</v>
      </c>
      <c r="E713" s="2">
        <v>76</v>
      </c>
      <c r="F713" s="2" t="str">
        <f t="shared" ref="F713:F719" si="26">"GERENTE"</f>
        <v>GERENTE</v>
      </c>
      <c r="G713" s="2" t="str">
        <f>"14101030112027"</f>
        <v>14101030112027</v>
      </c>
      <c r="I713">
        <v>20</v>
      </c>
      <c r="J713" s="3">
        <v>1</v>
      </c>
      <c r="K713" s="2">
        <v>39</v>
      </c>
      <c r="L713" s="3" t="s">
        <v>2</v>
      </c>
      <c r="M713" s="4">
        <v>41579</v>
      </c>
      <c r="N713" s="3">
        <v>200</v>
      </c>
    </row>
    <row r="714" spans="1:14" x14ac:dyDescent="0.25">
      <c r="A714" s="2">
        <v>713</v>
      </c>
      <c r="B714" s="3">
        <v>7606393</v>
      </c>
      <c r="C714" s="2" t="s">
        <v>189</v>
      </c>
      <c r="D714" s="3">
        <v>2</v>
      </c>
      <c r="E714" s="2">
        <v>76</v>
      </c>
      <c r="F714" s="2" t="str">
        <f t="shared" si="26"/>
        <v>GERENTE</v>
      </c>
      <c r="G714" s="2" t="str">
        <f>"14101030112028"</f>
        <v>14101030112028</v>
      </c>
      <c r="I714">
        <v>20</v>
      </c>
      <c r="J714" s="3">
        <v>1</v>
      </c>
      <c r="K714" s="2">
        <v>39</v>
      </c>
      <c r="L714" s="3" t="s">
        <v>2</v>
      </c>
      <c r="M714" s="4">
        <v>41579</v>
      </c>
      <c r="N714" s="3">
        <v>200</v>
      </c>
    </row>
    <row r="715" spans="1:14" x14ac:dyDescent="0.25">
      <c r="A715" s="2">
        <v>714</v>
      </c>
      <c r="B715" s="3">
        <v>7606394</v>
      </c>
      <c r="C715" s="2" t="s">
        <v>189</v>
      </c>
      <c r="D715" s="3">
        <v>2</v>
      </c>
      <c r="E715" s="2">
        <v>76</v>
      </c>
      <c r="F715" s="2" t="str">
        <f t="shared" si="26"/>
        <v>GERENTE</v>
      </c>
      <c r="G715" s="2" t="str">
        <f>"14101030112029"</f>
        <v>14101030112029</v>
      </c>
      <c r="I715">
        <v>20</v>
      </c>
      <c r="J715" s="3">
        <v>1</v>
      </c>
      <c r="K715" s="2">
        <v>39</v>
      </c>
      <c r="L715" s="3" t="s">
        <v>2</v>
      </c>
      <c r="M715" s="4">
        <v>41579</v>
      </c>
      <c r="N715" s="3">
        <v>200</v>
      </c>
    </row>
    <row r="716" spans="1:14" x14ac:dyDescent="0.25">
      <c r="A716" s="2">
        <v>715</v>
      </c>
      <c r="B716" s="3">
        <v>7606395</v>
      </c>
      <c r="C716" s="2" t="s">
        <v>189</v>
      </c>
      <c r="D716" s="3">
        <v>2</v>
      </c>
      <c r="E716" s="2">
        <v>76</v>
      </c>
      <c r="F716" s="2" t="str">
        <f t="shared" si="26"/>
        <v>GERENTE</v>
      </c>
      <c r="G716" s="2" t="str">
        <f>"14101030112030"</f>
        <v>14101030112030</v>
      </c>
      <c r="I716">
        <v>20</v>
      </c>
      <c r="J716" s="3">
        <v>1</v>
      </c>
      <c r="K716" s="2">
        <v>39</v>
      </c>
      <c r="L716" s="3" t="s">
        <v>2</v>
      </c>
      <c r="M716" s="4">
        <v>41579</v>
      </c>
      <c r="N716" s="3">
        <v>200</v>
      </c>
    </row>
    <row r="717" spans="1:14" x14ac:dyDescent="0.25">
      <c r="A717" s="2">
        <v>716</v>
      </c>
      <c r="B717" s="3">
        <v>7606396</v>
      </c>
      <c r="C717" s="2" t="s">
        <v>189</v>
      </c>
      <c r="D717" s="3">
        <v>2</v>
      </c>
      <c r="E717" s="2">
        <v>76</v>
      </c>
      <c r="F717" s="2" t="str">
        <f t="shared" si="26"/>
        <v>GERENTE</v>
      </c>
      <c r="G717" s="2" t="str">
        <f>"14101030112031"</f>
        <v>14101030112031</v>
      </c>
      <c r="I717">
        <v>20</v>
      </c>
      <c r="J717" s="3">
        <v>1</v>
      </c>
      <c r="K717" s="2">
        <v>39</v>
      </c>
      <c r="L717" s="3" t="s">
        <v>2</v>
      </c>
      <c r="M717" s="4">
        <v>41579</v>
      </c>
      <c r="N717" s="3">
        <v>200</v>
      </c>
    </row>
    <row r="718" spans="1:14" x14ac:dyDescent="0.25">
      <c r="A718" s="2">
        <v>717</v>
      </c>
      <c r="B718" s="3">
        <v>7606397</v>
      </c>
      <c r="C718" s="2" t="s">
        <v>189</v>
      </c>
      <c r="D718" s="3">
        <v>2</v>
      </c>
      <c r="E718" s="2">
        <v>76</v>
      </c>
      <c r="F718" s="2" t="str">
        <f t="shared" si="26"/>
        <v>GERENTE</v>
      </c>
      <c r="G718" s="2" t="str">
        <f>"14101030112032"</f>
        <v>14101030112032</v>
      </c>
      <c r="I718">
        <v>20</v>
      </c>
      <c r="J718" s="3">
        <v>1</v>
      </c>
      <c r="K718" s="2">
        <v>39</v>
      </c>
      <c r="L718" s="3" t="s">
        <v>2</v>
      </c>
      <c r="M718" s="4">
        <v>41579</v>
      </c>
      <c r="N718" s="3">
        <v>200</v>
      </c>
    </row>
    <row r="719" spans="1:14" x14ac:dyDescent="0.25">
      <c r="A719" s="2">
        <v>718</v>
      </c>
      <c r="B719" s="3">
        <v>7606398</v>
      </c>
      <c r="C719" s="2" t="s">
        <v>189</v>
      </c>
      <c r="D719" s="3">
        <v>2</v>
      </c>
      <c r="E719" s="2">
        <v>76</v>
      </c>
      <c r="F719" s="2" t="str">
        <f t="shared" si="26"/>
        <v>GERENTE</v>
      </c>
      <c r="G719" s="2" t="str">
        <f>"14101030112033"</f>
        <v>14101030112033</v>
      </c>
      <c r="I719">
        <v>20</v>
      </c>
      <c r="J719" s="3">
        <v>1</v>
      </c>
      <c r="K719" s="2">
        <v>29</v>
      </c>
      <c r="L719" s="3" t="s">
        <v>2</v>
      </c>
      <c r="M719" s="4">
        <v>41579</v>
      </c>
      <c r="N719" s="3">
        <v>200</v>
      </c>
    </row>
    <row r="720" spans="1:14" x14ac:dyDescent="0.25">
      <c r="A720" s="2">
        <v>719</v>
      </c>
      <c r="B720" s="3">
        <v>7606404</v>
      </c>
      <c r="C720" s="2" t="s">
        <v>284</v>
      </c>
      <c r="D720" s="3">
        <v>2</v>
      </c>
      <c r="E720" s="2">
        <v>76</v>
      </c>
      <c r="F720" s="2" t="str">
        <f t="shared" ref="F720:F728" si="27">"SIN MODELO"</f>
        <v>SIN MODELO</v>
      </c>
      <c r="G720" s="2" t="str">
        <f>"14101030114001"</f>
        <v>14101030114001</v>
      </c>
      <c r="I720">
        <v>18</v>
      </c>
      <c r="J720" s="3">
        <v>1</v>
      </c>
      <c r="K720" s="2">
        <v>9</v>
      </c>
      <c r="L720" s="3" t="s">
        <v>2</v>
      </c>
      <c r="M720" s="4">
        <v>41579</v>
      </c>
      <c r="N720" s="3">
        <v>250</v>
      </c>
    </row>
    <row r="721" spans="1:14" x14ac:dyDescent="0.25">
      <c r="A721" s="2">
        <v>720</v>
      </c>
      <c r="B721" s="3">
        <v>7606405</v>
      </c>
      <c r="C721" s="2" t="s">
        <v>284</v>
      </c>
      <c r="D721" s="3">
        <v>2</v>
      </c>
      <c r="E721" s="2">
        <v>76</v>
      </c>
      <c r="F721" s="2" t="str">
        <f t="shared" si="27"/>
        <v>SIN MODELO</v>
      </c>
      <c r="G721" s="2" t="str">
        <f>"14101030114002"</f>
        <v>14101030114002</v>
      </c>
      <c r="I721">
        <v>18</v>
      </c>
      <c r="J721" s="3">
        <v>1</v>
      </c>
      <c r="K721" s="2">
        <v>4</v>
      </c>
      <c r="L721" s="3" t="s">
        <v>2</v>
      </c>
      <c r="M721" s="4">
        <v>41579</v>
      </c>
      <c r="N721" s="3">
        <v>250</v>
      </c>
    </row>
    <row r="722" spans="1:14" x14ac:dyDescent="0.25">
      <c r="A722" s="2">
        <v>721</v>
      </c>
      <c r="B722" s="3">
        <v>7606406</v>
      </c>
      <c r="C722" s="2" t="s">
        <v>284</v>
      </c>
      <c r="D722" s="3">
        <v>2</v>
      </c>
      <c r="E722" s="2">
        <v>76</v>
      </c>
      <c r="F722" s="2" t="str">
        <f t="shared" si="27"/>
        <v>SIN MODELO</v>
      </c>
      <c r="G722" s="2" t="str">
        <f>"14101030114003"</f>
        <v>14101030114003</v>
      </c>
      <c r="I722">
        <v>18</v>
      </c>
      <c r="J722" s="3">
        <v>1</v>
      </c>
      <c r="K722" s="2">
        <v>30</v>
      </c>
      <c r="L722" s="3" t="s">
        <v>2</v>
      </c>
      <c r="M722" s="4">
        <v>41579</v>
      </c>
      <c r="N722" s="3">
        <v>250</v>
      </c>
    </row>
    <row r="723" spans="1:14" x14ac:dyDescent="0.25">
      <c r="A723" s="2">
        <v>722</v>
      </c>
      <c r="B723" s="3">
        <v>7606407</v>
      </c>
      <c r="C723" s="2" t="s">
        <v>284</v>
      </c>
      <c r="D723" s="3">
        <v>2</v>
      </c>
      <c r="E723" s="2">
        <v>76</v>
      </c>
      <c r="F723" s="2" t="str">
        <f t="shared" si="27"/>
        <v>SIN MODELO</v>
      </c>
      <c r="G723" s="2" t="str">
        <f>"14101030114004"</f>
        <v>14101030114004</v>
      </c>
      <c r="I723">
        <v>18</v>
      </c>
      <c r="J723" s="3">
        <v>1</v>
      </c>
      <c r="K723" s="2">
        <v>34</v>
      </c>
      <c r="L723" s="3" t="s">
        <v>2</v>
      </c>
      <c r="M723" s="4">
        <v>41579</v>
      </c>
      <c r="N723" s="3">
        <v>250</v>
      </c>
    </row>
    <row r="724" spans="1:14" x14ac:dyDescent="0.25">
      <c r="A724" s="2">
        <v>723</v>
      </c>
      <c r="B724" s="3">
        <v>7606408</v>
      </c>
      <c r="C724" s="2" t="s">
        <v>284</v>
      </c>
      <c r="D724" s="3">
        <v>2</v>
      </c>
      <c r="E724" s="2">
        <v>76</v>
      </c>
      <c r="F724" s="2" t="str">
        <f t="shared" si="27"/>
        <v>SIN MODELO</v>
      </c>
      <c r="G724" s="2" t="str">
        <f>"14101030114005"</f>
        <v>14101030114005</v>
      </c>
      <c r="I724">
        <v>18</v>
      </c>
      <c r="J724" s="3">
        <v>2</v>
      </c>
      <c r="K724" s="2">
        <v>18</v>
      </c>
      <c r="L724" s="3" t="s">
        <v>2</v>
      </c>
      <c r="M724" s="4">
        <v>41579</v>
      </c>
      <c r="N724" s="3">
        <v>250</v>
      </c>
    </row>
    <row r="725" spans="1:14" x14ac:dyDescent="0.25">
      <c r="A725" s="2">
        <v>724</v>
      </c>
      <c r="B725" s="3">
        <v>7606409</v>
      </c>
      <c r="C725" s="2" t="s">
        <v>284</v>
      </c>
      <c r="D725" s="3">
        <v>2</v>
      </c>
      <c r="E725" s="2">
        <v>76</v>
      </c>
      <c r="F725" s="2" t="str">
        <f t="shared" si="27"/>
        <v>SIN MODELO</v>
      </c>
      <c r="G725" s="2" t="str">
        <f>"14101030114006"</f>
        <v>14101030114006</v>
      </c>
      <c r="I725">
        <v>18</v>
      </c>
      <c r="J725" s="3">
        <v>1</v>
      </c>
      <c r="K725" s="2">
        <v>26</v>
      </c>
      <c r="L725" s="3" t="s">
        <v>2</v>
      </c>
      <c r="M725" s="4">
        <v>41579</v>
      </c>
      <c r="N725" s="3">
        <v>249.96</v>
      </c>
    </row>
    <row r="726" spans="1:14" x14ac:dyDescent="0.25">
      <c r="A726" s="2">
        <v>725</v>
      </c>
      <c r="B726" s="3">
        <v>13182008</v>
      </c>
      <c r="C726" s="2" t="s">
        <v>181</v>
      </c>
      <c r="D726" s="3">
        <v>1</v>
      </c>
      <c r="E726" s="2">
        <v>33</v>
      </c>
      <c r="F726" s="2" t="str">
        <f t="shared" si="27"/>
        <v>SIN MODELO</v>
      </c>
      <c r="G726" s="2" t="str">
        <f>"63445040401002"</f>
        <v>63445040401002</v>
      </c>
      <c r="I726">
        <v>20</v>
      </c>
      <c r="J726" s="3">
        <v>1</v>
      </c>
      <c r="K726" s="2">
        <v>39</v>
      </c>
      <c r="L726" s="3" t="s">
        <v>2</v>
      </c>
      <c r="M726" s="4">
        <v>41591</v>
      </c>
      <c r="N726" s="3">
        <v>8.9600000000000009</v>
      </c>
    </row>
    <row r="727" spans="1:14" x14ac:dyDescent="0.25">
      <c r="A727" s="2">
        <v>726</v>
      </c>
      <c r="B727" s="3">
        <v>13182009</v>
      </c>
      <c r="C727" s="2" t="s">
        <v>181</v>
      </c>
      <c r="D727" s="3">
        <v>1</v>
      </c>
      <c r="E727" s="2">
        <v>33</v>
      </c>
      <c r="F727" s="2" t="str">
        <f t="shared" si="27"/>
        <v>SIN MODELO</v>
      </c>
      <c r="G727" s="2" t="str">
        <f>"63445040401003"</f>
        <v>63445040401003</v>
      </c>
      <c r="I727">
        <v>20</v>
      </c>
      <c r="J727" s="3">
        <v>1</v>
      </c>
      <c r="K727" s="2">
        <v>39</v>
      </c>
      <c r="L727" s="3" t="s">
        <v>2</v>
      </c>
      <c r="M727" s="4">
        <v>41591</v>
      </c>
      <c r="N727" s="3">
        <v>8.9600000000000009</v>
      </c>
    </row>
    <row r="728" spans="1:14" x14ac:dyDescent="0.25">
      <c r="A728" s="2">
        <v>727</v>
      </c>
      <c r="B728" s="3">
        <v>13182010</v>
      </c>
      <c r="C728" s="2" t="s">
        <v>181</v>
      </c>
      <c r="D728" s="3">
        <v>1</v>
      </c>
      <c r="E728" s="2">
        <v>33</v>
      </c>
      <c r="F728" s="2" t="str">
        <f t="shared" si="27"/>
        <v>SIN MODELO</v>
      </c>
      <c r="G728" s="2" t="str">
        <f>"63445040401004"</f>
        <v>63445040401004</v>
      </c>
      <c r="I728">
        <v>20</v>
      </c>
      <c r="J728" s="3">
        <v>1</v>
      </c>
      <c r="K728" s="2">
        <v>39</v>
      </c>
      <c r="L728" s="3" t="s">
        <v>2</v>
      </c>
      <c r="M728" s="4">
        <v>41591</v>
      </c>
      <c r="N728" s="3">
        <v>8.9600000000000009</v>
      </c>
    </row>
    <row r="729" spans="1:14" x14ac:dyDescent="0.25">
      <c r="A729" s="2">
        <v>728</v>
      </c>
      <c r="B729" s="3">
        <v>7602817</v>
      </c>
      <c r="C729" s="2" t="s">
        <v>219</v>
      </c>
      <c r="D729" s="3">
        <v>1</v>
      </c>
      <c r="E729" s="2">
        <v>22</v>
      </c>
      <c r="F729" s="2" t="str">
        <f>"11000ME"</f>
        <v>11000ME</v>
      </c>
      <c r="G729" s="2" t="str">
        <f>"14101040501002"</f>
        <v>14101040501002</v>
      </c>
      <c r="I729">
        <v>24</v>
      </c>
      <c r="J729" s="3">
        <v>1</v>
      </c>
      <c r="K729" s="2">
        <v>23</v>
      </c>
      <c r="L729" s="3" t="s">
        <v>2</v>
      </c>
      <c r="M729" s="4">
        <v>41597</v>
      </c>
      <c r="N729" s="5">
        <v>2270.9699999999998</v>
      </c>
    </row>
    <row r="730" spans="1:14" x14ac:dyDescent="0.25">
      <c r="A730" s="2">
        <v>729</v>
      </c>
      <c r="B730" s="3">
        <v>13460205</v>
      </c>
      <c r="C730" s="2" t="s">
        <v>234</v>
      </c>
      <c r="D730" s="3">
        <v>1</v>
      </c>
      <c r="E730" s="2">
        <v>76</v>
      </c>
      <c r="F730" s="2" t="str">
        <f>"SIN MODELO"</f>
        <v>SIN MODELO</v>
      </c>
      <c r="G730" s="2" t="str">
        <f>"63445060103001"</f>
        <v>63445060103001</v>
      </c>
      <c r="I730">
        <v>5</v>
      </c>
      <c r="J730" s="3">
        <v>2</v>
      </c>
      <c r="K730" s="2">
        <v>39</v>
      </c>
      <c r="L730" s="3" t="s">
        <v>2</v>
      </c>
      <c r="M730" s="4">
        <v>41597</v>
      </c>
      <c r="N730" s="3">
        <v>84</v>
      </c>
    </row>
    <row r="731" spans="1:14" x14ac:dyDescent="0.25">
      <c r="A731" s="2">
        <v>730</v>
      </c>
      <c r="B731" s="3">
        <v>6794447</v>
      </c>
      <c r="C731" s="2" t="s">
        <v>261</v>
      </c>
      <c r="D731" s="3">
        <v>1</v>
      </c>
      <c r="E731" s="2">
        <v>76</v>
      </c>
      <c r="F731" s="2" t="str">
        <f>"DF1767"</f>
        <v>DF1767</v>
      </c>
      <c r="G731" s="2" t="str">
        <f>"GS201205ZG002256"</f>
        <v>GS201205ZG002256</v>
      </c>
      <c r="I731">
        <v>20</v>
      </c>
      <c r="J731" s="3">
        <v>1</v>
      </c>
      <c r="K731" s="2">
        <v>39</v>
      </c>
      <c r="L731" s="3" t="s">
        <v>2</v>
      </c>
      <c r="M731" s="4">
        <v>41604</v>
      </c>
      <c r="N731" s="3">
        <v>134.4</v>
      </c>
    </row>
    <row r="732" spans="1:14" x14ac:dyDescent="0.25">
      <c r="A732" s="2">
        <v>731</v>
      </c>
      <c r="B732" s="3">
        <v>6794448</v>
      </c>
      <c r="C732" s="2" t="s">
        <v>261</v>
      </c>
      <c r="D732" s="3">
        <v>1</v>
      </c>
      <c r="E732" s="2">
        <v>76</v>
      </c>
      <c r="F732" s="2" t="str">
        <f>"DF1767"</f>
        <v>DF1767</v>
      </c>
      <c r="G732" s="2" t="str">
        <f>"GS201205ZG002240"</f>
        <v>GS201205ZG002240</v>
      </c>
      <c r="I732">
        <v>20</v>
      </c>
      <c r="J732" s="3">
        <v>1</v>
      </c>
      <c r="K732" s="2">
        <v>39</v>
      </c>
      <c r="L732" s="3" t="s">
        <v>2</v>
      </c>
      <c r="M732" s="4">
        <v>41604</v>
      </c>
      <c r="N732" s="3">
        <v>134.4</v>
      </c>
    </row>
    <row r="733" spans="1:14" x14ac:dyDescent="0.25">
      <c r="A733" s="2">
        <v>732</v>
      </c>
      <c r="B733" s="3">
        <v>7602771</v>
      </c>
      <c r="C733" s="2" t="s">
        <v>169</v>
      </c>
      <c r="D733" s="3">
        <v>1</v>
      </c>
      <c r="E733" s="2">
        <v>76</v>
      </c>
      <c r="F733" s="2" t="str">
        <f>"SIN MODELO"</f>
        <v>SIN MODELO</v>
      </c>
      <c r="G733" s="2" t="str">
        <f>"14101040109001"</f>
        <v>14101040109001</v>
      </c>
      <c r="I733">
        <v>5</v>
      </c>
      <c r="J733" s="3">
        <v>1</v>
      </c>
      <c r="K733" s="2">
        <v>39</v>
      </c>
      <c r="L733" s="3" t="s">
        <v>2</v>
      </c>
      <c r="M733" s="4">
        <v>41604</v>
      </c>
      <c r="N733" s="3">
        <v>112</v>
      </c>
    </row>
    <row r="734" spans="1:14" x14ac:dyDescent="0.25">
      <c r="A734" s="2">
        <v>733</v>
      </c>
      <c r="B734" s="3">
        <v>7602772</v>
      </c>
      <c r="C734" s="2" t="s">
        <v>169</v>
      </c>
      <c r="D734" s="3">
        <v>1</v>
      </c>
      <c r="E734" s="2">
        <v>76</v>
      </c>
      <c r="F734" s="2" t="str">
        <f>"SIN MODELO"</f>
        <v>SIN MODELO</v>
      </c>
      <c r="G734" s="2" t="str">
        <f>"14101040109002"</f>
        <v>14101040109002</v>
      </c>
      <c r="I734">
        <v>5</v>
      </c>
      <c r="J734" s="3">
        <v>1</v>
      </c>
      <c r="K734" s="2">
        <v>39</v>
      </c>
      <c r="L734" s="3" t="s">
        <v>2</v>
      </c>
      <c r="M734" s="4">
        <v>41604</v>
      </c>
      <c r="N734" s="3">
        <v>112</v>
      </c>
    </row>
    <row r="735" spans="1:14" x14ac:dyDescent="0.25">
      <c r="A735" s="2">
        <v>734</v>
      </c>
      <c r="B735" s="3">
        <v>7602773</v>
      </c>
      <c r="C735" s="2" t="s">
        <v>169</v>
      </c>
      <c r="D735" s="3">
        <v>1</v>
      </c>
      <c r="E735" s="2">
        <v>76</v>
      </c>
      <c r="F735" s="2" t="str">
        <f>"SIN MODELO"</f>
        <v>SIN MODELO</v>
      </c>
      <c r="G735" s="2" t="str">
        <f>"14101040109003"</f>
        <v>14101040109003</v>
      </c>
      <c r="I735">
        <v>5</v>
      </c>
      <c r="J735" s="3">
        <v>1</v>
      </c>
      <c r="K735" s="2">
        <v>39</v>
      </c>
      <c r="L735" s="3" t="s">
        <v>2</v>
      </c>
      <c r="M735" s="4">
        <v>41604</v>
      </c>
      <c r="N735" s="3">
        <v>112</v>
      </c>
    </row>
    <row r="736" spans="1:14" x14ac:dyDescent="0.25">
      <c r="A736" s="2">
        <v>735</v>
      </c>
      <c r="B736" s="3">
        <v>7602802</v>
      </c>
      <c r="C736" s="2" t="s">
        <v>262</v>
      </c>
      <c r="D736" s="3">
        <v>1</v>
      </c>
      <c r="E736" s="2">
        <v>62</v>
      </c>
      <c r="F736" s="2" t="str">
        <f>"DEH X355OUI"</f>
        <v>DEH X355OUI</v>
      </c>
      <c r="G736" s="2" t="str">
        <f>"MHMQ 001526EC"</f>
        <v>MHMQ 001526EC</v>
      </c>
      <c r="I736">
        <v>20</v>
      </c>
      <c r="J736" s="3">
        <v>1</v>
      </c>
      <c r="K736" s="2">
        <v>39</v>
      </c>
      <c r="L736" s="3" t="s">
        <v>2</v>
      </c>
      <c r="M736" s="4">
        <v>41604</v>
      </c>
      <c r="N736" s="3">
        <v>179.2</v>
      </c>
    </row>
    <row r="737" spans="1:14" x14ac:dyDescent="0.25">
      <c r="A737" s="2">
        <v>736</v>
      </c>
      <c r="B737" s="3">
        <v>7602803</v>
      </c>
      <c r="C737" s="2" t="s">
        <v>262</v>
      </c>
      <c r="D737" s="3">
        <v>1</v>
      </c>
      <c r="E737" s="2">
        <v>62</v>
      </c>
      <c r="F737" s="2" t="str">
        <f>"DEH X355OUI"</f>
        <v>DEH X355OUI</v>
      </c>
      <c r="G737" s="2" t="str">
        <f>"MHMQ 001575EC"</f>
        <v>MHMQ 001575EC</v>
      </c>
      <c r="I737">
        <v>20</v>
      </c>
      <c r="J737" s="3">
        <v>1</v>
      </c>
      <c r="K737" s="2">
        <v>39</v>
      </c>
      <c r="L737" s="3" t="s">
        <v>2</v>
      </c>
      <c r="M737" s="4">
        <v>41604</v>
      </c>
      <c r="N737" s="3">
        <v>179.2</v>
      </c>
    </row>
    <row r="738" spans="1:14" x14ac:dyDescent="0.25">
      <c r="A738" s="2">
        <v>737</v>
      </c>
      <c r="B738" s="3">
        <v>7602804</v>
      </c>
      <c r="C738" s="2" t="s">
        <v>262</v>
      </c>
      <c r="D738" s="3">
        <v>1</v>
      </c>
      <c r="E738" s="2">
        <v>62</v>
      </c>
      <c r="F738" s="2" t="str">
        <f>"DEH 345OUB"</f>
        <v>DEH 345OUB</v>
      </c>
      <c r="G738" s="2" t="str">
        <f>"MEMQ 041695EC"</f>
        <v>MEMQ 041695EC</v>
      </c>
      <c r="I738">
        <v>20</v>
      </c>
      <c r="J738" s="3">
        <v>1</v>
      </c>
      <c r="K738" s="2">
        <v>39</v>
      </c>
      <c r="L738" s="3" t="s">
        <v>2</v>
      </c>
      <c r="M738" s="4">
        <v>41604</v>
      </c>
      <c r="N738" s="3">
        <v>179.2</v>
      </c>
    </row>
    <row r="739" spans="1:14" x14ac:dyDescent="0.25">
      <c r="A739" s="2">
        <v>738</v>
      </c>
      <c r="B739" s="3">
        <v>7602805</v>
      </c>
      <c r="C739" s="2" t="s">
        <v>262</v>
      </c>
      <c r="D739" s="3">
        <v>1</v>
      </c>
      <c r="E739" s="2">
        <v>62</v>
      </c>
      <c r="F739" s="2" t="str">
        <f>"DEH 345OUB"</f>
        <v>DEH 345OUB</v>
      </c>
      <c r="G739" s="2" t="str">
        <f>"MEMQ 041634EC"</f>
        <v>MEMQ 041634EC</v>
      </c>
      <c r="I739">
        <v>20</v>
      </c>
      <c r="J739" s="3">
        <v>1</v>
      </c>
      <c r="K739" s="2">
        <v>39</v>
      </c>
      <c r="L739" s="3" t="s">
        <v>2</v>
      </c>
      <c r="M739" s="4">
        <v>41604</v>
      </c>
      <c r="N739" s="3">
        <v>179.2</v>
      </c>
    </row>
    <row r="740" spans="1:14" x14ac:dyDescent="0.25">
      <c r="A740" s="2">
        <v>739</v>
      </c>
      <c r="B740" s="3">
        <v>7602806</v>
      </c>
      <c r="C740" s="2" t="s">
        <v>262</v>
      </c>
      <c r="D740" s="3">
        <v>1</v>
      </c>
      <c r="E740" s="2">
        <v>62</v>
      </c>
      <c r="F740" s="2" t="str">
        <f>"DEH 255OUI"</f>
        <v>DEH 255OUI</v>
      </c>
      <c r="G740" s="2" t="str">
        <f>"MDGE 111879ES"</f>
        <v>MDGE 111879ES</v>
      </c>
      <c r="I740">
        <v>20</v>
      </c>
      <c r="J740" s="3">
        <v>1</v>
      </c>
      <c r="K740" s="2">
        <v>39</v>
      </c>
      <c r="L740" s="3" t="s">
        <v>2</v>
      </c>
      <c r="M740" s="4">
        <v>41604</v>
      </c>
      <c r="N740" s="3">
        <v>179.2</v>
      </c>
    </row>
    <row r="741" spans="1:14" x14ac:dyDescent="0.25">
      <c r="A741" s="2">
        <v>740</v>
      </c>
      <c r="B741" s="3">
        <v>7602807</v>
      </c>
      <c r="C741" s="2" t="s">
        <v>262</v>
      </c>
      <c r="D741" s="3">
        <v>1</v>
      </c>
      <c r="E741" s="2">
        <v>62</v>
      </c>
      <c r="F741" s="2" t="str">
        <f>"DEH 255OUI"</f>
        <v>DEH 255OUI</v>
      </c>
      <c r="G741" s="2" t="str">
        <f>"MDGE 111875ES"</f>
        <v>MDGE 111875ES</v>
      </c>
      <c r="I741">
        <v>20</v>
      </c>
      <c r="J741" s="3">
        <v>1</v>
      </c>
      <c r="K741" s="2">
        <v>39</v>
      </c>
      <c r="L741" s="3" t="s">
        <v>2</v>
      </c>
      <c r="M741" s="4">
        <v>41604</v>
      </c>
      <c r="N741" s="3">
        <v>179.2</v>
      </c>
    </row>
    <row r="742" spans="1:14" x14ac:dyDescent="0.25">
      <c r="A742" s="2">
        <v>741</v>
      </c>
      <c r="B742" s="3">
        <v>7602808</v>
      </c>
      <c r="C742" s="2" t="s">
        <v>262</v>
      </c>
      <c r="D742" s="3">
        <v>1</v>
      </c>
      <c r="E742" s="2">
        <v>62</v>
      </c>
      <c r="F742" s="2" t="str">
        <f>"DEH 255OUI"</f>
        <v>DEH 255OUI</v>
      </c>
      <c r="G742" s="2" t="str">
        <f>"MDGE 111876ES"</f>
        <v>MDGE 111876ES</v>
      </c>
      <c r="I742">
        <v>20</v>
      </c>
      <c r="J742" s="3">
        <v>1</v>
      </c>
      <c r="K742" s="2">
        <v>39</v>
      </c>
      <c r="L742" s="3" t="s">
        <v>2</v>
      </c>
      <c r="M742" s="4">
        <v>41604</v>
      </c>
      <c r="N742" s="3">
        <v>179.2</v>
      </c>
    </row>
    <row r="743" spans="1:14" x14ac:dyDescent="0.25">
      <c r="A743" s="2">
        <v>742</v>
      </c>
      <c r="B743" s="3">
        <v>7602821</v>
      </c>
      <c r="C743" s="2" t="s">
        <v>263</v>
      </c>
      <c r="D743" s="3">
        <v>2</v>
      </c>
      <c r="E743" s="2">
        <v>72</v>
      </c>
      <c r="F743" s="2" t="str">
        <f>"SIN MODELO"</f>
        <v>SIN MODELO</v>
      </c>
      <c r="G743" s="2" t="str">
        <f>"020615726313"</f>
        <v>020615726313</v>
      </c>
      <c r="I743">
        <v>20</v>
      </c>
      <c r="J743" s="3">
        <v>1</v>
      </c>
      <c r="K743" s="2">
        <v>39</v>
      </c>
      <c r="L743" s="3" t="s">
        <v>2</v>
      </c>
      <c r="M743" s="4">
        <v>41606</v>
      </c>
      <c r="N743" s="5">
        <v>3102.4</v>
      </c>
    </row>
    <row r="744" spans="1:14" x14ac:dyDescent="0.25">
      <c r="A744" s="2">
        <v>743</v>
      </c>
      <c r="B744" s="3">
        <v>7606402</v>
      </c>
      <c r="C744" s="2" t="s">
        <v>275</v>
      </c>
      <c r="D744" s="3">
        <v>2</v>
      </c>
      <c r="E744" s="2">
        <v>76</v>
      </c>
      <c r="F744" s="2" t="str">
        <f>"EJECUTIVO"</f>
        <v>EJECUTIVO</v>
      </c>
      <c r="G744" s="2" t="str">
        <f>"14101030113004"</f>
        <v>14101030113004</v>
      </c>
      <c r="I744">
        <v>20</v>
      </c>
      <c r="J744" s="3">
        <v>1</v>
      </c>
      <c r="K744" s="2">
        <v>8</v>
      </c>
      <c r="L744" s="3" t="s">
        <v>2</v>
      </c>
      <c r="M744" s="4">
        <v>41610</v>
      </c>
      <c r="N744" s="3">
        <v>250.01</v>
      </c>
    </row>
    <row r="745" spans="1:14" x14ac:dyDescent="0.25">
      <c r="A745" s="2">
        <v>744</v>
      </c>
      <c r="B745" s="3">
        <v>7606403</v>
      </c>
      <c r="C745" s="2" t="s">
        <v>246</v>
      </c>
      <c r="D745" s="3">
        <v>2</v>
      </c>
      <c r="E745" s="2">
        <v>76</v>
      </c>
      <c r="F745" s="2" t="str">
        <f>"EJECUTIVO"</f>
        <v>EJECUTIVO</v>
      </c>
      <c r="G745" s="2" t="str">
        <f>"14101030113005"</f>
        <v>14101030113005</v>
      </c>
      <c r="I745">
        <v>20</v>
      </c>
      <c r="J745" s="3">
        <v>1</v>
      </c>
      <c r="K745" s="2">
        <v>8</v>
      </c>
      <c r="L745" s="3" t="s">
        <v>2</v>
      </c>
      <c r="M745" s="4">
        <v>41610</v>
      </c>
      <c r="N745" s="3">
        <v>250.01</v>
      </c>
    </row>
    <row r="746" spans="1:14" x14ac:dyDescent="0.25">
      <c r="A746" s="2">
        <v>745</v>
      </c>
      <c r="B746" s="3">
        <v>7606410</v>
      </c>
      <c r="C746" s="2" t="s">
        <v>284</v>
      </c>
      <c r="D746" s="3">
        <v>2</v>
      </c>
      <c r="E746" s="2">
        <v>76</v>
      </c>
      <c r="F746" s="2" t="str">
        <f t="shared" ref="F746:F767" si="28">"SIN MODELO"</f>
        <v>SIN MODELO</v>
      </c>
      <c r="G746" s="2" t="str">
        <f>"14101030114007"</f>
        <v>14101030114007</v>
      </c>
      <c r="I746">
        <v>18</v>
      </c>
      <c r="J746" s="3">
        <v>1</v>
      </c>
      <c r="K746" s="2">
        <v>39</v>
      </c>
      <c r="L746" s="3" t="s">
        <v>2</v>
      </c>
      <c r="M746" s="4">
        <v>41610</v>
      </c>
      <c r="N746" s="3">
        <v>250</v>
      </c>
    </row>
    <row r="747" spans="1:14" x14ac:dyDescent="0.25">
      <c r="A747" s="2">
        <v>746</v>
      </c>
      <c r="B747" s="3">
        <v>7606411</v>
      </c>
      <c r="C747" s="2" t="s">
        <v>284</v>
      </c>
      <c r="D747" s="3">
        <v>2</v>
      </c>
      <c r="E747" s="2">
        <v>76</v>
      </c>
      <c r="F747" s="2" t="str">
        <f t="shared" si="28"/>
        <v>SIN MODELO</v>
      </c>
      <c r="G747" s="2" t="str">
        <f>"14101030114008"</f>
        <v>14101030114008</v>
      </c>
      <c r="I747">
        <v>18</v>
      </c>
      <c r="J747" s="3">
        <v>1</v>
      </c>
      <c r="K747" s="2">
        <v>25</v>
      </c>
      <c r="L747" s="3" t="s">
        <v>2</v>
      </c>
      <c r="M747" s="4">
        <v>41610</v>
      </c>
      <c r="N747" s="3">
        <v>250.01</v>
      </c>
    </row>
    <row r="748" spans="1:14" x14ac:dyDescent="0.25">
      <c r="A748" s="2">
        <v>747</v>
      </c>
      <c r="B748" s="3">
        <v>13460225</v>
      </c>
      <c r="C748" s="2" t="s">
        <v>226</v>
      </c>
      <c r="D748" s="3">
        <v>1</v>
      </c>
      <c r="E748" s="2">
        <v>30</v>
      </c>
      <c r="F748" s="2" t="str">
        <f t="shared" si="28"/>
        <v>SIN MODELO</v>
      </c>
      <c r="G748" s="2" t="str">
        <f>"63445060113001"</f>
        <v>63445060113001</v>
      </c>
      <c r="I748">
        <v>29</v>
      </c>
      <c r="J748" s="3">
        <v>1</v>
      </c>
      <c r="K748" s="2">
        <v>23</v>
      </c>
      <c r="L748" s="3" t="s">
        <v>2</v>
      </c>
      <c r="M748" s="4">
        <v>41610</v>
      </c>
      <c r="N748" s="3">
        <v>30.24</v>
      </c>
    </row>
    <row r="749" spans="1:14" x14ac:dyDescent="0.25">
      <c r="A749" s="2">
        <v>748</v>
      </c>
      <c r="B749" s="3">
        <v>13460226</v>
      </c>
      <c r="C749" s="2" t="s">
        <v>226</v>
      </c>
      <c r="D749" s="3">
        <v>1</v>
      </c>
      <c r="E749" s="2">
        <v>30</v>
      </c>
      <c r="F749" s="2" t="str">
        <f t="shared" si="28"/>
        <v>SIN MODELO</v>
      </c>
      <c r="G749" s="2" t="str">
        <f>"63445060113002"</f>
        <v>63445060113002</v>
      </c>
      <c r="I749">
        <v>29</v>
      </c>
      <c r="J749" s="3">
        <v>1</v>
      </c>
      <c r="K749" s="2">
        <v>39</v>
      </c>
      <c r="L749" s="3" t="s">
        <v>2</v>
      </c>
      <c r="M749" s="4">
        <v>41610</v>
      </c>
      <c r="N749" s="3">
        <v>30.24</v>
      </c>
    </row>
    <row r="750" spans="1:14" x14ac:dyDescent="0.25">
      <c r="A750" s="2">
        <v>749</v>
      </c>
      <c r="B750" s="3">
        <v>13460227</v>
      </c>
      <c r="C750" s="2" t="s">
        <v>226</v>
      </c>
      <c r="D750" s="3">
        <v>1</v>
      </c>
      <c r="E750" s="2">
        <v>30</v>
      </c>
      <c r="F750" s="2" t="str">
        <f t="shared" si="28"/>
        <v>SIN MODELO</v>
      </c>
      <c r="G750" s="2" t="str">
        <f>"63445060113003"</f>
        <v>63445060113003</v>
      </c>
      <c r="I750">
        <v>29</v>
      </c>
      <c r="J750" s="3">
        <v>1</v>
      </c>
      <c r="K750" s="2">
        <v>39</v>
      </c>
      <c r="L750" s="3" t="s">
        <v>2</v>
      </c>
      <c r="M750" s="4">
        <v>41610</v>
      </c>
      <c r="N750" s="3">
        <v>30.24</v>
      </c>
    </row>
    <row r="751" spans="1:14" x14ac:dyDescent="0.25">
      <c r="A751" s="2">
        <v>750</v>
      </c>
      <c r="B751" s="3">
        <v>13460228</v>
      </c>
      <c r="C751" s="2" t="s">
        <v>226</v>
      </c>
      <c r="D751" s="3">
        <v>1</v>
      </c>
      <c r="E751" s="2">
        <v>30</v>
      </c>
      <c r="F751" s="2" t="str">
        <f t="shared" si="28"/>
        <v>SIN MODELO</v>
      </c>
      <c r="G751" s="2" t="str">
        <f>"63445060113004"</f>
        <v>63445060113004</v>
      </c>
      <c r="I751">
        <v>29</v>
      </c>
      <c r="J751" s="3">
        <v>1</v>
      </c>
      <c r="K751" s="2">
        <v>39</v>
      </c>
      <c r="L751" s="3" t="s">
        <v>2</v>
      </c>
      <c r="M751" s="4">
        <v>41610</v>
      </c>
      <c r="N751" s="3">
        <v>30.24</v>
      </c>
    </row>
    <row r="752" spans="1:14" x14ac:dyDescent="0.25">
      <c r="A752" s="2">
        <v>751</v>
      </c>
      <c r="B752" s="3">
        <v>13460229</v>
      </c>
      <c r="C752" s="2" t="s">
        <v>226</v>
      </c>
      <c r="D752" s="3">
        <v>1</v>
      </c>
      <c r="E752" s="2">
        <v>30</v>
      </c>
      <c r="F752" s="2" t="str">
        <f t="shared" si="28"/>
        <v>SIN MODELO</v>
      </c>
      <c r="G752" s="2" t="str">
        <f>"63445060113005"</f>
        <v>63445060113005</v>
      </c>
      <c r="I752">
        <v>29</v>
      </c>
      <c r="J752" s="3">
        <v>1</v>
      </c>
      <c r="K752" s="2">
        <v>39</v>
      </c>
      <c r="L752" s="3" t="s">
        <v>2</v>
      </c>
      <c r="M752" s="4">
        <v>41610</v>
      </c>
      <c r="N752" s="3">
        <v>30.24</v>
      </c>
    </row>
    <row r="753" spans="1:14" x14ac:dyDescent="0.25">
      <c r="A753" s="2">
        <v>752</v>
      </c>
      <c r="B753" s="3">
        <v>13460230</v>
      </c>
      <c r="C753" s="2" t="s">
        <v>226</v>
      </c>
      <c r="D753" s="3">
        <v>1</v>
      </c>
      <c r="E753" s="2">
        <v>30</v>
      </c>
      <c r="F753" s="2" t="str">
        <f t="shared" si="28"/>
        <v>SIN MODELO</v>
      </c>
      <c r="G753" s="2" t="str">
        <f>"63445060113006"</f>
        <v>63445060113006</v>
      </c>
      <c r="I753">
        <v>29</v>
      </c>
      <c r="J753" s="3">
        <v>1</v>
      </c>
      <c r="K753" s="2">
        <v>39</v>
      </c>
      <c r="L753" s="3" t="s">
        <v>2</v>
      </c>
      <c r="M753" s="4">
        <v>41610</v>
      </c>
      <c r="N753" s="3">
        <v>30.24</v>
      </c>
    </row>
    <row r="754" spans="1:14" x14ac:dyDescent="0.25">
      <c r="A754" s="2">
        <v>753</v>
      </c>
      <c r="B754" s="3">
        <v>13460231</v>
      </c>
      <c r="C754" s="2" t="s">
        <v>226</v>
      </c>
      <c r="D754" s="3">
        <v>1</v>
      </c>
      <c r="E754" s="2">
        <v>30</v>
      </c>
      <c r="F754" s="2" t="str">
        <f t="shared" si="28"/>
        <v>SIN MODELO</v>
      </c>
      <c r="G754" s="2" t="str">
        <f>"63445060113007"</f>
        <v>63445060113007</v>
      </c>
      <c r="I754">
        <v>29</v>
      </c>
      <c r="J754" s="3">
        <v>1</v>
      </c>
      <c r="K754" s="2">
        <v>23</v>
      </c>
      <c r="L754" s="3" t="s">
        <v>2</v>
      </c>
      <c r="M754" s="4">
        <v>41610</v>
      </c>
      <c r="N754" s="3">
        <v>30.24</v>
      </c>
    </row>
    <row r="755" spans="1:14" x14ac:dyDescent="0.25">
      <c r="A755" s="2">
        <v>754</v>
      </c>
      <c r="B755" s="3">
        <v>13460232</v>
      </c>
      <c r="C755" s="2" t="s">
        <v>226</v>
      </c>
      <c r="D755" s="3">
        <v>1</v>
      </c>
      <c r="E755" s="2">
        <v>30</v>
      </c>
      <c r="F755" s="2" t="str">
        <f t="shared" si="28"/>
        <v>SIN MODELO</v>
      </c>
      <c r="G755" s="2" t="str">
        <f>"63445060113008"</f>
        <v>63445060113008</v>
      </c>
      <c r="I755">
        <v>2</v>
      </c>
      <c r="J755" s="3">
        <v>2</v>
      </c>
      <c r="K755" s="2">
        <v>23</v>
      </c>
      <c r="L755" s="3" t="s">
        <v>2</v>
      </c>
      <c r="M755" s="4">
        <v>41610</v>
      </c>
      <c r="N755" s="3">
        <v>30.24</v>
      </c>
    </row>
    <row r="756" spans="1:14" x14ac:dyDescent="0.25">
      <c r="A756" s="2">
        <v>755</v>
      </c>
      <c r="B756" s="3">
        <v>13460233</v>
      </c>
      <c r="C756" s="2" t="s">
        <v>226</v>
      </c>
      <c r="D756" s="3">
        <v>1</v>
      </c>
      <c r="E756" s="2">
        <v>30</v>
      </c>
      <c r="F756" s="2" t="str">
        <f t="shared" si="28"/>
        <v>SIN MODELO</v>
      </c>
      <c r="G756" s="2" t="str">
        <f>"63445060113009"</f>
        <v>63445060113009</v>
      </c>
      <c r="I756">
        <v>29</v>
      </c>
      <c r="J756" s="3">
        <v>1</v>
      </c>
      <c r="K756" s="2">
        <v>23</v>
      </c>
      <c r="L756" s="3" t="s">
        <v>2</v>
      </c>
      <c r="M756" s="4">
        <v>41610</v>
      </c>
      <c r="N756" s="3">
        <v>30.24</v>
      </c>
    </row>
    <row r="757" spans="1:14" x14ac:dyDescent="0.25">
      <c r="A757" s="2">
        <v>756</v>
      </c>
      <c r="B757" s="3">
        <v>13460234</v>
      </c>
      <c r="C757" s="2" t="s">
        <v>226</v>
      </c>
      <c r="D757" s="3">
        <v>1</v>
      </c>
      <c r="E757" s="2">
        <v>30</v>
      </c>
      <c r="F757" s="2" t="str">
        <f t="shared" si="28"/>
        <v>SIN MODELO</v>
      </c>
      <c r="G757" s="2" t="str">
        <f>"63445060113010"</f>
        <v>63445060113010</v>
      </c>
      <c r="I757">
        <v>2</v>
      </c>
      <c r="J757" s="3">
        <v>2</v>
      </c>
      <c r="K757" s="2">
        <v>23</v>
      </c>
      <c r="L757" s="3" t="s">
        <v>2</v>
      </c>
      <c r="M757" s="4">
        <v>41610</v>
      </c>
      <c r="N757" s="3">
        <v>30.24</v>
      </c>
    </row>
    <row r="758" spans="1:14" x14ac:dyDescent="0.25">
      <c r="A758" s="2">
        <v>757</v>
      </c>
      <c r="B758" s="3">
        <v>13460235</v>
      </c>
      <c r="C758" s="2" t="s">
        <v>226</v>
      </c>
      <c r="D758" s="3">
        <v>1</v>
      </c>
      <c r="E758" s="2">
        <v>30</v>
      </c>
      <c r="F758" s="2" t="str">
        <f t="shared" si="28"/>
        <v>SIN MODELO</v>
      </c>
      <c r="G758" s="2" t="str">
        <f>"63445060113011"</f>
        <v>63445060113011</v>
      </c>
      <c r="I758">
        <v>2</v>
      </c>
      <c r="J758" s="3">
        <v>2</v>
      </c>
      <c r="K758" s="2">
        <v>23</v>
      </c>
      <c r="L758" s="3" t="s">
        <v>2</v>
      </c>
      <c r="M758" s="4">
        <v>41610</v>
      </c>
      <c r="N758" s="3">
        <v>30.24</v>
      </c>
    </row>
    <row r="759" spans="1:14" x14ac:dyDescent="0.25">
      <c r="A759" s="2">
        <v>758</v>
      </c>
      <c r="B759" s="3">
        <v>13460236</v>
      </c>
      <c r="C759" s="2" t="s">
        <v>226</v>
      </c>
      <c r="D759" s="3">
        <v>1</v>
      </c>
      <c r="E759" s="2">
        <v>30</v>
      </c>
      <c r="F759" s="2" t="str">
        <f t="shared" si="28"/>
        <v>SIN MODELO</v>
      </c>
      <c r="G759" s="2" t="str">
        <f>"63445060113012"</f>
        <v>63445060113012</v>
      </c>
      <c r="I759">
        <v>2</v>
      </c>
      <c r="J759" s="3">
        <v>2</v>
      </c>
      <c r="K759" s="2">
        <v>23</v>
      </c>
      <c r="L759" s="3" t="s">
        <v>2</v>
      </c>
      <c r="M759" s="4">
        <v>41610</v>
      </c>
      <c r="N759" s="3">
        <v>30.24</v>
      </c>
    </row>
    <row r="760" spans="1:14" x14ac:dyDescent="0.25">
      <c r="A760" s="2">
        <v>759</v>
      </c>
      <c r="B760" s="3">
        <v>13460237</v>
      </c>
      <c r="C760" s="2" t="s">
        <v>226</v>
      </c>
      <c r="D760" s="3">
        <v>1</v>
      </c>
      <c r="E760" s="2">
        <v>30</v>
      </c>
      <c r="F760" s="2" t="str">
        <f t="shared" si="28"/>
        <v>SIN MODELO</v>
      </c>
      <c r="G760" s="2" t="str">
        <f>"63445060113013"</f>
        <v>63445060113013</v>
      </c>
      <c r="I760">
        <v>2</v>
      </c>
      <c r="J760" s="3">
        <v>2</v>
      </c>
      <c r="K760" s="2">
        <v>23</v>
      </c>
      <c r="L760" s="3" t="s">
        <v>2</v>
      </c>
      <c r="M760" s="4">
        <v>41610</v>
      </c>
      <c r="N760" s="3">
        <v>30.24</v>
      </c>
    </row>
    <row r="761" spans="1:14" x14ac:dyDescent="0.25">
      <c r="A761" s="2">
        <v>760</v>
      </c>
      <c r="B761" s="3">
        <v>13460238</v>
      </c>
      <c r="C761" s="2" t="s">
        <v>226</v>
      </c>
      <c r="D761" s="3">
        <v>1</v>
      </c>
      <c r="E761" s="2">
        <v>30</v>
      </c>
      <c r="F761" s="2" t="str">
        <f t="shared" si="28"/>
        <v>SIN MODELO</v>
      </c>
      <c r="G761" s="2" t="str">
        <f>"63445060113014"</f>
        <v>63445060113014</v>
      </c>
      <c r="I761">
        <v>2</v>
      </c>
      <c r="J761" s="3">
        <v>2</v>
      </c>
      <c r="K761" s="2">
        <v>23</v>
      </c>
      <c r="L761" s="3" t="s">
        <v>2</v>
      </c>
      <c r="M761" s="4">
        <v>41610</v>
      </c>
      <c r="N761" s="3">
        <v>30.24</v>
      </c>
    </row>
    <row r="762" spans="1:14" x14ac:dyDescent="0.25">
      <c r="A762" s="2">
        <v>761</v>
      </c>
      <c r="B762" s="3">
        <v>13460239</v>
      </c>
      <c r="C762" s="2" t="s">
        <v>226</v>
      </c>
      <c r="D762" s="3">
        <v>1</v>
      </c>
      <c r="E762" s="2">
        <v>30</v>
      </c>
      <c r="F762" s="2" t="str">
        <f t="shared" si="28"/>
        <v>SIN MODELO</v>
      </c>
      <c r="G762" s="2" t="str">
        <f>"63445060113015"</f>
        <v>63445060113015</v>
      </c>
      <c r="I762">
        <v>2</v>
      </c>
      <c r="J762" s="3">
        <v>2</v>
      </c>
      <c r="K762" s="2">
        <v>23</v>
      </c>
      <c r="L762" s="3" t="s">
        <v>2</v>
      </c>
      <c r="M762" s="4">
        <v>41610</v>
      </c>
      <c r="N762" s="3">
        <v>30.24</v>
      </c>
    </row>
    <row r="763" spans="1:14" x14ac:dyDescent="0.25">
      <c r="A763" s="2">
        <v>762</v>
      </c>
      <c r="B763" s="3">
        <v>13460240</v>
      </c>
      <c r="C763" s="2" t="s">
        <v>226</v>
      </c>
      <c r="D763" s="3">
        <v>1</v>
      </c>
      <c r="E763" s="2">
        <v>30</v>
      </c>
      <c r="F763" s="2" t="str">
        <f t="shared" si="28"/>
        <v>SIN MODELO</v>
      </c>
      <c r="G763" s="2" t="str">
        <f>"63445060113016"</f>
        <v>63445060113016</v>
      </c>
      <c r="I763">
        <v>2</v>
      </c>
      <c r="J763" s="3">
        <v>2</v>
      </c>
      <c r="K763" s="2">
        <v>23</v>
      </c>
      <c r="L763" s="3" t="s">
        <v>2</v>
      </c>
      <c r="M763" s="4">
        <v>41610</v>
      </c>
      <c r="N763" s="3">
        <v>30.24</v>
      </c>
    </row>
    <row r="764" spans="1:14" x14ac:dyDescent="0.25">
      <c r="A764" s="2">
        <v>763</v>
      </c>
      <c r="B764" s="3">
        <v>13460241</v>
      </c>
      <c r="C764" s="2" t="s">
        <v>226</v>
      </c>
      <c r="D764" s="3">
        <v>1</v>
      </c>
      <c r="E764" s="2">
        <v>30</v>
      </c>
      <c r="F764" s="2" t="str">
        <f t="shared" si="28"/>
        <v>SIN MODELO</v>
      </c>
      <c r="G764" s="2" t="str">
        <f>"63445060113017"</f>
        <v>63445060113017</v>
      </c>
      <c r="I764">
        <v>2</v>
      </c>
      <c r="J764" s="3">
        <v>2</v>
      </c>
      <c r="K764" s="2">
        <v>39</v>
      </c>
      <c r="L764" s="3" t="s">
        <v>2</v>
      </c>
      <c r="M764" s="4">
        <v>41610</v>
      </c>
      <c r="N764" s="3">
        <v>30.24</v>
      </c>
    </row>
    <row r="765" spans="1:14" x14ac:dyDescent="0.25">
      <c r="A765" s="2">
        <v>764</v>
      </c>
      <c r="B765" s="3">
        <v>13460242</v>
      </c>
      <c r="C765" s="2" t="s">
        <v>226</v>
      </c>
      <c r="D765" s="3">
        <v>1</v>
      </c>
      <c r="E765" s="2">
        <v>30</v>
      </c>
      <c r="F765" s="2" t="str">
        <f t="shared" si="28"/>
        <v>SIN MODELO</v>
      </c>
      <c r="G765" s="2" t="str">
        <f>"63445060113018"</f>
        <v>63445060113018</v>
      </c>
      <c r="I765">
        <v>2</v>
      </c>
      <c r="J765" s="3">
        <v>2</v>
      </c>
      <c r="K765" s="2">
        <v>39</v>
      </c>
      <c r="L765" s="3" t="s">
        <v>2</v>
      </c>
      <c r="M765" s="4">
        <v>41610</v>
      </c>
      <c r="N765" s="3">
        <v>30.24</v>
      </c>
    </row>
    <row r="766" spans="1:14" x14ac:dyDescent="0.25">
      <c r="A766" s="2">
        <v>765</v>
      </c>
      <c r="B766" s="3">
        <v>13460243</v>
      </c>
      <c r="C766" s="2" t="s">
        <v>226</v>
      </c>
      <c r="D766" s="3">
        <v>1</v>
      </c>
      <c r="E766" s="2">
        <v>30</v>
      </c>
      <c r="F766" s="2" t="str">
        <f t="shared" si="28"/>
        <v>SIN MODELO</v>
      </c>
      <c r="G766" s="2" t="str">
        <f>"63445060113019"</f>
        <v>63445060113019</v>
      </c>
      <c r="I766">
        <v>2</v>
      </c>
      <c r="J766" s="3">
        <v>2</v>
      </c>
      <c r="K766" s="2">
        <v>23</v>
      </c>
      <c r="L766" s="3" t="s">
        <v>2</v>
      </c>
      <c r="M766" s="4">
        <v>41610</v>
      </c>
      <c r="N766" s="3">
        <v>30.24</v>
      </c>
    </row>
    <row r="767" spans="1:14" x14ac:dyDescent="0.25">
      <c r="A767" s="2">
        <v>766</v>
      </c>
      <c r="B767" s="3">
        <v>13460244</v>
      </c>
      <c r="C767" s="2" t="s">
        <v>226</v>
      </c>
      <c r="D767" s="3">
        <v>1</v>
      </c>
      <c r="E767" s="2">
        <v>30</v>
      </c>
      <c r="F767" s="2" t="str">
        <f t="shared" si="28"/>
        <v>SIN MODELO</v>
      </c>
      <c r="G767" s="2" t="str">
        <f>"63445060113020"</f>
        <v>63445060113020</v>
      </c>
      <c r="I767">
        <v>2</v>
      </c>
      <c r="J767" s="3">
        <v>2</v>
      </c>
      <c r="K767" s="2">
        <v>23</v>
      </c>
      <c r="L767" s="3" t="s">
        <v>2</v>
      </c>
      <c r="M767" s="4">
        <v>41610</v>
      </c>
      <c r="N767" s="3">
        <v>30.24</v>
      </c>
    </row>
    <row r="768" spans="1:14" x14ac:dyDescent="0.25">
      <c r="A768" s="2">
        <v>767</v>
      </c>
      <c r="B768" s="3">
        <v>6794407</v>
      </c>
      <c r="C768" s="2" t="s">
        <v>145</v>
      </c>
      <c r="D768" s="3">
        <v>1</v>
      </c>
      <c r="E768" s="2">
        <v>42</v>
      </c>
      <c r="F768" s="2" t="str">
        <f t="shared" ref="F768:F782" si="29">"COMPAQ 6300 MT"</f>
        <v>COMPAQ 6300 MT</v>
      </c>
      <c r="G768" s="2" t="str">
        <f>"MXL3490W7W"</f>
        <v>MXL3490W7W</v>
      </c>
      <c r="I768">
        <v>20</v>
      </c>
      <c r="J768" s="3">
        <v>1</v>
      </c>
      <c r="K768" s="2">
        <v>4</v>
      </c>
      <c r="L768" s="3" t="s">
        <v>2</v>
      </c>
      <c r="M768" s="4">
        <v>41611</v>
      </c>
      <c r="N768" s="3">
        <v>865.32</v>
      </c>
    </row>
    <row r="769" spans="1:14" x14ac:dyDescent="0.25">
      <c r="A769" s="2">
        <v>768</v>
      </c>
      <c r="B769" s="3">
        <v>6794408</v>
      </c>
      <c r="C769" s="2" t="s">
        <v>145</v>
      </c>
      <c r="D769" s="3">
        <v>1</v>
      </c>
      <c r="E769" s="2">
        <v>42</v>
      </c>
      <c r="F769" s="2" t="str">
        <f t="shared" si="29"/>
        <v>COMPAQ 6300 MT</v>
      </c>
      <c r="G769" s="2" t="str">
        <f>"MXL3490NKD"</f>
        <v>MXL3490NKD</v>
      </c>
      <c r="I769">
        <v>20</v>
      </c>
      <c r="J769" s="3">
        <v>1</v>
      </c>
      <c r="K769" s="2">
        <v>4</v>
      </c>
      <c r="L769" s="3" t="s">
        <v>2</v>
      </c>
      <c r="M769" s="4">
        <v>41611</v>
      </c>
      <c r="N769" s="3">
        <v>865.32</v>
      </c>
    </row>
    <row r="770" spans="1:14" x14ac:dyDescent="0.25">
      <c r="A770" s="2">
        <v>769</v>
      </c>
      <c r="B770" s="3">
        <v>6794409</v>
      </c>
      <c r="C770" s="2" t="s">
        <v>145</v>
      </c>
      <c r="D770" s="3">
        <v>1</v>
      </c>
      <c r="E770" s="2">
        <v>42</v>
      </c>
      <c r="F770" s="2" t="str">
        <f t="shared" si="29"/>
        <v>COMPAQ 6300 MT</v>
      </c>
      <c r="G770" s="2" t="str">
        <f>"MXL3490NKG"</f>
        <v>MXL3490NKG</v>
      </c>
      <c r="I770">
        <v>20</v>
      </c>
      <c r="J770" s="3">
        <v>1</v>
      </c>
      <c r="K770" s="2">
        <v>4</v>
      </c>
      <c r="L770" s="3" t="s">
        <v>2</v>
      </c>
      <c r="M770" s="4">
        <v>41611</v>
      </c>
      <c r="N770" s="3">
        <v>865.32</v>
      </c>
    </row>
    <row r="771" spans="1:14" x14ac:dyDescent="0.25">
      <c r="A771" s="2">
        <v>770</v>
      </c>
      <c r="B771" s="3">
        <v>6794410</v>
      </c>
      <c r="C771" s="2" t="s">
        <v>145</v>
      </c>
      <c r="D771" s="3">
        <v>1</v>
      </c>
      <c r="E771" s="2">
        <v>42</v>
      </c>
      <c r="F771" s="2" t="str">
        <f t="shared" si="29"/>
        <v>COMPAQ 6300 MT</v>
      </c>
      <c r="G771" s="2" t="str">
        <f>"MXL3490LKT"</f>
        <v>MXL3490LKT</v>
      </c>
      <c r="I771">
        <v>20</v>
      </c>
      <c r="J771" s="3">
        <v>1</v>
      </c>
      <c r="K771" s="2">
        <v>4</v>
      </c>
      <c r="L771" s="3" t="s">
        <v>2</v>
      </c>
      <c r="M771" s="4">
        <v>41611</v>
      </c>
      <c r="N771" s="3">
        <v>865.32</v>
      </c>
    </row>
    <row r="772" spans="1:14" x14ac:dyDescent="0.25">
      <c r="A772" s="2">
        <v>771</v>
      </c>
      <c r="B772" s="3">
        <v>6794411</v>
      </c>
      <c r="C772" s="2" t="s">
        <v>145</v>
      </c>
      <c r="D772" s="3">
        <v>1</v>
      </c>
      <c r="E772" s="2">
        <v>42</v>
      </c>
      <c r="F772" s="2" t="str">
        <f t="shared" si="29"/>
        <v>COMPAQ 6300 MT</v>
      </c>
      <c r="G772" s="2" t="str">
        <f>"MXL3472P6L"</f>
        <v>MXL3472P6L</v>
      </c>
      <c r="I772">
        <v>20</v>
      </c>
      <c r="J772" s="3">
        <v>1</v>
      </c>
      <c r="K772" s="2">
        <v>4</v>
      </c>
      <c r="L772" s="3" t="s">
        <v>2</v>
      </c>
      <c r="M772" s="4">
        <v>41611</v>
      </c>
      <c r="N772" s="3">
        <v>865.32</v>
      </c>
    </row>
    <row r="773" spans="1:14" x14ac:dyDescent="0.25">
      <c r="A773" s="2">
        <v>772</v>
      </c>
      <c r="B773" s="3">
        <v>6794412</v>
      </c>
      <c r="C773" s="2" t="s">
        <v>145</v>
      </c>
      <c r="D773" s="3">
        <v>1</v>
      </c>
      <c r="E773" s="2">
        <v>42</v>
      </c>
      <c r="F773" s="2" t="str">
        <f t="shared" si="29"/>
        <v>COMPAQ 6300 MT</v>
      </c>
      <c r="G773" s="2" t="str">
        <f>"MXL3490NKY"</f>
        <v>MXL3490NKY</v>
      </c>
      <c r="I773">
        <v>20</v>
      </c>
      <c r="J773" s="3">
        <v>1</v>
      </c>
      <c r="K773" s="2">
        <v>4</v>
      </c>
      <c r="L773" s="3" t="s">
        <v>2</v>
      </c>
      <c r="M773" s="4">
        <v>41611</v>
      </c>
      <c r="N773" s="3">
        <v>865.32</v>
      </c>
    </row>
    <row r="774" spans="1:14" x14ac:dyDescent="0.25">
      <c r="A774" s="2">
        <v>773</v>
      </c>
      <c r="B774" s="3">
        <v>6794413</v>
      </c>
      <c r="C774" s="2" t="s">
        <v>145</v>
      </c>
      <c r="D774" s="3">
        <v>1</v>
      </c>
      <c r="E774" s="2">
        <v>42</v>
      </c>
      <c r="F774" s="2" t="str">
        <f t="shared" si="29"/>
        <v>COMPAQ 6300 MT</v>
      </c>
      <c r="G774" s="2" t="str">
        <f>"MXL3490NN5"</f>
        <v>MXL3490NN5</v>
      </c>
      <c r="I774">
        <v>20</v>
      </c>
      <c r="J774" s="3">
        <v>1</v>
      </c>
      <c r="K774" s="2">
        <v>4</v>
      </c>
      <c r="L774" s="3" t="s">
        <v>2</v>
      </c>
      <c r="M774" s="4">
        <v>41611</v>
      </c>
      <c r="N774" s="3">
        <v>865.32</v>
      </c>
    </row>
    <row r="775" spans="1:14" x14ac:dyDescent="0.25">
      <c r="A775" s="2">
        <v>774</v>
      </c>
      <c r="B775" s="3">
        <v>6794414</v>
      </c>
      <c r="C775" s="2" t="s">
        <v>145</v>
      </c>
      <c r="D775" s="3">
        <v>1</v>
      </c>
      <c r="E775" s="2">
        <v>42</v>
      </c>
      <c r="F775" s="2" t="str">
        <f t="shared" si="29"/>
        <v>COMPAQ 6300 MT</v>
      </c>
      <c r="G775" s="2" t="str">
        <f>"MXL3472NVM"</f>
        <v>MXL3472NVM</v>
      </c>
      <c r="I775">
        <v>20</v>
      </c>
      <c r="J775" s="3">
        <v>1</v>
      </c>
      <c r="K775" s="2">
        <v>4</v>
      </c>
      <c r="L775" s="3" t="s">
        <v>2</v>
      </c>
      <c r="M775" s="4">
        <v>41611</v>
      </c>
      <c r="N775" s="3">
        <v>865.32</v>
      </c>
    </row>
    <row r="776" spans="1:14" x14ac:dyDescent="0.25">
      <c r="A776" s="2">
        <v>775</v>
      </c>
      <c r="B776" s="3">
        <v>6794415</v>
      </c>
      <c r="C776" s="2" t="s">
        <v>145</v>
      </c>
      <c r="D776" s="3">
        <v>1</v>
      </c>
      <c r="E776" s="2">
        <v>42</v>
      </c>
      <c r="F776" s="2" t="str">
        <f t="shared" si="29"/>
        <v>COMPAQ 6300 MT</v>
      </c>
      <c r="G776" s="2" t="str">
        <f>"MXL3472P5B"</f>
        <v>MXL3472P5B</v>
      </c>
      <c r="I776">
        <v>20</v>
      </c>
      <c r="J776" s="3">
        <v>1</v>
      </c>
      <c r="K776" s="2">
        <v>4</v>
      </c>
      <c r="L776" s="3" t="s">
        <v>2</v>
      </c>
      <c r="M776" s="4">
        <v>41611</v>
      </c>
      <c r="N776" s="3">
        <v>865.33</v>
      </c>
    </row>
    <row r="777" spans="1:14" x14ac:dyDescent="0.25">
      <c r="A777" s="2">
        <v>776</v>
      </c>
      <c r="B777" s="3">
        <v>6794416</v>
      </c>
      <c r="C777" s="2" t="s">
        <v>145</v>
      </c>
      <c r="D777" s="3">
        <v>1</v>
      </c>
      <c r="E777" s="2">
        <v>42</v>
      </c>
      <c r="F777" s="2" t="str">
        <f t="shared" si="29"/>
        <v>COMPAQ 6300 MT</v>
      </c>
      <c r="G777" s="2" t="str">
        <f>"MXL3472CNN"</f>
        <v>MXL3472CNN</v>
      </c>
      <c r="I777">
        <v>20</v>
      </c>
      <c r="J777" s="3">
        <v>1</v>
      </c>
      <c r="K777" s="2">
        <v>4</v>
      </c>
      <c r="L777" s="3" t="s">
        <v>2</v>
      </c>
      <c r="M777" s="4">
        <v>41611</v>
      </c>
      <c r="N777" s="3">
        <v>865.33</v>
      </c>
    </row>
    <row r="778" spans="1:14" x14ac:dyDescent="0.25">
      <c r="A778" s="2">
        <v>777</v>
      </c>
      <c r="B778" s="3">
        <v>6794417</v>
      </c>
      <c r="C778" s="2" t="s">
        <v>145</v>
      </c>
      <c r="D778" s="3">
        <v>1</v>
      </c>
      <c r="E778" s="2">
        <v>42</v>
      </c>
      <c r="F778" s="2" t="str">
        <f t="shared" si="29"/>
        <v>COMPAQ 6300 MT</v>
      </c>
      <c r="G778" s="2" t="str">
        <f>"MXL3490W7R"</f>
        <v>MXL3490W7R</v>
      </c>
      <c r="I778">
        <v>20</v>
      </c>
      <c r="J778" s="3">
        <v>1</v>
      </c>
      <c r="K778" s="2">
        <v>4</v>
      </c>
      <c r="L778" s="3" t="s">
        <v>2</v>
      </c>
      <c r="M778" s="4">
        <v>41611</v>
      </c>
      <c r="N778" s="3">
        <v>865.33</v>
      </c>
    </row>
    <row r="779" spans="1:14" x14ac:dyDescent="0.25">
      <c r="A779" s="2">
        <v>778</v>
      </c>
      <c r="B779" s="3">
        <v>6794418</v>
      </c>
      <c r="C779" s="2" t="s">
        <v>145</v>
      </c>
      <c r="D779" s="3">
        <v>1</v>
      </c>
      <c r="E779" s="2">
        <v>42</v>
      </c>
      <c r="F779" s="2" t="str">
        <f t="shared" si="29"/>
        <v>COMPAQ 6300 MT</v>
      </c>
      <c r="G779" s="2" t="str">
        <f>"MXL3472NZ1"</f>
        <v>MXL3472NZ1</v>
      </c>
      <c r="I779">
        <v>20</v>
      </c>
      <c r="J779" s="3">
        <v>1</v>
      </c>
      <c r="K779" s="2">
        <v>4</v>
      </c>
      <c r="L779" s="3" t="s">
        <v>2</v>
      </c>
      <c r="M779" s="4">
        <v>41611</v>
      </c>
      <c r="N779" s="3">
        <v>865.33</v>
      </c>
    </row>
    <row r="780" spans="1:14" x14ac:dyDescent="0.25">
      <c r="A780" s="2">
        <v>779</v>
      </c>
      <c r="B780" s="3">
        <v>6794419</v>
      </c>
      <c r="C780" s="2" t="s">
        <v>145</v>
      </c>
      <c r="D780" s="3">
        <v>1</v>
      </c>
      <c r="E780" s="2">
        <v>42</v>
      </c>
      <c r="F780" s="2" t="str">
        <f t="shared" si="29"/>
        <v>COMPAQ 6300 MT</v>
      </c>
      <c r="G780" s="2" t="str">
        <f>"MXL3472CNQ"</f>
        <v>MXL3472CNQ</v>
      </c>
      <c r="I780">
        <v>20</v>
      </c>
      <c r="J780" s="3">
        <v>1</v>
      </c>
      <c r="K780" s="2">
        <v>4</v>
      </c>
      <c r="L780" s="3" t="s">
        <v>2</v>
      </c>
      <c r="M780" s="4">
        <v>41611</v>
      </c>
      <c r="N780" s="3">
        <v>865.33</v>
      </c>
    </row>
    <row r="781" spans="1:14" x14ac:dyDescent="0.25">
      <c r="A781" s="2">
        <v>780</v>
      </c>
      <c r="B781" s="3">
        <v>6794420</v>
      </c>
      <c r="C781" s="2" t="s">
        <v>145</v>
      </c>
      <c r="D781" s="3">
        <v>1</v>
      </c>
      <c r="E781" s="2">
        <v>42</v>
      </c>
      <c r="F781" s="2" t="str">
        <f t="shared" si="29"/>
        <v>COMPAQ 6300 MT</v>
      </c>
      <c r="G781" s="2" t="str">
        <f>"MXL3490LJW"</f>
        <v>MXL3490LJW</v>
      </c>
      <c r="I781">
        <v>20</v>
      </c>
      <c r="J781" s="3">
        <v>1</v>
      </c>
      <c r="K781" s="2">
        <v>4</v>
      </c>
      <c r="L781" s="3" t="s">
        <v>2</v>
      </c>
      <c r="M781" s="4">
        <v>41611</v>
      </c>
      <c r="N781" s="3">
        <v>865.33</v>
      </c>
    </row>
    <row r="782" spans="1:14" x14ac:dyDescent="0.25">
      <c r="A782" s="2">
        <v>781</v>
      </c>
      <c r="B782" s="3">
        <v>6794421</v>
      </c>
      <c r="C782" s="2" t="s">
        <v>145</v>
      </c>
      <c r="D782" s="3">
        <v>1</v>
      </c>
      <c r="E782" s="2">
        <v>42</v>
      </c>
      <c r="F782" s="2" t="str">
        <f t="shared" si="29"/>
        <v>COMPAQ 6300 MT</v>
      </c>
      <c r="G782" s="2" t="str">
        <f>"MXL3472MKD"</f>
        <v>MXL3472MKD</v>
      </c>
      <c r="I782">
        <v>20</v>
      </c>
      <c r="J782" s="3">
        <v>1</v>
      </c>
      <c r="K782" s="2">
        <v>4</v>
      </c>
      <c r="L782" s="3" t="s">
        <v>2</v>
      </c>
      <c r="M782" s="4">
        <v>41611</v>
      </c>
      <c r="N782" s="3">
        <v>865.33</v>
      </c>
    </row>
    <row r="783" spans="1:14" x14ac:dyDescent="0.25">
      <c r="A783" s="2">
        <v>782</v>
      </c>
      <c r="B783" s="3">
        <v>6794439</v>
      </c>
      <c r="C783" s="2" t="s">
        <v>196</v>
      </c>
      <c r="D783" s="3">
        <v>1</v>
      </c>
      <c r="E783" s="2">
        <v>42</v>
      </c>
      <c r="F783" s="2" t="str">
        <f>"ZBOOK 15"</f>
        <v>ZBOOK 15</v>
      </c>
      <c r="G783" s="2" t="str">
        <f>"CND3510HXB"</f>
        <v>CND3510HXB</v>
      </c>
      <c r="I783">
        <v>20</v>
      </c>
      <c r="J783" s="3">
        <v>1</v>
      </c>
      <c r="K783" s="2">
        <v>39</v>
      </c>
      <c r="L783" s="3" t="s">
        <v>2</v>
      </c>
      <c r="M783" s="4">
        <v>41611</v>
      </c>
      <c r="N783" s="5">
        <v>1959.12</v>
      </c>
    </row>
    <row r="784" spans="1:14" x14ac:dyDescent="0.25">
      <c r="A784" s="2">
        <v>783</v>
      </c>
      <c r="B784" s="3">
        <v>6794440</v>
      </c>
      <c r="C784" s="2" t="s">
        <v>196</v>
      </c>
      <c r="D784" s="3">
        <v>1</v>
      </c>
      <c r="E784" s="2">
        <v>42</v>
      </c>
      <c r="F784" s="2" t="str">
        <f>"ZBOOK 15"</f>
        <v>ZBOOK 15</v>
      </c>
      <c r="G784" s="2" t="str">
        <f>"CND3500CM0"</f>
        <v>CND3500CM0</v>
      </c>
      <c r="I784">
        <v>20</v>
      </c>
      <c r="J784" s="3">
        <v>1</v>
      </c>
      <c r="K784" s="2">
        <v>39</v>
      </c>
      <c r="L784" s="3" t="s">
        <v>2</v>
      </c>
      <c r="M784" s="4">
        <v>41611</v>
      </c>
      <c r="N784" s="5">
        <v>1959.12</v>
      </c>
    </row>
    <row r="785" spans="1:14" x14ac:dyDescent="0.25">
      <c r="A785" s="2">
        <v>784</v>
      </c>
      <c r="B785" s="3">
        <v>6794441</v>
      </c>
      <c r="C785" s="2" t="s">
        <v>196</v>
      </c>
      <c r="D785" s="3">
        <v>1</v>
      </c>
      <c r="E785" s="2">
        <v>42</v>
      </c>
      <c r="F785" s="2" t="str">
        <f>"ZBOOK 15"</f>
        <v>ZBOOK 15</v>
      </c>
      <c r="G785" s="2" t="str">
        <f>"CND3510HPT"</f>
        <v>CND3510HPT</v>
      </c>
      <c r="I785">
        <v>20</v>
      </c>
      <c r="J785" s="3">
        <v>1</v>
      </c>
      <c r="K785" s="2">
        <v>4</v>
      </c>
      <c r="L785" s="3" t="s">
        <v>2</v>
      </c>
      <c r="M785" s="4">
        <v>41611</v>
      </c>
      <c r="N785" s="5">
        <v>1959.12</v>
      </c>
    </row>
    <row r="786" spans="1:14" x14ac:dyDescent="0.25">
      <c r="A786" s="2">
        <v>785</v>
      </c>
      <c r="B786" s="3">
        <v>6794442</v>
      </c>
      <c r="C786" s="2" t="s">
        <v>196</v>
      </c>
      <c r="D786" s="3">
        <v>1</v>
      </c>
      <c r="E786" s="2">
        <v>42</v>
      </c>
      <c r="F786" s="2" t="str">
        <f>"ZBOOK 15"</f>
        <v>ZBOOK 15</v>
      </c>
      <c r="G786" s="2" t="str">
        <f>"CND3500CGT"</f>
        <v>CND3500CGT</v>
      </c>
      <c r="I786">
        <v>20</v>
      </c>
      <c r="J786" s="3">
        <v>1</v>
      </c>
      <c r="K786" s="2">
        <v>8</v>
      </c>
      <c r="L786" s="3" t="s">
        <v>2</v>
      </c>
      <c r="M786" s="4">
        <v>41611</v>
      </c>
      <c r="N786" s="5">
        <v>1959.12</v>
      </c>
    </row>
    <row r="787" spans="1:14" x14ac:dyDescent="0.25">
      <c r="A787" s="2">
        <v>786</v>
      </c>
      <c r="B787" s="3">
        <v>6794443</v>
      </c>
      <c r="C787" s="2" t="s">
        <v>196</v>
      </c>
      <c r="D787" s="3">
        <v>1</v>
      </c>
      <c r="E787" s="2">
        <v>42</v>
      </c>
      <c r="F787" s="2" t="str">
        <f>"ZBOOK 15"</f>
        <v>ZBOOK 15</v>
      </c>
      <c r="G787" s="2" t="str">
        <f>"CND3510HR5"</f>
        <v>CND3510HR5</v>
      </c>
      <c r="I787">
        <v>20</v>
      </c>
      <c r="J787" s="3">
        <v>1</v>
      </c>
      <c r="K787" s="2">
        <v>25</v>
      </c>
      <c r="L787" s="3" t="s">
        <v>2</v>
      </c>
      <c r="M787" s="4">
        <v>41611</v>
      </c>
      <c r="N787" s="5">
        <v>1959.12</v>
      </c>
    </row>
    <row r="788" spans="1:14" x14ac:dyDescent="0.25">
      <c r="A788" s="2">
        <v>787</v>
      </c>
      <c r="B788" s="3">
        <v>6794532</v>
      </c>
      <c r="C788" s="2" t="s">
        <v>195</v>
      </c>
      <c r="D788" s="3">
        <v>1</v>
      </c>
      <c r="E788" s="2">
        <v>42</v>
      </c>
      <c r="F788" s="2" t="str">
        <f t="shared" ref="F788:F802" si="30">"LV1911"</f>
        <v>LV1911</v>
      </c>
      <c r="G788" s="2" t="str">
        <f>"6CM3331QNJ"</f>
        <v>6CM3331QNJ</v>
      </c>
      <c r="I788">
        <v>20</v>
      </c>
      <c r="J788" s="3">
        <v>1</v>
      </c>
      <c r="K788" s="2">
        <v>4</v>
      </c>
      <c r="L788" s="3" t="s">
        <v>2</v>
      </c>
      <c r="M788" s="4">
        <v>41611</v>
      </c>
      <c r="N788" s="3">
        <v>154.03</v>
      </c>
    </row>
    <row r="789" spans="1:14" x14ac:dyDescent="0.25">
      <c r="A789" s="2">
        <v>788</v>
      </c>
      <c r="B789" s="3">
        <v>6794533</v>
      </c>
      <c r="C789" s="2" t="s">
        <v>195</v>
      </c>
      <c r="D789" s="3">
        <v>1</v>
      </c>
      <c r="E789" s="2">
        <v>42</v>
      </c>
      <c r="F789" s="2" t="str">
        <f t="shared" si="30"/>
        <v>LV1911</v>
      </c>
      <c r="G789" s="2" t="str">
        <f>"6CM3331R77"</f>
        <v>6CM3331R77</v>
      </c>
      <c r="I789">
        <v>20</v>
      </c>
      <c r="J789" s="3">
        <v>1</v>
      </c>
      <c r="K789" s="2">
        <v>4</v>
      </c>
      <c r="L789" s="3" t="s">
        <v>2</v>
      </c>
      <c r="M789" s="4">
        <v>41611</v>
      </c>
      <c r="N789" s="3">
        <v>154.03</v>
      </c>
    </row>
    <row r="790" spans="1:14" x14ac:dyDescent="0.25">
      <c r="A790" s="2">
        <v>789</v>
      </c>
      <c r="B790" s="3">
        <v>6794534</v>
      </c>
      <c r="C790" s="2" t="s">
        <v>195</v>
      </c>
      <c r="D790" s="3">
        <v>1</v>
      </c>
      <c r="E790" s="2">
        <v>42</v>
      </c>
      <c r="F790" s="2" t="str">
        <f t="shared" si="30"/>
        <v>LV1911</v>
      </c>
      <c r="G790" s="2" t="str">
        <f>"6CM3331R6L"</f>
        <v>6CM3331R6L</v>
      </c>
      <c r="I790">
        <v>20</v>
      </c>
      <c r="J790" s="3">
        <v>1</v>
      </c>
      <c r="K790" s="2">
        <v>4</v>
      </c>
      <c r="L790" s="3" t="s">
        <v>2</v>
      </c>
      <c r="M790" s="4">
        <v>41611</v>
      </c>
      <c r="N790" s="3">
        <v>154.03</v>
      </c>
    </row>
    <row r="791" spans="1:14" x14ac:dyDescent="0.25">
      <c r="A791" s="2">
        <v>790</v>
      </c>
      <c r="B791" s="3">
        <v>6794535</v>
      </c>
      <c r="C791" s="2" t="s">
        <v>195</v>
      </c>
      <c r="D791" s="3">
        <v>1</v>
      </c>
      <c r="E791" s="2">
        <v>42</v>
      </c>
      <c r="F791" s="2" t="str">
        <f t="shared" si="30"/>
        <v>LV1911</v>
      </c>
      <c r="G791" s="2" t="str">
        <f>"6CM3331R6Y"</f>
        <v>6CM3331R6Y</v>
      </c>
      <c r="I791">
        <v>20</v>
      </c>
      <c r="J791" s="3">
        <v>1</v>
      </c>
      <c r="K791" s="2">
        <v>4</v>
      </c>
      <c r="L791" s="3" t="s">
        <v>2</v>
      </c>
      <c r="M791" s="4">
        <v>41611</v>
      </c>
      <c r="N791" s="3">
        <v>154.03</v>
      </c>
    </row>
    <row r="792" spans="1:14" x14ac:dyDescent="0.25">
      <c r="A792" s="2">
        <v>791</v>
      </c>
      <c r="B792" s="3">
        <v>6794536</v>
      </c>
      <c r="C792" s="2" t="s">
        <v>195</v>
      </c>
      <c r="D792" s="3">
        <v>1</v>
      </c>
      <c r="E792" s="2">
        <v>42</v>
      </c>
      <c r="F792" s="2" t="str">
        <f t="shared" si="30"/>
        <v>LV1911</v>
      </c>
      <c r="G792" s="2" t="str">
        <f>"6CM3331R70"</f>
        <v>6CM3331R70</v>
      </c>
      <c r="I792">
        <v>20</v>
      </c>
      <c r="J792" s="3">
        <v>1</v>
      </c>
      <c r="K792" s="2">
        <v>4</v>
      </c>
      <c r="L792" s="3" t="s">
        <v>2</v>
      </c>
      <c r="M792" s="4">
        <v>41611</v>
      </c>
      <c r="N792" s="3">
        <v>154.03</v>
      </c>
    </row>
    <row r="793" spans="1:14" x14ac:dyDescent="0.25">
      <c r="A793" s="2">
        <v>792</v>
      </c>
      <c r="B793" s="3">
        <v>6794537</v>
      </c>
      <c r="C793" s="2" t="s">
        <v>195</v>
      </c>
      <c r="D793" s="3">
        <v>1</v>
      </c>
      <c r="E793" s="2">
        <v>42</v>
      </c>
      <c r="F793" s="2" t="str">
        <f t="shared" si="30"/>
        <v>LV1911</v>
      </c>
      <c r="G793" s="2" t="str">
        <f>"6CM3331R67"</f>
        <v>6CM3331R67</v>
      </c>
      <c r="I793">
        <v>20</v>
      </c>
      <c r="J793" s="3">
        <v>1</v>
      </c>
      <c r="K793" s="2">
        <v>4</v>
      </c>
      <c r="L793" s="3" t="s">
        <v>2</v>
      </c>
      <c r="M793" s="4">
        <v>41611</v>
      </c>
      <c r="N793" s="3">
        <v>154.03</v>
      </c>
    </row>
    <row r="794" spans="1:14" x14ac:dyDescent="0.25">
      <c r="A794" s="2">
        <v>793</v>
      </c>
      <c r="B794" s="3">
        <v>6794538</v>
      </c>
      <c r="C794" s="2" t="s">
        <v>195</v>
      </c>
      <c r="D794" s="3">
        <v>1</v>
      </c>
      <c r="E794" s="2">
        <v>42</v>
      </c>
      <c r="F794" s="2" t="str">
        <f t="shared" si="30"/>
        <v>LV1911</v>
      </c>
      <c r="G794" s="2" t="str">
        <f>"6CM3331R6Z"</f>
        <v>6CM3331R6Z</v>
      </c>
      <c r="I794">
        <v>20</v>
      </c>
      <c r="J794" s="3">
        <v>1</v>
      </c>
      <c r="K794" s="2">
        <v>4</v>
      </c>
      <c r="L794" s="3" t="s">
        <v>2</v>
      </c>
      <c r="M794" s="4">
        <v>41611</v>
      </c>
      <c r="N794" s="3">
        <v>154.03</v>
      </c>
    </row>
    <row r="795" spans="1:14" x14ac:dyDescent="0.25">
      <c r="A795" s="2">
        <v>794</v>
      </c>
      <c r="B795" s="3">
        <v>6794539</v>
      </c>
      <c r="C795" s="2" t="s">
        <v>195</v>
      </c>
      <c r="D795" s="3">
        <v>1</v>
      </c>
      <c r="E795" s="2">
        <v>42</v>
      </c>
      <c r="F795" s="2" t="str">
        <f t="shared" si="30"/>
        <v>LV1911</v>
      </c>
      <c r="G795" s="2" t="str">
        <f>"6CM3331QNR"</f>
        <v>6CM3331QNR</v>
      </c>
      <c r="I795">
        <v>20</v>
      </c>
      <c r="J795" s="3">
        <v>1</v>
      </c>
      <c r="K795" s="2">
        <v>4</v>
      </c>
      <c r="L795" s="3" t="s">
        <v>2</v>
      </c>
      <c r="M795" s="4">
        <v>41611</v>
      </c>
      <c r="N795" s="3">
        <v>154.03</v>
      </c>
    </row>
    <row r="796" spans="1:14" x14ac:dyDescent="0.25">
      <c r="A796" s="2">
        <v>795</v>
      </c>
      <c r="B796" s="3">
        <v>6794540</v>
      </c>
      <c r="C796" s="2" t="s">
        <v>195</v>
      </c>
      <c r="D796" s="3">
        <v>1</v>
      </c>
      <c r="E796" s="2">
        <v>42</v>
      </c>
      <c r="F796" s="2" t="str">
        <f t="shared" si="30"/>
        <v>LV1911</v>
      </c>
      <c r="G796" s="2" t="str">
        <f>"6CM3331QNH"</f>
        <v>6CM3331QNH</v>
      </c>
      <c r="I796">
        <v>20</v>
      </c>
      <c r="J796" s="3">
        <v>1</v>
      </c>
      <c r="K796" s="2">
        <v>4</v>
      </c>
      <c r="L796" s="3" t="s">
        <v>2</v>
      </c>
      <c r="M796" s="4">
        <v>41611</v>
      </c>
      <c r="N796" s="3">
        <v>154.03</v>
      </c>
    </row>
    <row r="797" spans="1:14" x14ac:dyDescent="0.25">
      <c r="A797" s="2">
        <v>796</v>
      </c>
      <c r="B797" s="3">
        <v>6794541</v>
      </c>
      <c r="C797" s="2" t="s">
        <v>195</v>
      </c>
      <c r="D797" s="3">
        <v>1</v>
      </c>
      <c r="E797" s="2">
        <v>42</v>
      </c>
      <c r="F797" s="2" t="str">
        <f t="shared" si="30"/>
        <v>LV1911</v>
      </c>
      <c r="G797" s="2" t="str">
        <f>"6CM3331QNZ"</f>
        <v>6CM3331QNZ</v>
      </c>
      <c r="I797">
        <v>20</v>
      </c>
      <c r="J797" s="3">
        <v>1</v>
      </c>
      <c r="K797" s="2">
        <v>4</v>
      </c>
      <c r="L797" s="3" t="s">
        <v>2</v>
      </c>
      <c r="M797" s="4">
        <v>41611</v>
      </c>
      <c r="N797" s="3">
        <v>154.03</v>
      </c>
    </row>
    <row r="798" spans="1:14" x14ac:dyDescent="0.25">
      <c r="A798" s="2">
        <v>797</v>
      </c>
      <c r="B798" s="3">
        <v>6794542</v>
      </c>
      <c r="C798" s="2" t="s">
        <v>195</v>
      </c>
      <c r="D798" s="3">
        <v>1</v>
      </c>
      <c r="E798" s="2">
        <v>42</v>
      </c>
      <c r="F798" s="2" t="str">
        <f t="shared" si="30"/>
        <v>LV1911</v>
      </c>
      <c r="G798" s="2" t="str">
        <f>"6CM3331R71"</f>
        <v>6CM3331R71</v>
      </c>
      <c r="I798">
        <v>20</v>
      </c>
      <c r="J798" s="3">
        <v>1</v>
      </c>
      <c r="K798" s="2">
        <v>4</v>
      </c>
      <c r="L798" s="3" t="s">
        <v>2</v>
      </c>
      <c r="M798" s="4">
        <v>41611</v>
      </c>
      <c r="N798" s="3">
        <v>154.03</v>
      </c>
    </row>
    <row r="799" spans="1:14" x14ac:dyDescent="0.25">
      <c r="A799" s="2">
        <v>798</v>
      </c>
      <c r="B799" s="3">
        <v>6794543</v>
      </c>
      <c r="C799" s="2" t="s">
        <v>195</v>
      </c>
      <c r="D799" s="3">
        <v>1</v>
      </c>
      <c r="E799" s="2">
        <v>42</v>
      </c>
      <c r="F799" s="2" t="str">
        <f t="shared" si="30"/>
        <v>LV1911</v>
      </c>
      <c r="G799" s="2" t="str">
        <f>"6CM3331R78"</f>
        <v>6CM3331R78</v>
      </c>
      <c r="I799">
        <v>20</v>
      </c>
      <c r="J799" s="3">
        <v>1</v>
      </c>
      <c r="K799" s="2">
        <v>4</v>
      </c>
      <c r="L799" s="3" t="s">
        <v>2</v>
      </c>
      <c r="M799" s="4">
        <v>41611</v>
      </c>
      <c r="N799" s="3">
        <v>154.03</v>
      </c>
    </row>
    <row r="800" spans="1:14" x14ac:dyDescent="0.25">
      <c r="A800" s="2">
        <v>799</v>
      </c>
      <c r="B800" s="3">
        <v>6794544</v>
      </c>
      <c r="C800" s="2" t="s">
        <v>195</v>
      </c>
      <c r="D800" s="3">
        <v>1</v>
      </c>
      <c r="E800" s="2">
        <v>42</v>
      </c>
      <c r="F800" s="2" t="str">
        <f t="shared" si="30"/>
        <v>LV1911</v>
      </c>
      <c r="G800" s="2" t="str">
        <f>"6CM3331QNG"</f>
        <v>6CM3331QNG</v>
      </c>
      <c r="I800">
        <v>20</v>
      </c>
      <c r="J800" s="3">
        <v>1</v>
      </c>
      <c r="K800" s="2">
        <v>4</v>
      </c>
      <c r="L800" s="3" t="s">
        <v>2</v>
      </c>
      <c r="M800" s="4">
        <v>41611</v>
      </c>
      <c r="N800" s="3">
        <v>154.03</v>
      </c>
    </row>
    <row r="801" spans="1:14" x14ac:dyDescent="0.25">
      <c r="A801" s="2">
        <v>800</v>
      </c>
      <c r="B801" s="3">
        <v>6794545</v>
      </c>
      <c r="C801" s="2" t="s">
        <v>195</v>
      </c>
      <c r="D801" s="3">
        <v>1</v>
      </c>
      <c r="E801" s="2">
        <v>42</v>
      </c>
      <c r="F801" s="2" t="str">
        <f t="shared" si="30"/>
        <v>LV1911</v>
      </c>
      <c r="G801" s="2" t="str">
        <f>"6CM3331RRN"</f>
        <v>6CM3331RRN</v>
      </c>
      <c r="I801">
        <v>20</v>
      </c>
      <c r="J801" s="3">
        <v>1</v>
      </c>
      <c r="K801" s="2">
        <v>4</v>
      </c>
      <c r="L801" s="3" t="s">
        <v>2</v>
      </c>
      <c r="M801" s="4">
        <v>41611</v>
      </c>
      <c r="N801" s="3">
        <v>154.03</v>
      </c>
    </row>
    <row r="802" spans="1:14" x14ac:dyDescent="0.25">
      <c r="A802" s="2">
        <v>801</v>
      </c>
      <c r="B802" s="3">
        <v>6794546</v>
      </c>
      <c r="C802" s="2" t="s">
        <v>195</v>
      </c>
      <c r="D802" s="3">
        <v>1</v>
      </c>
      <c r="E802" s="2">
        <v>42</v>
      </c>
      <c r="F802" s="2" t="str">
        <f t="shared" si="30"/>
        <v>LV1911</v>
      </c>
      <c r="G802" s="2" t="str">
        <f>"6CM3331RRP"</f>
        <v>6CM3331RRP</v>
      </c>
      <c r="I802">
        <v>20</v>
      </c>
      <c r="J802" s="3">
        <v>1</v>
      </c>
      <c r="K802" s="2">
        <v>4</v>
      </c>
      <c r="L802" s="3" t="s">
        <v>2</v>
      </c>
      <c r="M802" s="4">
        <v>41611</v>
      </c>
      <c r="N802" s="3">
        <v>154.03</v>
      </c>
    </row>
    <row r="803" spans="1:14" x14ac:dyDescent="0.25">
      <c r="A803" s="2">
        <v>802</v>
      </c>
      <c r="B803" s="3">
        <v>13382664</v>
      </c>
      <c r="C803" s="2" t="s">
        <v>198</v>
      </c>
      <c r="D803" s="3">
        <v>1</v>
      </c>
      <c r="E803" s="2">
        <v>42</v>
      </c>
      <c r="F803" s="2" t="str">
        <f t="shared" ref="F803:F817" si="31">"KB 0316"</f>
        <v>KB 0316</v>
      </c>
      <c r="G803" s="2" t="str">
        <f>"BAUDU0OVB1V4YS"</f>
        <v>BAUDU0OVB1V4YS</v>
      </c>
      <c r="I803">
        <v>20</v>
      </c>
      <c r="J803" s="3">
        <v>1</v>
      </c>
      <c r="K803" s="2">
        <v>4</v>
      </c>
      <c r="L803" s="3" t="s">
        <v>2</v>
      </c>
      <c r="M803" s="4">
        <v>41611</v>
      </c>
      <c r="N803" s="3">
        <v>14.04</v>
      </c>
    </row>
    <row r="804" spans="1:14" x14ac:dyDescent="0.25">
      <c r="A804" s="2">
        <v>803</v>
      </c>
      <c r="B804" s="3">
        <v>13382665</v>
      </c>
      <c r="C804" s="2" t="s">
        <v>198</v>
      </c>
      <c r="D804" s="3">
        <v>1</v>
      </c>
      <c r="E804" s="2">
        <v>42</v>
      </c>
      <c r="F804" s="2" t="str">
        <f t="shared" si="31"/>
        <v>KB 0316</v>
      </c>
      <c r="G804" s="2" t="str">
        <f>"BDAEV0Q5Y5B337"</f>
        <v>BDAEV0Q5Y5B337</v>
      </c>
      <c r="I804">
        <v>20</v>
      </c>
      <c r="J804" s="3">
        <v>1</v>
      </c>
      <c r="K804" s="2">
        <v>4</v>
      </c>
      <c r="L804" s="3" t="s">
        <v>2</v>
      </c>
      <c r="M804" s="4">
        <v>41611</v>
      </c>
      <c r="N804" s="3">
        <v>14.04</v>
      </c>
    </row>
    <row r="805" spans="1:14" x14ac:dyDescent="0.25">
      <c r="A805" s="2">
        <v>804</v>
      </c>
      <c r="B805" s="3">
        <v>13382666</v>
      </c>
      <c r="C805" s="2" t="s">
        <v>198</v>
      </c>
      <c r="D805" s="3">
        <v>1</v>
      </c>
      <c r="E805" s="2">
        <v>42</v>
      </c>
      <c r="F805" s="2" t="str">
        <f t="shared" si="31"/>
        <v>KB 0316</v>
      </c>
      <c r="G805" s="2" t="str">
        <f>"BDAEV0Q5Y5F8TR"</f>
        <v>BDAEV0Q5Y5F8TR</v>
      </c>
      <c r="I805">
        <v>20</v>
      </c>
      <c r="J805" s="3">
        <v>1</v>
      </c>
      <c r="K805" s="2">
        <v>4</v>
      </c>
      <c r="L805" s="3" t="s">
        <v>2</v>
      </c>
      <c r="M805" s="4">
        <v>41611</v>
      </c>
      <c r="N805" s="3">
        <v>14.04</v>
      </c>
    </row>
    <row r="806" spans="1:14" x14ac:dyDescent="0.25">
      <c r="A806" s="2">
        <v>805</v>
      </c>
      <c r="B806" s="3">
        <v>13382667</v>
      </c>
      <c r="C806" s="2" t="s">
        <v>198</v>
      </c>
      <c r="D806" s="3">
        <v>1</v>
      </c>
      <c r="E806" s="2">
        <v>42</v>
      </c>
      <c r="F806" s="2" t="str">
        <f t="shared" si="31"/>
        <v>KB 0316</v>
      </c>
      <c r="G806" s="2" t="str">
        <f>"BDAEV0Q5Y5F63Z"</f>
        <v>BDAEV0Q5Y5F63Z</v>
      </c>
      <c r="I806">
        <v>20</v>
      </c>
      <c r="J806" s="3">
        <v>1</v>
      </c>
      <c r="K806" s="2">
        <v>4</v>
      </c>
      <c r="L806" s="3" t="s">
        <v>2</v>
      </c>
      <c r="M806" s="4">
        <v>41611</v>
      </c>
      <c r="N806" s="3">
        <v>14.04</v>
      </c>
    </row>
    <row r="807" spans="1:14" x14ac:dyDescent="0.25">
      <c r="A807" s="2">
        <v>806</v>
      </c>
      <c r="B807" s="3">
        <v>13382668</v>
      </c>
      <c r="C807" s="2" t="s">
        <v>198</v>
      </c>
      <c r="D807" s="3">
        <v>1</v>
      </c>
      <c r="E807" s="2">
        <v>42</v>
      </c>
      <c r="F807" s="2" t="str">
        <f t="shared" si="31"/>
        <v>KB 0316</v>
      </c>
      <c r="G807" s="2" t="str">
        <f>"BDAEV0Q5Y4V3S4"</f>
        <v>BDAEV0Q5Y4V3S4</v>
      </c>
      <c r="I807">
        <v>20</v>
      </c>
      <c r="J807" s="3">
        <v>1</v>
      </c>
      <c r="K807" s="2">
        <v>4</v>
      </c>
      <c r="L807" s="3" t="s">
        <v>2</v>
      </c>
      <c r="M807" s="4">
        <v>41611</v>
      </c>
      <c r="N807" s="3">
        <v>14.04</v>
      </c>
    </row>
    <row r="808" spans="1:14" x14ac:dyDescent="0.25">
      <c r="A808" s="2">
        <v>807</v>
      </c>
      <c r="B808" s="3">
        <v>13382669</v>
      </c>
      <c r="C808" s="2" t="s">
        <v>198</v>
      </c>
      <c r="D808" s="3">
        <v>1</v>
      </c>
      <c r="E808" s="2">
        <v>42</v>
      </c>
      <c r="F808" s="2" t="str">
        <f t="shared" si="31"/>
        <v>KB 0316</v>
      </c>
      <c r="G808" s="2" t="str">
        <f>"BDAEV0Q5Y5F644"</f>
        <v>BDAEV0Q5Y5F644</v>
      </c>
      <c r="I808">
        <v>20</v>
      </c>
      <c r="J808" s="3">
        <v>1</v>
      </c>
      <c r="K808" s="2">
        <v>4</v>
      </c>
      <c r="L808" s="3" t="s">
        <v>2</v>
      </c>
      <c r="M808" s="4">
        <v>41611</v>
      </c>
      <c r="N808" s="3">
        <v>14.04</v>
      </c>
    </row>
    <row r="809" spans="1:14" x14ac:dyDescent="0.25">
      <c r="A809" s="2">
        <v>808</v>
      </c>
      <c r="B809" s="3">
        <v>13382670</v>
      </c>
      <c r="C809" s="2" t="s">
        <v>198</v>
      </c>
      <c r="D809" s="3">
        <v>1</v>
      </c>
      <c r="E809" s="2">
        <v>42</v>
      </c>
      <c r="F809" s="2" t="str">
        <f t="shared" si="31"/>
        <v>KB 0316</v>
      </c>
      <c r="G809" s="2" t="str">
        <f>"BDAEV0Q5Y4V3S3"</f>
        <v>BDAEV0Q5Y4V3S3</v>
      </c>
      <c r="I809">
        <v>20</v>
      </c>
      <c r="J809" s="3">
        <v>1</v>
      </c>
      <c r="K809" s="2">
        <v>4</v>
      </c>
      <c r="L809" s="3" t="s">
        <v>2</v>
      </c>
      <c r="M809" s="4">
        <v>41611</v>
      </c>
      <c r="N809" s="3">
        <v>14.04</v>
      </c>
    </row>
    <row r="810" spans="1:14" x14ac:dyDescent="0.25">
      <c r="A810" s="2">
        <v>809</v>
      </c>
      <c r="B810" s="3">
        <v>13382671</v>
      </c>
      <c r="C810" s="2" t="s">
        <v>198</v>
      </c>
      <c r="D810" s="3">
        <v>1</v>
      </c>
      <c r="E810" s="2">
        <v>42</v>
      </c>
      <c r="F810" s="2" t="str">
        <f t="shared" si="31"/>
        <v>KB 0316</v>
      </c>
      <c r="G810" s="2" t="str">
        <f>"BDAEV0Q5Y5B0G9"</f>
        <v>BDAEV0Q5Y5B0G9</v>
      </c>
      <c r="I810">
        <v>20</v>
      </c>
      <c r="J810" s="3">
        <v>1</v>
      </c>
      <c r="K810" s="2">
        <v>4</v>
      </c>
      <c r="L810" s="3" t="s">
        <v>2</v>
      </c>
      <c r="M810" s="4">
        <v>41611</v>
      </c>
      <c r="N810" s="3">
        <v>14.04</v>
      </c>
    </row>
    <row r="811" spans="1:14" x14ac:dyDescent="0.25">
      <c r="A811" s="2">
        <v>810</v>
      </c>
      <c r="B811" s="3">
        <v>13382672</v>
      </c>
      <c r="C811" s="2" t="s">
        <v>198</v>
      </c>
      <c r="D811" s="3">
        <v>1</v>
      </c>
      <c r="E811" s="2">
        <v>42</v>
      </c>
      <c r="F811" s="2" t="str">
        <f t="shared" si="31"/>
        <v>KB 0316</v>
      </c>
      <c r="G811" s="2" t="str">
        <f>"BDAEV0Q5Y5F8UW"</f>
        <v>BDAEV0Q5Y5F8UW</v>
      </c>
      <c r="I811">
        <v>20</v>
      </c>
      <c r="J811" s="3">
        <v>1</v>
      </c>
      <c r="K811" s="2">
        <v>4</v>
      </c>
      <c r="L811" s="3" t="s">
        <v>2</v>
      </c>
      <c r="M811" s="4">
        <v>41611</v>
      </c>
      <c r="N811" s="3">
        <v>14.04</v>
      </c>
    </row>
    <row r="812" spans="1:14" x14ac:dyDescent="0.25">
      <c r="A812" s="2">
        <v>811</v>
      </c>
      <c r="B812" s="3">
        <v>13382673</v>
      </c>
      <c r="C812" s="2" t="s">
        <v>198</v>
      </c>
      <c r="D812" s="3">
        <v>1</v>
      </c>
      <c r="E812" s="2">
        <v>42</v>
      </c>
      <c r="F812" s="2" t="str">
        <f t="shared" si="31"/>
        <v>KB 0316</v>
      </c>
      <c r="G812" s="2" t="str">
        <f>"BDAEV0Q5Y4V5JP"</f>
        <v>BDAEV0Q5Y4V5JP</v>
      </c>
      <c r="I812">
        <v>20</v>
      </c>
      <c r="J812" s="3">
        <v>1</v>
      </c>
      <c r="K812" s="2">
        <v>4</v>
      </c>
      <c r="L812" s="3" t="s">
        <v>2</v>
      </c>
      <c r="M812" s="4">
        <v>41611</v>
      </c>
      <c r="N812" s="3">
        <v>14.04</v>
      </c>
    </row>
    <row r="813" spans="1:14" x14ac:dyDescent="0.25">
      <c r="A813" s="2">
        <v>812</v>
      </c>
      <c r="B813" s="3">
        <v>13382674</v>
      </c>
      <c r="C813" s="2" t="s">
        <v>198</v>
      </c>
      <c r="D813" s="3">
        <v>1</v>
      </c>
      <c r="E813" s="2">
        <v>42</v>
      </c>
      <c r="F813" s="2" t="str">
        <f t="shared" si="31"/>
        <v>KB 0316</v>
      </c>
      <c r="G813" s="2" t="str">
        <f>"BDAEV0Q5Y5F8TL"</f>
        <v>BDAEV0Q5Y5F8TL</v>
      </c>
      <c r="I813">
        <v>20</v>
      </c>
      <c r="J813" s="3">
        <v>1</v>
      </c>
      <c r="K813" s="2">
        <v>4</v>
      </c>
      <c r="L813" s="3" t="s">
        <v>2</v>
      </c>
      <c r="M813" s="4">
        <v>41611</v>
      </c>
      <c r="N813" s="3">
        <v>14.04</v>
      </c>
    </row>
    <row r="814" spans="1:14" x14ac:dyDescent="0.25">
      <c r="A814" s="2">
        <v>813</v>
      </c>
      <c r="B814" s="3">
        <v>13382675</v>
      </c>
      <c r="C814" s="2" t="s">
        <v>198</v>
      </c>
      <c r="D814" s="3">
        <v>1</v>
      </c>
      <c r="E814" s="2">
        <v>42</v>
      </c>
      <c r="F814" s="2" t="str">
        <f t="shared" si="31"/>
        <v>KB 0316</v>
      </c>
      <c r="G814" s="2" t="str">
        <f>"BAUDU0OVB2PDK3"</f>
        <v>BAUDU0OVB2PDK3</v>
      </c>
      <c r="I814">
        <v>20</v>
      </c>
      <c r="J814" s="3">
        <v>1</v>
      </c>
      <c r="K814" s="2">
        <v>4</v>
      </c>
      <c r="L814" s="3" t="s">
        <v>2</v>
      </c>
      <c r="M814" s="4">
        <v>41611</v>
      </c>
      <c r="N814" s="3">
        <v>14.04</v>
      </c>
    </row>
    <row r="815" spans="1:14" x14ac:dyDescent="0.25">
      <c r="A815" s="2">
        <v>814</v>
      </c>
      <c r="B815" s="3">
        <v>13382676</v>
      </c>
      <c r="C815" s="2" t="s">
        <v>198</v>
      </c>
      <c r="D815" s="3">
        <v>1</v>
      </c>
      <c r="E815" s="2">
        <v>42</v>
      </c>
      <c r="F815" s="2" t="str">
        <f t="shared" si="31"/>
        <v>KB 0316</v>
      </c>
      <c r="G815" s="2" t="str">
        <f>"BDAEV0Q5Y5F8TC"</f>
        <v>BDAEV0Q5Y5F8TC</v>
      </c>
      <c r="I815">
        <v>20</v>
      </c>
      <c r="J815" s="3">
        <v>1</v>
      </c>
      <c r="K815" s="2">
        <v>4</v>
      </c>
      <c r="L815" s="3" t="s">
        <v>2</v>
      </c>
      <c r="M815" s="4">
        <v>41611</v>
      </c>
      <c r="N815" s="3">
        <v>14.04</v>
      </c>
    </row>
    <row r="816" spans="1:14" x14ac:dyDescent="0.25">
      <c r="A816" s="2">
        <v>815</v>
      </c>
      <c r="B816" s="3">
        <v>13382677</v>
      </c>
      <c r="C816" s="2" t="s">
        <v>198</v>
      </c>
      <c r="D816" s="3">
        <v>1</v>
      </c>
      <c r="E816" s="2">
        <v>42</v>
      </c>
      <c r="F816" s="2" t="str">
        <f t="shared" si="31"/>
        <v>KB 0316</v>
      </c>
      <c r="G816" s="2" t="str">
        <f>"BDAEV0Q5Y5B49G"</f>
        <v>BDAEV0Q5Y5B49G</v>
      </c>
      <c r="I816">
        <v>20</v>
      </c>
      <c r="J816" s="3">
        <v>1</v>
      </c>
      <c r="K816" s="2">
        <v>4</v>
      </c>
      <c r="L816" s="3" t="s">
        <v>2</v>
      </c>
      <c r="M816" s="4">
        <v>41611</v>
      </c>
      <c r="N816" s="3">
        <v>14.04</v>
      </c>
    </row>
    <row r="817" spans="1:14" x14ac:dyDescent="0.25">
      <c r="A817" s="2">
        <v>816</v>
      </c>
      <c r="B817" s="3">
        <v>13382678</v>
      </c>
      <c r="C817" s="2" t="s">
        <v>198</v>
      </c>
      <c r="D817" s="3">
        <v>1</v>
      </c>
      <c r="E817" s="2">
        <v>42</v>
      </c>
      <c r="F817" s="2" t="str">
        <f t="shared" si="31"/>
        <v>KB 0316</v>
      </c>
      <c r="G817" s="2" t="str">
        <f>"BDAEV0Q5Y4V5LE"</f>
        <v>BDAEV0Q5Y4V5LE</v>
      </c>
      <c r="I817">
        <v>20</v>
      </c>
      <c r="J817" s="3">
        <v>1</v>
      </c>
      <c r="K817" s="2">
        <v>4</v>
      </c>
      <c r="L817" s="3" t="s">
        <v>2</v>
      </c>
      <c r="M817" s="4">
        <v>41611</v>
      </c>
      <c r="N817" s="3">
        <v>14.04</v>
      </c>
    </row>
    <row r="818" spans="1:14" x14ac:dyDescent="0.25">
      <c r="A818" s="2">
        <v>817</v>
      </c>
      <c r="B818" s="3">
        <v>13382703</v>
      </c>
      <c r="C818" s="2" t="s">
        <v>197</v>
      </c>
      <c r="D818" s="3">
        <v>1</v>
      </c>
      <c r="E818" s="2">
        <v>42</v>
      </c>
      <c r="F818" s="2" t="str">
        <f>"M S0005 O"</f>
        <v>M S0005 O</v>
      </c>
      <c r="G818" s="2" t="str">
        <f>"FCGLH0D5D2R508"</f>
        <v>FCGLH0D5D2R508</v>
      </c>
      <c r="I818">
        <v>20</v>
      </c>
      <c r="J818" s="3">
        <v>1</v>
      </c>
      <c r="K818" s="2">
        <v>4</v>
      </c>
      <c r="L818" s="3" t="s">
        <v>2</v>
      </c>
      <c r="M818" s="4">
        <v>41611</v>
      </c>
      <c r="N818" s="3">
        <v>6.66</v>
      </c>
    </row>
    <row r="819" spans="1:14" x14ac:dyDescent="0.25">
      <c r="A819" s="2">
        <v>818</v>
      </c>
      <c r="B819" s="3">
        <v>13382704</v>
      </c>
      <c r="C819" s="2" t="s">
        <v>197</v>
      </c>
      <c r="D819" s="3">
        <v>1</v>
      </c>
      <c r="E819" s="2">
        <v>42</v>
      </c>
      <c r="F819" s="2" t="str">
        <f>"M S0005 O"</f>
        <v>M S0005 O</v>
      </c>
      <c r="G819" s="2" t="str">
        <f>"FCGLH0D5D5GIQ5"</f>
        <v>FCGLH0D5D5GIQ5</v>
      </c>
      <c r="I819">
        <v>20</v>
      </c>
      <c r="J819" s="3">
        <v>1</v>
      </c>
      <c r="K819" s="2">
        <v>4</v>
      </c>
      <c r="L819" s="3" t="s">
        <v>2</v>
      </c>
      <c r="M819" s="4">
        <v>41611</v>
      </c>
      <c r="N819" s="3">
        <v>6.66</v>
      </c>
    </row>
    <row r="820" spans="1:14" x14ac:dyDescent="0.25">
      <c r="A820" s="2">
        <v>819</v>
      </c>
      <c r="B820" s="3">
        <v>13382705</v>
      </c>
      <c r="C820" s="2" t="s">
        <v>197</v>
      </c>
      <c r="D820" s="3">
        <v>1</v>
      </c>
      <c r="E820" s="2">
        <v>42</v>
      </c>
      <c r="F820" s="2" t="str">
        <f>"M S0005 O"</f>
        <v>M S0005 O</v>
      </c>
      <c r="G820" s="2" t="str">
        <f>"FCGLH0D5D5GLG1"</f>
        <v>FCGLH0D5D5GLG1</v>
      </c>
      <c r="I820">
        <v>20</v>
      </c>
      <c r="J820" s="3">
        <v>1</v>
      </c>
      <c r="K820" s="2">
        <v>4</v>
      </c>
      <c r="L820" s="3" t="s">
        <v>2</v>
      </c>
      <c r="M820" s="4">
        <v>41611</v>
      </c>
      <c r="N820" s="3">
        <v>6.66</v>
      </c>
    </row>
    <row r="821" spans="1:14" x14ac:dyDescent="0.25">
      <c r="A821" s="2">
        <v>820</v>
      </c>
      <c r="B821" s="3">
        <v>13382706</v>
      </c>
      <c r="C821" s="2" t="s">
        <v>197</v>
      </c>
      <c r="D821" s="3">
        <v>1</v>
      </c>
      <c r="E821" s="2">
        <v>42</v>
      </c>
      <c r="F821" s="2" t="str">
        <f>"M S0005 O"</f>
        <v>M S0005 O</v>
      </c>
      <c r="G821" s="2" t="str">
        <f>"FCGLH0D5D5GV9Q"</f>
        <v>FCGLH0D5D5GV9Q</v>
      </c>
      <c r="I821">
        <v>20</v>
      </c>
      <c r="J821" s="3">
        <v>1</v>
      </c>
      <c r="K821" s="2">
        <v>4</v>
      </c>
      <c r="L821" s="3" t="s">
        <v>2</v>
      </c>
      <c r="M821" s="4">
        <v>41611</v>
      </c>
      <c r="N821" s="3">
        <v>6.66</v>
      </c>
    </row>
    <row r="822" spans="1:14" x14ac:dyDescent="0.25">
      <c r="A822" s="2">
        <v>821</v>
      </c>
      <c r="B822" s="3">
        <v>13382707</v>
      </c>
      <c r="C822" s="2" t="s">
        <v>197</v>
      </c>
      <c r="D822" s="3">
        <v>1</v>
      </c>
      <c r="E822" s="2">
        <v>42</v>
      </c>
      <c r="F822" s="2" t="str">
        <f>"M S0005 O"</f>
        <v>M S0005 O</v>
      </c>
      <c r="G822" s="2" t="str">
        <f>"FCGLH0D5D5GVAL"</f>
        <v>FCGLH0D5D5GVAL</v>
      </c>
      <c r="I822">
        <v>20</v>
      </c>
      <c r="J822" s="3">
        <v>1</v>
      </c>
      <c r="K822" s="2">
        <v>4</v>
      </c>
      <c r="L822" s="3" t="s">
        <v>2</v>
      </c>
      <c r="M822" s="4">
        <v>41611</v>
      </c>
      <c r="N822" s="3">
        <v>6.66</v>
      </c>
    </row>
    <row r="823" spans="1:14" x14ac:dyDescent="0.25">
      <c r="A823" s="2">
        <v>822</v>
      </c>
      <c r="B823" s="3">
        <v>13382708</v>
      </c>
      <c r="C823" s="2" t="s">
        <v>197</v>
      </c>
      <c r="D823" s="3">
        <v>1</v>
      </c>
      <c r="E823" s="2">
        <v>42</v>
      </c>
      <c r="F823" s="2" t="str">
        <f>"MOFXKQ"</f>
        <v>MOFXKQ</v>
      </c>
      <c r="G823" s="2" t="str">
        <f>"FCGLH0DHD5KJOP"</f>
        <v>FCGLH0DHD5KJOP</v>
      </c>
      <c r="I823">
        <v>20</v>
      </c>
      <c r="J823" s="3">
        <v>1</v>
      </c>
      <c r="K823" s="2">
        <v>4</v>
      </c>
      <c r="L823" s="3" t="s">
        <v>2</v>
      </c>
      <c r="M823" s="4">
        <v>41611</v>
      </c>
      <c r="N823" s="3">
        <v>6.66</v>
      </c>
    </row>
    <row r="824" spans="1:14" x14ac:dyDescent="0.25">
      <c r="A824" s="2">
        <v>823</v>
      </c>
      <c r="B824" s="3">
        <v>13382709</v>
      </c>
      <c r="C824" s="2" t="s">
        <v>197</v>
      </c>
      <c r="D824" s="3">
        <v>1</v>
      </c>
      <c r="E824" s="2">
        <v>42</v>
      </c>
      <c r="F824" s="2" t="str">
        <f>"M S0005 O"</f>
        <v>M S0005 O</v>
      </c>
      <c r="G824" s="2" t="str">
        <f>"FCGLH0DKZ5G0SA"</f>
        <v>FCGLH0DKZ5G0SA</v>
      </c>
      <c r="I824">
        <v>20</v>
      </c>
      <c r="J824" s="3">
        <v>1</v>
      </c>
      <c r="K824" s="2">
        <v>39</v>
      </c>
      <c r="L824" s="3" t="s">
        <v>2</v>
      </c>
      <c r="M824" s="4">
        <v>41611</v>
      </c>
      <c r="N824" s="3">
        <v>6.66</v>
      </c>
    </row>
    <row r="825" spans="1:14" x14ac:dyDescent="0.25">
      <c r="A825" s="2">
        <v>824</v>
      </c>
      <c r="B825" s="3">
        <v>13382710</v>
      </c>
      <c r="C825" s="2" t="s">
        <v>197</v>
      </c>
      <c r="D825" s="3">
        <v>1</v>
      </c>
      <c r="E825" s="2">
        <v>42</v>
      </c>
      <c r="F825" s="2" t="str">
        <f>"M S0005 O"</f>
        <v>M S0005 O</v>
      </c>
      <c r="G825" s="2" t="str">
        <f>"FCGLH0D5D5GIQC"</f>
        <v>FCGLH0D5D5GIQC</v>
      </c>
      <c r="I825">
        <v>20</v>
      </c>
      <c r="J825" s="3">
        <v>1</v>
      </c>
      <c r="K825" s="2">
        <v>4</v>
      </c>
      <c r="L825" s="3" t="s">
        <v>2</v>
      </c>
      <c r="M825" s="4">
        <v>41611</v>
      </c>
      <c r="N825" s="3">
        <v>6.66</v>
      </c>
    </row>
    <row r="826" spans="1:14" x14ac:dyDescent="0.25">
      <c r="A826" s="2">
        <v>825</v>
      </c>
      <c r="B826" s="3">
        <v>13382711</v>
      </c>
      <c r="C826" s="2" t="s">
        <v>197</v>
      </c>
      <c r="D826" s="3">
        <v>1</v>
      </c>
      <c r="E826" s="2">
        <v>42</v>
      </c>
      <c r="F826" s="2" t="str">
        <f>"M S0005 O"</f>
        <v>M S0005 O</v>
      </c>
      <c r="G826" s="2" t="str">
        <f>"FCGLH0D5D5G95R"</f>
        <v>FCGLH0D5D5G95R</v>
      </c>
      <c r="I826">
        <v>20</v>
      </c>
      <c r="J826" s="3">
        <v>1</v>
      </c>
      <c r="K826" s="2">
        <v>4</v>
      </c>
      <c r="L826" s="3" t="s">
        <v>2</v>
      </c>
      <c r="M826" s="4">
        <v>41611</v>
      </c>
      <c r="N826" s="3">
        <v>6.66</v>
      </c>
    </row>
    <row r="827" spans="1:14" x14ac:dyDescent="0.25">
      <c r="A827" s="2">
        <v>826</v>
      </c>
      <c r="B827" s="3">
        <v>13382712</v>
      </c>
      <c r="C827" s="2" t="s">
        <v>197</v>
      </c>
      <c r="D827" s="3">
        <v>1</v>
      </c>
      <c r="E827" s="2">
        <v>42</v>
      </c>
      <c r="F827" s="2" t="str">
        <f>"M S0005 O"</f>
        <v>M S0005 O</v>
      </c>
      <c r="G827" s="2" t="str">
        <f>"FCGLH0D5D5GQ1V"</f>
        <v>FCGLH0D5D5GQ1V</v>
      </c>
      <c r="I827">
        <v>20</v>
      </c>
      <c r="J827" s="3">
        <v>1</v>
      </c>
      <c r="K827" s="2">
        <v>4</v>
      </c>
      <c r="L827" s="3" t="s">
        <v>2</v>
      </c>
      <c r="M827" s="4">
        <v>41611</v>
      </c>
      <c r="N827" s="3">
        <v>6.66</v>
      </c>
    </row>
    <row r="828" spans="1:14" x14ac:dyDescent="0.25">
      <c r="A828" s="2">
        <v>827</v>
      </c>
      <c r="B828" s="3">
        <v>13382713</v>
      </c>
      <c r="C828" s="2" t="s">
        <v>197</v>
      </c>
      <c r="D828" s="3">
        <v>1</v>
      </c>
      <c r="E828" s="2">
        <v>42</v>
      </c>
      <c r="F828" s="2" t="str">
        <f>"M S0005 O"</f>
        <v>M S0005 O</v>
      </c>
      <c r="G828" s="2" t="str">
        <f>"FCGLH0D5D5GNGB"</f>
        <v>FCGLH0D5D5GNGB</v>
      </c>
      <c r="I828">
        <v>20</v>
      </c>
      <c r="J828" s="3">
        <v>1</v>
      </c>
      <c r="K828" s="2">
        <v>4</v>
      </c>
      <c r="L828" s="3" t="s">
        <v>2</v>
      </c>
      <c r="M828" s="4">
        <v>41611</v>
      </c>
      <c r="N828" s="3">
        <v>6.66</v>
      </c>
    </row>
    <row r="829" spans="1:14" x14ac:dyDescent="0.25">
      <c r="A829" s="2">
        <v>828</v>
      </c>
      <c r="B829" s="3">
        <v>13382714</v>
      </c>
      <c r="C829" s="2" t="s">
        <v>197</v>
      </c>
      <c r="D829" s="3">
        <v>1</v>
      </c>
      <c r="E829" s="2">
        <v>42</v>
      </c>
      <c r="F829" s="2" t="str">
        <f>"MOFXKQ"</f>
        <v>MOFXKQ</v>
      </c>
      <c r="G829" s="2" t="str">
        <f>"FCGLH0DHD5KJ06"</f>
        <v>FCGLH0DHD5KJ06</v>
      </c>
      <c r="I829">
        <v>20</v>
      </c>
      <c r="J829" s="3">
        <v>1</v>
      </c>
      <c r="K829" s="2">
        <v>4</v>
      </c>
      <c r="L829" s="3" t="s">
        <v>2</v>
      </c>
      <c r="M829" s="4">
        <v>41611</v>
      </c>
      <c r="N829" s="3">
        <v>6.66</v>
      </c>
    </row>
    <row r="830" spans="1:14" x14ac:dyDescent="0.25">
      <c r="A830" s="2">
        <v>829</v>
      </c>
      <c r="B830" s="3">
        <v>13382715</v>
      </c>
      <c r="C830" s="2" t="s">
        <v>197</v>
      </c>
      <c r="D830" s="3">
        <v>1</v>
      </c>
      <c r="E830" s="2">
        <v>42</v>
      </c>
      <c r="F830" s="2" t="str">
        <f>"M S0005 O"</f>
        <v>M S0005 O</v>
      </c>
      <c r="G830" s="2" t="str">
        <f>"FCGLH0D5D5GUQG"</f>
        <v>FCGLH0D5D5GUQG</v>
      </c>
      <c r="I830">
        <v>20</v>
      </c>
      <c r="J830" s="3">
        <v>1</v>
      </c>
      <c r="K830" s="2">
        <v>4</v>
      </c>
      <c r="L830" s="3" t="s">
        <v>2</v>
      </c>
      <c r="M830" s="4">
        <v>41611</v>
      </c>
      <c r="N830" s="3">
        <v>6.66</v>
      </c>
    </row>
    <row r="831" spans="1:14" x14ac:dyDescent="0.25">
      <c r="A831" s="2">
        <v>830</v>
      </c>
      <c r="B831" s="3">
        <v>13382716</v>
      </c>
      <c r="C831" s="2" t="s">
        <v>197</v>
      </c>
      <c r="D831" s="3">
        <v>1</v>
      </c>
      <c r="E831" s="2">
        <v>42</v>
      </c>
      <c r="F831" s="2" t="str">
        <f>"M S0005 O"</f>
        <v>M S0005 O</v>
      </c>
      <c r="G831" s="2" t="str">
        <f>"FCGLH0D5D5FZ2J"</f>
        <v>FCGLH0D5D5FZ2J</v>
      </c>
      <c r="I831">
        <v>20</v>
      </c>
      <c r="J831" s="3">
        <v>1</v>
      </c>
      <c r="K831" s="2">
        <v>4</v>
      </c>
      <c r="L831" s="3" t="s">
        <v>2</v>
      </c>
      <c r="M831" s="4">
        <v>41611</v>
      </c>
      <c r="N831" s="3">
        <v>6.66</v>
      </c>
    </row>
    <row r="832" spans="1:14" x14ac:dyDescent="0.25">
      <c r="A832" s="2">
        <v>831</v>
      </c>
      <c r="B832" s="3">
        <v>13382717</v>
      </c>
      <c r="C832" s="2" t="s">
        <v>197</v>
      </c>
      <c r="D832" s="3">
        <v>1</v>
      </c>
      <c r="E832" s="2">
        <v>42</v>
      </c>
      <c r="F832" s="2" t="str">
        <f>"M S0005 O"</f>
        <v>M S0005 O</v>
      </c>
      <c r="G832" s="2" t="str">
        <f>"FCGLH0D5D5GQ1J"</f>
        <v>FCGLH0D5D5GQ1J</v>
      </c>
      <c r="I832">
        <v>20</v>
      </c>
      <c r="J832" s="3">
        <v>1</v>
      </c>
      <c r="K832" s="2">
        <v>4</v>
      </c>
      <c r="L832" s="3" t="s">
        <v>2</v>
      </c>
      <c r="M832" s="4">
        <v>41611</v>
      </c>
      <c r="N832" s="3">
        <v>6.66</v>
      </c>
    </row>
    <row r="833" spans="1:14" x14ac:dyDescent="0.25">
      <c r="A833" s="2">
        <v>832</v>
      </c>
      <c r="B833" s="3">
        <v>13184479</v>
      </c>
      <c r="C833" s="2" t="s">
        <v>221</v>
      </c>
      <c r="D833" s="3">
        <v>2</v>
      </c>
      <c r="E833" s="2">
        <v>76</v>
      </c>
      <c r="F833" s="2" t="str">
        <f t="shared" ref="F833:F872" si="32">"SIN MODELO"</f>
        <v>SIN MODELO</v>
      </c>
      <c r="G833" s="2" t="str">
        <f>"63445030125005"</f>
        <v>63445030125005</v>
      </c>
      <c r="I833">
        <v>2</v>
      </c>
      <c r="J833" s="3">
        <v>2</v>
      </c>
      <c r="K833" s="2">
        <v>23</v>
      </c>
      <c r="L833" s="3" t="s">
        <v>2</v>
      </c>
      <c r="M833" s="4">
        <v>41613</v>
      </c>
      <c r="N833" s="3">
        <v>125.44</v>
      </c>
    </row>
    <row r="834" spans="1:14" x14ac:dyDescent="0.25">
      <c r="A834" s="2">
        <v>833</v>
      </c>
      <c r="B834" s="3">
        <v>13184480</v>
      </c>
      <c r="C834" s="2" t="s">
        <v>221</v>
      </c>
      <c r="D834" s="3">
        <v>2</v>
      </c>
      <c r="E834" s="2">
        <v>76</v>
      </c>
      <c r="F834" s="2" t="str">
        <f t="shared" si="32"/>
        <v>SIN MODELO</v>
      </c>
      <c r="G834" s="2" t="str">
        <f>"63445030125006"</f>
        <v>63445030125006</v>
      </c>
      <c r="I834">
        <v>29</v>
      </c>
      <c r="J834" s="3">
        <v>2</v>
      </c>
      <c r="K834" s="2">
        <v>23</v>
      </c>
      <c r="L834" s="3" t="s">
        <v>2</v>
      </c>
      <c r="M834" s="4">
        <v>41613</v>
      </c>
      <c r="N834" s="3">
        <v>125.44</v>
      </c>
    </row>
    <row r="835" spans="1:14" x14ac:dyDescent="0.25">
      <c r="A835" s="2">
        <v>834</v>
      </c>
      <c r="B835" s="3">
        <v>13184481</v>
      </c>
      <c r="C835" s="2" t="s">
        <v>221</v>
      </c>
      <c r="D835" s="3">
        <v>2</v>
      </c>
      <c r="E835" s="2">
        <v>76</v>
      </c>
      <c r="F835" s="2" t="str">
        <f t="shared" si="32"/>
        <v>SIN MODELO</v>
      </c>
      <c r="G835" s="2" t="str">
        <f>"63445030125007"</f>
        <v>63445030125007</v>
      </c>
      <c r="I835">
        <v>28</v>
      </c>
      <c r="J835" s="3">
        <v>2</v>
      </c>
      <c r="K835" s="2">
        <v>23</v>
      </c>
      <c r="L835" s="3" t="s">
        <v>2</v>
      </c>
      <c r="M835" s="4">
        <v>41613</v>
      </c>
      <c r="N835" s="3">
        <v>125.44</v>
      </c>
    </row>
    <row r="836" spans="1:14" x14ac:dyDescent="0.25">
      <c r="A836" s="2">
        <v>835</v>
      </c>
      <c r="B836" s="3">
        <v>13184482</v>
      </c>
      <c r="C836" s="2" t="s">
        <v>221</v>
      </c>
      <c r="D836" s="3">
        <v>2</v>
      </c>
      <c r="E836" s="2">
        <v>76</v>
      </c>
      <c r="F836" s="2" t="str">
        <f t="shared" si="32"/>
        <v>SIN MODELO</v>
      </c>
      <c r="G836" s="2" t="str">
        <f>"63445030125008"</f>
        <v>63445030125008</v>
      </c>
      <c r="I836">
        <v>20</v>
      </c>
      <c r="J836" s="3">
        <v>2</v>
      </c>
      <c r="K836" s="2">
        <v>23</v>
      </c>
      <c r="L836" s="3" t="s">
        <v>2</v>
      </c>
      <c r="M836" s="4">
        <v>41613</v>
      </c>
      <c r="N836" s="3">
        <v>125.44</v>
      </c>
    </row>
    <row r="837" spans="1:14" x14ac:dyDescent="0.25">
      <c r="A837" s="2">
        <v>836</v>
      </c>
      <c r="B837" s="3">
        <v>13184483</v>
      </c>
      <c r="C837" s="2" t="s">
        <v>221</v>
      </c>
      <c r="D837" s="3">
        <v>2</v>
      </c>
      <c r="E837" s="2">
        <v>76</v>
      </c>
      <c r="F837" s="2" t="str">
        <f t="shared" si="32"/>
        <v>SIN MODELO</v>
      </c>
      <c r="G837" s="2" t="str">
        <f>"63445030125009"</f>
        <v>63445030125009</v>
      </c>
      <c r="I837">
        <v>1</v>
      </c>
      <c r="J837" s="3">
        <v>2</v>
      </c>
      <c r="K837" s="2">
        <v>23</v>
      </c>
      <c r="L837" s="3" t="s">
        <v>2</v>
      </c>
      <c r="M837" s="4">
        <v>41613</v>
      </c>
      <c r="N837" s="3">
        <v>125.44</v>
      </c>
    </row>
    <row r="838" spans="1:14" x14ac:dyDescent="0.25">
      <c r="A838" s="2">
        <v>837</v>
      </c>
      <c r="B838" s="3">
        <v>13184484</v>
      </c>
      <c r="C838" s="2" t="s">
        <v>221</v>
      </c>
      <c r="D838" s="3">
        <v>2</v>
      </c>
      <c r="E838" s="2">
        <v>76</v>
      </c>
      <c r="F838" s="2" t="str">
        <f t="shared" si="32"/>
        <v>SIN MODELO</v>
      </c>
      <c r="G838" s="2" t="str">
        <f>"63445030125010"</f>
        <v>63445030125010</v>
      </c>
      <c r="I838">
        <v>28</v>
      </c>
      <c r="J838" s="3">
        <v>2</v>
      </c>
      <c r="K838" s="2">
        <v>23</v>
      </c>
      <c r="L838" s="3" t="s">
        <v>2</v>
      </c>
      <c r="M838" s="4">
        <v>41613</v>
      </c>
      <c r="N838" s="3">
        <v>125.44</v>
      </c>
    </row>
    <row r="839" spans="1:14" x14ac:dyDescent="0.25">
      <c r="A839" s="2">
        <v>838</v>
      </c>
      <c r="B839" s="3">
        <v>13184485</v>
      </c>
      <c r="C839" s="2" t="s">
        <v>221</v>
      </c>
      <c r="D839" s="3">
        <v>2</v>
      </c>
      <c r="E839" s="2">
        <v>76</v>
      </c>
      <c r="F839" s="2" t="str">
        <f t="shared" si="32"/>
        <v>SIN MODELO</v>
      </c>
      <c r="G839" s="2" t="str">
        <f>"63445030125011"</f>
        <v>63445030125011</v>
      </c>
      <c r="I839">
        <v>29</v>
      </c>
      <c r="J839" s="3">
        <v>2</v>
      </c>
      <c r="K839" s="2">
        <v>23</v>
      </c>
      <c r="L839" s="3" t="s">
        <v>2</v>
      </c>
      <c r="M839" s="4">
        <v>41613</v>
      </c>
      <c r="N839" s="3">
        <v>125.44</v>
      </c>
    </row>
    <row r="840" spans="1:14" x14ac:dyDescent="0.25">
      <c r="A840" s="2">
        <v>839</v>
      </c>
      <c r="B840" s="3">
        <v>13184486</v>
      </c>
      <c r="C840" s="2" t="s">
        <v>221</v>
      </c>
      <c r="D840" s="3">
        <v>2</v>
      </c>
      <c r="E840" s="2">
        <v>76</v>
      </c>
      <c r="F840" s="2" t="str">
        <f t="shared" si="32"/>
        <v>SIN MODELO</v>
      </c>
      <c r="G840" s="2" t="str">
        <f>"63445030125012"</f>
        <v>63445030125012</v>
      </c>
      <c r="I840">
        <v>28</v>
      </c>
      <c r="J840" s="3">
        <v>2</v>
      </c>
      <c r="K840" s="2">
        <v>23</v>
      </c>
      <c r="L840" s="3" t="s">
        <v>2</v>
      </c>
      <c r="M840" s="4">
        <v>41613</v>
      </c>
      <c r="N840" s="3">
        <v>125.44</v>
      </c>
    </row>
    <row r="841" spans="1:14" x14ac:dyDescent="0.25">
      <c r="A841" s="2">
        <v>840</v>
      </c>
      <c r="B841" s="3">
        <v>13184487</v>
      </c>
      <c r="C841" s="2" t="s">
        <v>221</v>
      </c>
      <c r="D841" s="3">
        <v>2</v>
      </c>
      <c r="E841" s="2">
        <v>76</v>
      </c>
      <c r="F841" s="2" t="str">
        <f t="shared" si="32"/>
        <v>SIN MODELO</v>
      </c>
      <c r="G841" s="2" t="str">
        <f>"63445030125013"</f>
        <v>63445030125013</v>
      </c>
      <c r="I841">
        <v>1</v>
      </c>
      <c r="J841" s="3">
        <v>2</v>
      </c>
      <c r="K841" s="2">
        <v>23</v>
      </c>
      <c r="L841" s="3" t="s">
        <v>2</v>
      </c>
      <c r="M841" s="4">
        <v>41613</v>
      </c>
      <c r="N841" s="3">
        <v>125.44</v>
      </c>
    </row>
    <row r="842" spans="1:14" x14ac:dyDescent="0.25">
      <c r="A842" s="2">
        <v>841</v>
      </c>
      <c r="B842" s="3">
        <v>13184488</v>
      </c>
      <c r="C842" s="2" t="s">
        <v>221</v>
      </c>
      <c r="D842" s="3">
        <v>2</v>
      </c>
      <c r="E842" s="2">
        <v>76</v>
      </c>
      <c r="F842" s="2" t="str">
        <f t="shared" si="32"/>
        <v>SIN MODELO</v>
      </c>
      <c r="G842" s="2" t="str">
        <f>"63445030125014"</f>
        <v>63445030125014</v>
      </c>
      <c r="I842">
        <v>28</v>
      </c>
      <c r="J842" s="3">
        <v>2</v>
      </c>
      <c r="K842" s="2">
        <v>23</v>
      </c>
      <c r="L842" s="3" t="s">
        <v>2</v>
      </c>
      <c r="M842" s="4">
        <v>41613</v>
      </c>
      <c r="N842" s="3">
        <v>125.44</v>
      </c>
    </row>
    <row r="843" spans="1:14" x14ac:dyDescent="0.25">
      <c r="A843" s="2">
        <v>842</v>
      </c>
      <c r="B843" s="3">
        <v>13184489</v>
      </c>
      <c r="C843" s="2" t="s">
        <v>221</v>
      </c>
      <c r="D843" s="3">
        <v>2</v>
      </c>
      <c r="E843" s="2">
        <v>76</v>
      </c>
      <c r="F843" s="2" t="str">
        <f t="shared" si="32"/>
        <v>SIN MODELO</v>
      </c>
      <c r="G843" s="2" t="str">
        <f>"63445030125015"</f>
        <v>63445030125015</v>
      </c>
      <c r="I843">
        <v>1</v>
      </c>
      <c r="J843" s="3">
        <v>2</v>
      </c>
      <c r="K843" s="2">
        <v>23</v>
      </c>
      <c r="L843" s="3" t="s">
        <v>2</v>
      </c>
      <c r="M843" s="4">
        <v>41613</v>
      </c>
      <c r="N843" s="3">
        <v>125.44</v>
      </c>
    </row>
    <row r="844" spans="1:14" x14ac:dyDescent="0.25">
      <c r="A844" s="2">
        <v>843</v>
      </c>
      <c r="B844" s="3">
        <v>13184490</v>
      </c>
      <c r="C844" s="2" t="s">
        <v>221</v>
      </c>
      <c r="D844" s="3">
        <v>2</v>
      </c>
      <c r="E844" s="2">
        <v>76</v>
      </c>
      <c r="F844" s="2" t="str">
        <f t="shared" si="32"/>
        <v>SIN MODELO</v>
      </c>
      <c r="G844" s="2" t="str">
        <f>"63445030125016"</f>
        <v>63445030125016</v>
      </c>
      <c r="I844">
        <v>28</v>
      </c>
      <c r="J844" s="3">
        <v>2</v>
      </c>
      <c r="K844" s="2">
        <v>23</v>
      </c>
      <c r="L844" s="3" t="s">
        <v>2</v>
      </c>
      <c r="M844" s="4">
        <v>41613</v>
      </c>
      <c r="N844" s="3">
        <v>125.44</v>
      </c>
    </row>
    <row r="845" spans="1:14" x14ac:dyDescent="0.25">
      <c r="A845" s="2">
        <v>844</v>
      </c>
      <c r="B845" s="3">
        <v>13184491</v>
      </c>
      <c r="C845" s="2" t="s">
        <v>221</v>
      </c>
      <c r="D845" s="3">
        <v>2</v>
      </c>
      <c r="E845" s="2">
        <v>76</v>
      </c>
      <c r="F845" s="2" t="str">
        <f t="shared" si="32"/>
        <v>SIN MODELO</v>
      </c>
      <c r="G845" s="2" t="str">
        <f>"63445030125017"</f>
        <v>63445030125017</v>
      </c>
      <c r="I845">
        <v>20</v>
      </c>
      <c r="J845" s="3">
        <v>2</v>
      </c>
      <c r="K845" s="2">
        <v>23</v>
      </c>
      <c r="L845" s="3" t="s">
        <v>2</v>
      </c>
      <c r="M845" s="4">
        <v>41613</v>
      </c>
      <c r="N845" s="3">
        <v>125.44</v>
      </c>
    </row>
    <row r="846" spans="1:14" x14ac:dyDescent="0.25">
      <c r="A846" s="2">
        <v>845</v>
      </c>
      <c r="B846" s="3">
        <v>13184492</v>
      </c>
      <c r="C846" s="2" t="s">
        <v>221</v>
      </c>
      <c r="D846" s="3">
        <v>2</v>
      </c>
      <c r="E846" s="2">
        <v>76</v>
      </c>
      <c r="F846" s="2" t="str">
        <f t="shared" si="32"/>
        <v>SIN MODELO</v>
      </c>
      <c r="G846" s="2" t="str">
        <f>"63445030125018"</f>
        <v>63445030125018</v>
      </c>
      <c r="I846">
        <v>20</v>
      </c>
      <c r="J846" s="3">
        <v>2</v>
      </c>
      <c r="K846" s="2">
        <v>23</v>
      </c>
      <c r="L846" s="3" t="s">
        <v>2</v>
      </c>
      <c r="M846" s="4">
        <v>41613</v>
      </c>
      <c r="N846" s="3">
        <v>125.44</v>
      </c>
    </row>
    <row r="847" spans="1:14" x14ac:dyDescent="0.25">
      <c r="A847" s="2">
        <v>846</v>
      </c>
      <c r="B847" s="3">
        <v>13184493</v>
      </c>
      <c r="C847" s="2" t="s">
        <v>221</v>
      </c>
      <c r="D847" s="3">
        <v>2</v>
      </c>
      <c r="E847" s="2">
        <v>76</v>
      </c>
      <c r="F847" s="2" t="str">
        <f t="shared" si="32"/>
        <v>SIN MODELO</v>
      </c>
      <c r="G847" s="2" t="str">
        <f>"63445030125019"</f>
        <v>63445030125019</v>
      </c>
      <c r="I847">
        <v>28</v>
      </c>
      <c r="J847" s="3">
        <v>2</v>
      </c>
      <c r="K847" s="2">
        <v>23</v>
      </c>
      <c r="L847" s="3" t="s">
        <v>2</v>
      </c>
      <c r="M847" s="4">
        <v>41613</v>
      </c>
      <c r="N847" s="3">
        <v>125.44</v>
      </c>
    </row>
    <row r="848" spans="1:14" x14ac:dyDescent="0.25">
      <c r="A848" s="2">
        <v>847</v>
      </c>
      <c r="B848" s="3">
        <v>13184494</v>
      </c>
      <c r="C848" s="2" t="s">
        <v>221</v>
      </c>
      <c r="D848" s="3">
        <v>2</v>
      </c>
      <c r="E848" s="2">
        <v>76</v>
      </c>
      <c r="F848" s="2" t="str">
        <f t="shared" si="32"/>
        <v>SIN MODELO</v>
      </c>
      <c r="G848" s="2" t="str">
        <f>"63445030125020"</f>
        <v>63445030125020</v>
      </c>
      <c r="I848">
        <v>1</v>
      </c>
      <c r="J848" s="3">
        <v>2</v>
      </c>
      <c r="K848" s="2">
        <v>23</v>
      </c>
      <c r="L848" s="3" t="s">
        <v>2</v>
      </c>
      <c r="M848" s="4">
        <v>41613</v>
      </c>
      <c r="N848" s="3">
        <v>125.44</v>
      </c>
    </row>
    <row r="849" spans="1:14" x14ac:dyDescent="0.25">
      <c r="A849" s="2">
        <v>848</v>
      </c>
      <c r="B849" s="3">
        <v>13184495</v>
      </c>
      <c r="C849" s="2" t="s">
        <v>221</v>
      </c>
      <c r="D849" s="3">
        <v>2</v>
      </c>
      <c r="E849" s="2">
        <v>76</v>
      </c>
      <c r="F849" s="2" t="str">
        <f t="shared" si="32"/>
        <v>SIN MODELO</v>
      </c>
      <c r="G849" s="2" t="str">
        <f>"63445030125021"</f>
        <v>63445030125021</v>
      </c>
      <c r="I849">
        <v>28</v>
      </c>
      <c r="J849" s="3">
        <v>2</v>
      </c>
      <c r="K849" s="2">
        <v>23</v>
      </c>
      <c r="L849" s="3" t="s">
        <v>2</v>
      </c>
      <c r="M849" s="4">
        <v>41613</v>
      </c>
      <c r="N849" s="3">
        <v>125.44</v>
      </c>
    </row>
    <row r="850" spans="1:14" x14ac:dyDescent="0.25">
      <c r="A850" s="2">
        <v>849</v>
      </c>
      <c r="B850" s="3">
        <v>13184496</v>
      </c>
      <c r="C850" s="2" t="s">
        <v>221</v>
      </c>
      <c r="D850" s="3">
        <v>2</v>
      </c>
      <c r="E850" s="2">
        <v>76</v>
      </c>
      <c r="F850" s="2" t="str">
        <f t="shared" si="32"/>
        <v>SIN MODELO</v>
      </c>
      <c r="G850" s="2" t="str">
        <f>"63445030125022"</f>
        <v>63445030125022</v>
      </c>
      <c r="I850">
        <v>28</v>
      </c>
      <c r="J850" s="3">
        <v>2</v>
      </c>
      <c r="K850" s="2">
        <v>23</v>
      </c>
      <c r="L850" s="3" t="s">
        <v>2</v>
      </c>
      <c r="M850" s="4">
        <v>41613</v>
      </c>
      <c r="N850" s="3">
        <v>125.44</v>
      </c>
    </row>
    <row r="851" spans="1:14" x14ac:dyDescent="0.25">
      <c r="A851" s="2">
        <v>850</v>
      </c>
      <c r="B851" s="3">
        <v>13184497</v>
      </c>
      <c r="C851" s="2" t="s">
        <v>221</v>
      </c>
      <c r="D851" s="3">
        <v>2</v>
      </c>
      <c r="E851" s="2">
        <v>76</v>
      </c>
      <c r="F851" s="2" t="str">
        <f t="shared" si="32"/>
        <v>SIN MODELO</v>
      </c>
      <c r="G851" s="2" t="str">
        <f>"63445030125023"</f>
        <v>63445030125023</v>
      </c>
      <c r="I851">
        <v>29</v>
      </c>
      <c r="J851" s="3">
        <v>2</v>
      </c>
      <c r="K851" s="2">
        <v>23</v>
      </c>
      <c r="L851" s="3" t="s">
        <v>2</v>
      </c>
      <c r="M851" s="4">
        <v>41613</v>
      </c>
      <c r="N851" s="3">
        <v>125.44</v>
      </c>
    </row>
    <row r="852" spans="1:14" x14ac:dyDescent="0.25">
      <c r="A852" s="2">
        <v>851</v>
      </c>
      <c r="B852" s="3">
        <v>13184498</v>
      </c>
      <c r="C852" s="2" t="s">
        <v>221</v>
      </c>
      <c r="D852" s="3">
        <v>2</v>
      </c>
      <c r="E852" s="2">
        <v>76</v>
      </c>
      <c r="F852" s="2" t="str">
        <f t="shared" si="32"/>
        <v>SIN MODELO</v>
      </c>
      <c r="G852" s="2" t="str">
        <f>"63445030125024"</f>
        <v>63445030125024</v>
      </c>
      <c r="I852">
        <v>20</v>
      </c>
      <c r="J852" s="3">
        <v>2</v>
      </c>
      <c r="K852" s="2">
        <v>23</v>
      </c>
      <c r="L852" s="3" t="s">
        <v>2</v>
      </c>
      <c r="M852" s="4">
        <v>41613</v>
      </c>
      <c r="N852" s="3">
        <v>125.44</v>
      </c>
    </row>
    <row r="853" spans="1:14" x14ac:dyDescent="0.25">
      <c r="A853" s="2">
        <v>852</v>
      </c>
      <c r="B853" s="3">
        <v>13182055</v>
      </c>
      <c r="C853" s="2" t="s">
        <v>222</v>
      </c>
      <c r="D853" s="3">
        <v>2</v>
      </c>
      <c r="E853" s="2">
        <v>76</v>
      </c>
      <c r="F853" s="2" t="str">
        <f t="shared" si="32"/>
        <v>SIN MODELO</v>
      </c>
      <c r="G853" s="2" t="str">
        <f>"63445040501005"</f>
        <v>63445040501005</v>
      </c>
      <c r="I853">
        <v>26</v>
      </c>
      <c r="J853" s="3">
        <v>2</v>
      </c>
      <c r="K853" s="2">
        <v>23</v>
      </c>
      <c r="L853" s="3" t="s">
        <v>2</v>
      </c>
      <c r="M853" s="4">
        <v>41613</v>
      </c>
      <c r="N853" s="3">
        <v>120.96</v>
      </c>
    </row>
    <row r="854" spans="1:14" x14ac:dyDescent="0.25">
      <c r="A854" s="2">
        <v>853</v>
      </c>
      <c r="B854" s="3">
        <v>13182056</v>
      </c>
      <c r="C854" s="2" t="s">
        <v>222</v>
      </c>
      <c r="D854" s="3">
        <v>2</v>
      </c>
      <c r="E854" s="2">
        <v>76</v>
      </c>
      <c r="F854" s="2" t="str">
        <f t="shared" si="32"/>
        <v>SIN MODELO</v>
      </c>
      <c r="G854" s="2" t="str">
        <f>"63445040501006"</f>
        <v>63445040501006</v>
      </c>
      <c r="I854">
        <v>2</v>
      </c>
      <c r="J854" s="3">
        <v>2</v>
      </c>
      <c r="K854" s="2">
        <v>23</v>
      </c>
      <c r="L854" s="3" t="s">
        <v>2</v>
      </c>
      <c r="M854" s="4">
        <v>41613</v>
      </c>
      <c r="N854" s="3">
        <v>120.96</v>
      </c>
    </row>
    <row r="855" spans="1:14" x14ac:dyDescent="0.25">
      <c r="A855" s="2">
        <v>854</v>
      </c>
      <c r="B855" s="3">
        <v>13182057</v>
      </c>
      <c r="C855" s="2" t="s">
        <v>222</v>
      </c>
      <c r="D855" s="3">
        <v>2</v>
      </c>
      <c r="E855" s="2">
        <v>76</v>
      </c>
      <c r="F855" s="2" t="str">
        <f t="shared" si="32"/>
        <v>SIN MODELO</v>
      </c>
      <c r="G855" s="2" t="str">
        <f>"63445040501007"</f>
        <v>63445040501007</v>
      </c>
      <c r="I855">
        <v>2</v>
      </c>
      <c r="J855" s="3">
        <v>2</v>
      </c>
      <c r="K855" s="2">
        <v>23</v>
      </c>
      <c r="L855" s="3" t="s">
        <v>2</v>
      </c>
      <c r="M855" s="4">
        <v>41613</v>
      </c>
      <c r="N855" s="3">
        <v>120.96</v>
      </c>
    </row>
    <row r="856" spans="1:14" x14ac:dyDescent="0.25">
      <c r="A856" s="2">
        <v>855</v>
      </c>
      <c r="B856" s="3">
        <v>13182058</v>
      </c>
      <c r="C856" s="2" t="s">
        <v>222</v>
      </c>
      <c r="D856" s="3">
        <v>2</v>
      </c>
      <c r="E856" s="2">
        <v>76</v>
      </c>
      <c r="F856" s="2" t="str">
        <f t="shared" si="32"/>
        <v>SIN MODELO</v>
      </c>
      <c r="G856" s="2" t="str">
        <f>"63445040501008"</f>
        <v>63445040501008</v>
      </c>
      <c r="I856">
        <v>2</v>
      </c>
      <c r="J856" s="3">
        <v>2</v>
      </c>
      <c r="K856" s="2">
        <v>23</v>
      </c>
      <c r="L856" s="3" t="s">
        <v>2</v>
      </c>
      <c r="M856" s="4">
        <v>41613</v>
      </c>
      <c r="N856" s="3">
        <v>120.96</v>
      </c>
    </row>
    <row r="857" spans="1:14" x14ac:dyDescent="0.25">
      <c r="A857" s="2">
        <v>856</v>
      </c>
      <c r="B857" s="3">
        <v>13182059</v>
      </c>
      <c r="C857" s="2" t="s">
        <v>222</v>
      </c>
      <c r="D857" s="3">
        <v>2</v>
      </c>
      <c r="E857" s="2">
        <v>76</v>
      </c>
      <c r="F857" s="2" t="str">
        <f t="shared" si="32"/>
        <v>SIN MODELO</v>
      </c>
      <c r="G857" s="2" t="str">
        <f>"63445040501009"</f>
        <v>63445040501009</v>
      </c>
      <c r="I857">
        <v>2</v>
      </c>
      <c r="J857" s="3">
        <v>2</v>
      </c>
      <c r="K857" s="2">
        <v>23</v>
      </c>
      <c r="L857" s="3" t="s">
        <v>2</v>
      </c>
      <c r="M857" s="4">
        <v>41613</v>
      </c>
      <c r="N857" s="3">
        <v>120.96</v>
      </c>
    </row>
    <row r="858" spans="1:14" x14ac:dyDescent="0.25">
      <c r="A858" s="2">
        <v>857</v>
      </c>
      <c r="B858" s="3">
        <v>13182060</v>
      </c>
      <c r="C858" s="2" t="s">
        <v>222</v>
      </c>
      <c r="D858" s="3">
        <v>2</v>
      </c>
      <c r="E858" s="2">
        <v>76</v>
      </c>
      <c r="F858" s="2" t="str">
        <f t="shared" si="32"/>
        <v>SIN MODELO</v>
      </c>
      <c r="G858" s="2" t="str">
        <f>"63445040501010"</f>
        <v>63445040501010</v>
      </c>
      <c r="I858">
        <v>2</v>
      </c>
      <c r="J858" s="3">
        <v>2</v>
      </c>
      <c r="K858" s="2">
        <v>23</v>
      </c>
      <c r="L858" s="3" t="s">
        <v>2</v>
      </c>
      <c r="M858" s="4">
        <v>41613</v>
      </c>
      <c r="N858" s="3">
        <v>120.96</v>
      </c>
    </row>
    <row r="859" spans="1:14" x14ac:dyDescent="0.25">
      <c r="A859" s="2">
        <v>858</v>
      </c>
      <c r="B859" s="3">
        <v>13182061</v>
      </c>
      <c r="C859" s="2" t="s">
        <v>222</v>
      </c>
      <c r="D859" s="3">
        <v>2</v>
      </c>
      <c r="E859" s="2">
        <v>76</v>
      </c>
      <c r="F859" s="2" t="str">
        <f t="shared" si="32"/>
        <v>SIN MODELO</v>
      </c>
      <c r="G859" s="2" t="str">
        <f>"63445040501011"</f>
        <v>63445040501011</v>
      </c>
      <c r="I859">
        <v>2</v>
      </c>
      <c r="J859" s="3">
        <v>2</v>
      </c>
      <c r="K859" s="2">
        <v>23</v>
      </c>
      <c r="L859" s="3" t="s">
        <v>2</v>
      </c>
      <c r="M859" s="4">
        <v>41613</v>
      </c>
      <c r="N859" s="3">
        <v>120.96</v>
      </c>
    </row>
    <row r="860" spans="1:14" x14ac:dyDescent="0.25">
      <c r="A860" s="2">
        <v>859</v>
      </c>
      <c r="B860" s="3">
        <v>13182062</v>
      </c>
      <c r="C860" s="2" t="s">
        <v>222</v>
      </c>
      <c r="D860" s="3">
        <v>2</v>
      </c>
      <c r="E860" s="2">
        <v>76</v>
      </c>
      <c r="F860" s="2" t="str">
        <f t="shared" si="32"/>
        <v>SIN MODELO</v>
      </c>
      <c r="G860" s="2" t="str">
        <f>"63445040501012"</f>
        <v>63445040501012</v>
      </c>
      <c r="I860">
        <v>2</v>
      </c>
      <c r="J860" s="3">
        <v>2</v>
      </c>
      <c r="K860" s="2">
        <v>23</v>
      </c>
      <c r="L860" s="3" t="s">
        <v>2</v>
      </c>
      <c r="M860" s="4">
        <v>41613</v>
      </c>
      <c r="N860" s="3">
        <v>120.96</v>
      </c>
    </row>
    <row r="861" spans="1:14" x14ac:dyDescent="0.25">
      <c r="A861" s="2">
        <v>860</v>
      </c>
      <c r="B861" s="3">
        <v>13182063</v>
      </c>
      <c r="C861" s="2" t="s">
        <v>222</v>
      </c>
      <c r="D861" s="3">
        <v>2</v>
      </c>
      <c r="E861" s="2">
        <v>76</v>
      </c>
      <c r="F861" s="2" t="str">
        <f t="shared" si="32"/>
        <v>SIN MODELO</v>
      </c>
      <c r="G861" s="2" t="str">
        <f>"63445040501013"</f>
        <v>63445040501013</v>
      </c>
      <c r="I861">
        <v>2</v>
      </c>
      <c r="J861" s="3">
        <v>2</v>
      </c>
      <c r="K861" s="2">
        <v>23</v>
      </c>
      <c r="L861" s="3" t="s">
        <v>2</v>
      </c>
      <c r="M861" s="4">
        <v>41613</v>
      </c>
      <c r="N861" s="3">
        <v>120.96</v>
      </c>
    </row>
    <row r="862" spans="1:14" x14ac:dyDescent="0.25">
      <c r="A862" s="2">
        <v>861</v>
      </c>
      <c r="B862" s="3">
        <v>13182064</v>
      </c>
      <c r="C862" s="2" t="s">
        <v>222</v>
      </c>
      <c r="D862" s="3">
        <v>2</v>
      </c>
      <c r="E862" s="2">
        <v>76</v>
      </c>
      <c r="F862" s="2" t="str">
        <f t="shared" si="32"/>
        <v>SIN MODELO</v>
      </c>
      <c r="G862" s="2" t="str">
        <f>"63445040501014"</f>
        <v>63445040501014</v>
      </c>
      <c r="I862">
        <v>2</v>
      </c>
      <c r="J862" s="3">
        <v>2</v>
      </c>
      <c r="K862" s="2">
        <v>23</v>
      </c>
      <c r="L862" s="3" t="s">
        <v>2</v>
      </c>
      <c r="M862" s="4">
        <v>41613</v>
      </c>
      <c r="N862" s="3">
        <v>120.96</v>
      </c>
    </row>
    <row r="863" spans="1:14" x14ac:dyDescent="0.25">
      <c r="A863" s="2">
        <v>862</v>
      </c>
      <c r="B863" s="3">
        <v>13182065</v>
      </c>
      <c r="C863" s="2" t="s">
        <v>222</v>
      </c>
      <c r="D863" s="3">
        <v>2</v>
      </c>
      <c r="E863" s="2">
        <v>76</v>
      </c>
      <c r="F863" s="2" t="str">
        <f t="shared" si="32"/>
        <v>SIN MODELO</v>
      </c>
      <c r="G863" s="2" t="str">
        <f>"63445040501015"</f>
        <v>63445040501015</v>
      </c>
      <c r="I863">
        <v>2</v>
      </c>
      <c r="J863" s="3">
        <v>2</v>
      </c>
      <c r="K863" s="2">
        <v>23</v>
      </c>
      <c r="L863" s="3" t="s">
        <v>2</v>
      </c>
      <c r="M863" s="4">
        <v>41613</v>
      </c>
      <c r="N863" s="3">
        <v>120.96</v>
      </c>
    </row>
    <row r="864" spans="1:14" x14ac:dyDescent="0.25">
      <c r="A864" s="2">
        <v>863</v>
      </c>
      <c r="B864" s="3">
        <v>13182066</v>
      </c>
      <c r="C864" s="2" t="s">
        <v>222</v>
      </c>
      <c r="D864" s="3">
        <v>2</v>
      </c>
      <c r="E864" s="2">
        <v>76</v>
      </c>
      <c r="F864" s="2" t="str">
        <f t="shared" si="32"/>
        <v>SIN MODELO</v>
      </c>
      <c r="G864" s="2" t="str">
        <f>"63445040501016"</f>
        <v>63445040501016</v>
      </c>
      <c r="I864">
        <v>2</v>
      </c>
      <c r="J864" s="3">
        <v>2</v>
      </c>
      <c r="K864" s="2">
        <v>23</v>
      </c>
      <c r="L864" s="3" t="s">
        <v>2</v>
      </c>
      <c r="M864" s="4">
        <v>41613</v>
      </c>
      <c r="N864" s="3">
        <v>120.96</v>
      </c>
    </row>
    <row r="865" spans="1:14" x14ac:dyDescent="0.25">
      <c r="A865" s="2">
        <v>864</v>
      </c>
      <c r="B865" s="3">
        <v>13182067</v>
      </c>
      <c r="C865" s="2" t="s">
        <v>222</v>
      </c>
      <c r="D865" s="3">
        <v>2</v>
      </c>
      <c r="E865" s="2">
        <v>76</v>
      </c>
      <c r="F865" s="2" t="str">
        <f t="shared" si="32"/>
        <v>SIN MODELO</v>
      </c>
      <c r="G865" s="2" t="str">
        <f>"63445040501017"</f>
        <v>63445040501017</v>
      </c>
      <c r="I865">
        <v>2</v>
      </c>
      <c r="J865" s="3">
        <v>2</v>
      </c>
      <c r="K865" s="2">
        <v>23</v>
      </c>
      <c r="L865" s="3" t="s">
        <v>2</v>
      </c>
      <c r="M865" s="4">
        <v>41613</v>
      </c>
      <c r="N865" s="3">
        <v>120.96</v>
      </c>
    </row>
    <row r="866" spans="1:14" x14ac:dyDescent="0.25">
      <c r="A866" s="2">
        <v>865</v>
      </c>
      <c r="B866" s="3">
        <v>13182068</v>
      </c>
      <c r="C866" s="2" t="s">
        <v>222</v>
      </c>
      <c r="D866" s="3">
        <v>2</v>
      </c>
      <c r="E866" s="2">
        <v>76</v>
      </c>
      <c r="F866" s="2" t="str">
        <f t="shared" si="32"/>
        <v>SIN MODELO</v>
      </c>
      <c r="G866" s="2" t="str">
        <f>"63445040501018"</f>
        <v>63445040501018</v>
      </c>
      <c r="I866">
        <v>2</v>
      </c>
      <c r="J866" s="3">
        <v>2</v>
      </c>
      <c r="K866" s="2">
        <v>23</v>
      </c>
      <c r="L866" s="3" t="s">
        <v>2</v>
      </c>
      <c r="M866" s="4">
        <v>41613</v>
      </c>
      <c r="N866" s="3">
        <v>120.96</v>
      </c>
    </row>
    <row r="867" spans="1:14" x14ac:dyDescent="0.25">
      <c r="A867" s="2">
        <v>866</v>
      </c>
      <c r="B867" s="3">
        <v>13182069</v>
      </c>
      <c r="C867" s="2" t="s">
        <v>222</v>
      </c>
      <c r="D867" s="3">
        <v>2</v>
      </c>
      <c r="E867" s="2">
        <v>76</v>
      </c>
      <c r="F867" s="2" t="str">
        <f t="shared" si="32"/>
        <v>SIN MODELO</v>
      </c>
      <c r="G867" s="2" t="str">
        <f>"63445040501019"</f>
        <v>63445040501019</v>
      </c>
      <c r="I867">
        <v>2</v>
      </c>
      <c r="J867" s="3">
        <v>2</v>
      </c>
      <c r="K867" s="2">
        <v>23</v>
      </c>
      <c r="L867" s="3" t="s">
        <v>2</v>
      </c>
      <c r="M867" s="4">
        <v>41613</v>
      </c>
      <c r="N867" s="3">
        <v>120.96</v>
      </c>
    </row>
    <row r="868" spans="1:14" x14ac:dyDescent="0.25">
      <c r="A868" s="2">
        <v>867</v>
      </c>
      <c r="B868" s="3">
        <v>13182070</v>
      </c>
      <c r="C868" s="2" t="s">
        <v>222</v>
      </c>
      <c r="D868" s="3">
        <v>2</v>
      </c>
      <c r="E868" s="2">
        <v>76</v>
      </c>
      <c r="F868" s="2" t="str">
        <f t="shared" si="32"/>
        <v>SIN MODELO</v>
      </c>
      <c r="G868" s="2" t="str">
        <f>"63445040501020"</f>
        <v>63445040501020</v>
      </c>
      <c r="I868">
        <v>2</v>
      </c>
      <c r="J868" s="3">
        <v>2</v>
      </c>
      <c r="K868" s="2">
        <v>23</v>
      </c>
      <c r="L868" s="3" t="s">
        <v>2</v>
      </c>
      <c r="M868" s="4">
        <v>41613</v>
      </c>
      <c r="N868" s="3">
        <v>120.96</v>
      </c>
    </row>
    <row r="869" spans="1:14" x14ac:dyDescent="0.25">
      <c r="A869" s="2">
        <v>868</v>
      </c>
      <c r="B869" s="3">
        <v>13182071</v>
      </c>
      <c r="C869" s="2" t="s">
        <v>222</v>
      </c>
      <c r="D869" s="3">
        <v>2</v>
      </c>
      <c r="E869" s="2">
        <v>76</v>
      </c>
      <c r="F869" s="2" t="str">
        <f t="shared" si="32"/>
        <v>SIN MODELO</v>
      </c>
      <c r="G869" s="2" t="str">
        <f>"63445040501021"</f>
        <v>63445040501021</v>
      </c>
      <c r="I869">
        <v>2</v>
      </c>
      <c r="J869" s="3">
        <v>2</v>
      </c>
      <c r="K869" s="2">
        <v>23</v>
      </c>
      <c r="L869" s="3" t="s">
        <v>2</v>
      </c>
      <c r="M869" s="4">
        <v>41613</v>
      </c>
      <c r="N869" s="3">
        <v>120.96</v>
      </c>
    </row>
    <row r="870" spans="1:14" x14ac:dyDescent="0.25">
      <c r="A870" s="2">
        <v>869</v>
      </c>
      <c r="B870" s="3">
        <v>13182072</v>
      </c>
      <c r="C870" s="2" t="s">
        <v>222</v>
      </c>
      <c r="D870" s="3">
        <v>2</v>
      </c>
      <c r="E870" s="2">
        <v>76</v>
      </c>
      <c r="F870" s="2" t="str">
        <f t="shared" si="32"/>
        <v>SIN MODELO</v>
      </c>
      <c r="G870" s="2" t="str">
        <f>"63445040501022"</f>
        <v>63445040501022</v>
      </c>
      <c r="I870">
        <v>2</v>
      </c>
      <c r="J870" s="3">
        <v>2</v>
      </c>
      <c r="K870" s="2">
        <v>23</v>
      </c>
      <c r="L870" s="3" t="s">
        <v>2</v>
      </c>
      <c r="M870" s="4">
        <v>41613</v>
      </c>
      <c r="N870" s="3">
        <v>120.96</v>
      </c>
    </row>
    <row r="871" spans="1:14" x14ac:dyDescent="0.25">
      <c r="A871" s="2">
        <v>870</v>
      </c>
      <c r="B871" s="3">
        <v>13182073</v>
      </c>
      <c r="C871" s="2" t="s">
        <v>222</v>
      </c>
      <c r="D871" s="3">
        <v>2</v>
      </c>
      <c r="E871" s="2">
        <v>76</v>
      </c>
      <c r="F871" s="2" t="str">
        <f t="shared" si="32"/>
        <v>SIN MODELO</v>
      </c>
      <c r="G871" s="2" t="str">
        <f>"63445040501023"</f>
        <v>63445040501023</v>
      </c>
      <c r="I871">
        <v>2</v>
      </c>
      <c r="J871" s="3">
        <v>2</v>
      </c>
      <c r="K871" s="2">
        <v>23</v>
      </c>
      <c r="L871" s="3" t="s">
        <v>2</v>
      </c>
      <c r="M871" s="4">
        <v>41613</v>
      </c>
      <c r="N871" s="3">
        <v>120.96</v>
      </c>
    </row>
    <row r="872" spans="1:14" x14ac:dyDescent="0.25">
      <c r="A872" s="2">
        <v>871</v>
      </c>
      <c r="B872" s="3">
        <v>13182074</v>
      </c>
      <c r="C872" s="2" t="s">
        <v>222</v>
      </c>
      <c r="D872" s="3">
        <v>2</v>
      </c>
      <c r="E872" s="2">
        <v>76</v>
      </c>
      <c r="F872" s="2" t="str">
        <f t="shared" si="32"/>
        <v>SIN MODELO</v>
      </c>
      <c r="G872" s="2" t="str">
        <f>"63445040501024"</f>
        <v>63445040501024</v>
      </c>
      <c r="I872">
        <v>2</v>
      </c>
      <c r="J872" s="3">
        <v>2</v>
      </c>
      <c r="K872" s="2">
        <v>23</v>
      </c>
      <c r="L872" s="3" t="s">
        <v>2</v>
      </c>
      <c r="M872" s="4">
        <v>41613</v>
      </c>
      <c r="N872" s="3">
        <v>120.96</v>
      </c>
    </row>
    <row r="873" spans="1:14" x14ac:dyDescent="0.25">
      <c r="A873" s="2">
        <v>872</v>
      </c>
      <c r="B873" s="3">
        <v>6794444</v>
      </c>
      <c r="C873" s="2" t="s">
        <v>264</v>
      </c>
      <c r="D873" s="3">
        <v>1</v>
      </c>
      <c r="E873" s="2">
        <v>3</v>
      </c>
      <c r="F873" s="2" t="str">
        <f>"HV620"</f>
        <v>HV620</v>
      </c>
      <c r="G873" s="2" t="str">
        <f>"1D5020345076"</f>
        <v>1D5020345076</v>
      </c>
      <c r="I873">
        <v>20</v>
      </c>
      <c r="J873" s="3">
        <v>1</v>
      </c>
      <c r="K873" s="2">
        <v>4</v>
      </c>
      <c r="L873" s="3" t="s">
        <v>2</v>
      </c>
      <c r="M873" s="4">
        <v>41620</v>
      </c>
      <c r="N873" s="3">
        <v>209.44</v>
      </c>
    </row>
    <row r="874" spans="1:14" x14ac:dyDescent="0.25">
      <c r="A874" s="2">
        <v>873</v>
      </c>
      <c r="B874" s="3">
        <v>6794445</v>
      </c>
      <c r="C874" s="2" t="s">
        <v>264</v>
      </c>
      <c r="D874" s="3">
        <v>1</v>
      </c>
      <c r="E874" s="2">
        <v>3</v>
      </c>
      <c r="F874" s="2" t="str">
        <f>"HV620"</f>
        <v>HV620</v>
      </c>
      <c r="G874" s="2" t="str">
        <f>"1D4720128525"</f>
        <v>1D4720128525</v>
      </c>
      <c r="I874">
        <v>20</v>
      </c>
      <c r="J874" s="3">
        <v>1</v>
      </c>
      <c r="K874" s="2">
        <v>4</v>
      </c>
      <c r="L874" s="3" t="s">
        <v>2</v>
      </c>
      <c r="M874" s="4">
        <v>41620</v>
      </c>
      <c r="N874" s="3">
        <v>209.44</v>
      </c>
    </row>
    <row r="875" spans="1:14" x14ac:dyDescent="0.25">
      <c r="A875" s="2">
        <v>874</v>
      </c>
      <c r="B875" s="3">
        <v>6794446</v>
      </c>
      <c r="C875" s="2" t="s">
        <v>264</v>
      </c>
      <c r="D875" s="3">
        <v>1</v>
      </c>
      <c r="E875" s="2">
        <v>3</v>
      </c>
      <c r="F875" s="2" t="str">
        <f>"HV620"</f>
        <v>HV620</v>
      </c>
      <c r="G875" s="2" t="str">
        <f>"1D4720128526"</f>
        <v>1D4720128526</v>
      </c>
      <c r="I875">
        <v>20</v>
      </c>
      <c r="J875" s="3">
        <v>1</v>
      </c>
      <c r="K875" s="2">
        <v>9</v>
      </c>
      <c r="L875" s="3" t="s">
        <v>2</v>
      </c>
      <c r="M875" s="4">
        <v>41620</v>
      </c>
      <c r="N875" s="3">
        <v>209.44</v>
      </c>
    </row>
    <row r="876" spans="1:14" x14ac:dyDescent="0.25">
      <c r="A876" s="2">
        <v>875</v>
      </c>
      <c r="B876" s="3">
        <v>6794474</v>
      </c>
      <c r="C876" s="2" t="s">
        <v>251</v>
      </c>
      <c r="D876" s="3">
        <v>1</v>
      </c>
      <c r="E876" s="2">
        <v>56</v>
      </c>
      <c r="F876" s="2" t="str">
        <f>"RB2011"</f>
        <v>RB2011</v>
      </c>
      <c r="G876" s="2" t="str">
        <f>"402702E486DD"</f>
        <v>402702E486DD</v>
      </c>
      <c r="I876">
        <v>24</v>
      </c>
      <c r="J876" s="3">
        <v>1</v>
      </c>
      <c r="K876" s="2">
        <v>4</v>
      </c>
      <c r="L876" s="3" t="s">
        <v>2</v>
      </c>
      <c r="M876" s="4">
        <v>41620</v>
      </c>
      <c r="N876" s="3">
        <v>389.76</v>
      </c>
    </row>
    <row r="877" spans="1:14" x14ac:dyDescent="0.25">
      <c r="A877" s="2">
        <v>876</v>
      </c>
      <c r="B877" s="3">
        <v>6794478</v>
      </c>
      <c r="C877" s="2" t="s">
        <v>249</v>
      </c>
      <c r="D877" s="3">
        <v>1</v>
      </c>
      <c r="E877" s="2">
        <v>34</v>
      </c>
      <c r="F877" s="2" t="str">
        <f>"FI 6130Z"</f>
        <v>FI 6130Z</v>
      </c>
      <c r="G877" s="2" t="str">
        <f>"759826"</f>
        <v>759826</v>
      </c>
      <c r="I877">
        <v>17</v>
      </c>
      <c r="J877" s="3">
        <v>1</v>
      </c>
      <c r="K877" s="2">
        <v>8</v>
      </c>
      <c r="L877" s="3" t="s">
        <v>2</v>
      </c>
      <c r="M877" s="4">
        <v>41620</v>
      </c>
      <c r="N877" s="5">
        <v>1892.8</v>
      </c>
    </row>
    <row r="878" spans="1:14" x14ac:dyDescent="0.25">
      <c r="A878" s="2">
        <v>877</v>
      </c>
      <c r="B878" s="3">
        <v>13182049</v>
      </c>
      <c r="C878" s="2" t="s">
        <v>265</v>
      </c>
      <c r="D878" s="3">
        <v>2</v>
      </c>
      <c r="E878" s="2">
        <v>27</v>
      </c>
      <c r="F878" s="2" t="str">
        <f>"TY 835"</f>
        <v>TY 835</v>
      </c>
      <c r="G878" s="2" t="str">
        <f>"63445040409001"</f>
        <v>63445040409001</v>
      </c>
      <c r="I878">
        <v>20</v>
      </c>
      <c r="J878" s="3">
        <v>1</v>
      </c>
      <c r="K878" s="2">
        <v>39</v>
      </c>
      <c r="L878" s="3" t="s">
        <v>2</v>
      </c>
      <c r="M878" s="4">
        <v>41621</v>
      </c>
      <c r="N878" s="3">
        <v>26.27</v>
      </c>
    </row>
    <row r="879" spans="1:14" x14ac:dyDescent="0.25">
      <c r="A879" s="2">
        <v>878</v>
      </c>
      <c r="B879" s="3">
        <v>13182050</v>
      </c>
      <c r="C879" s="2" t="s">
        <v>265</v>
      </c>
      <c r="D879" s="3">
        <v>2</v>
      </c>
      <c r="E879" s="2">
        <v>27</v>
      </c>
      <c r="F879" s="2" t="str">
        <f>"TY 835"</f>
        <v>TY 835</v>
      </c>
      <c r="G879" s="2" t="str">
        <f>"63445040409002"</f>
        <v>63445040409002</v>
      </c>
      <c r="I879">
        <v>20</v>
      </c>
      <c r="J879" s="3">
        <v>1</v>
      </c>
      <c r="K879" s="2">
        <v>30</v>
      </c>
      <c r="L879" s="3" t="s">
        <v>2</v>
      </c>
      <c r="M879" s="4">
        <v>41621</v>
      </c>
      <c r="N879" s="3">
        <v>26.28</v>
      </c>
    </row>
    <row r="880" spans="1:14" x14ac:dyDescent="0.25">
      <c r="A880" s="2">
        <v>879</v>
      </c>
      <c r="B880" s="3">
        <v>13184304</v>
      </c>
      <c r="C880" s="2" t="s">
        <v>174</v>
      </c>
      <c r="D880" s="3">
        <v>2</v>
      </c>
      <c r="E880" s="2">
        <v>76</v>
      </c>
      <c r="F880" s="2" t="str">
        <f t="shared" ref="F880:F891" si="33">"DOS SERVICIOS"</f>
        <v>DOS SERVICIOS</v>
      </c>
      <c r="G880" s="2" t="str">
        <f>"63445030111009"</f>
        <v>63445030111009</v>
      </c>
      <c r="I880">
        <v>20</v>
      </c>
      <c r="J880" s="3">
        <v>1</v>
      </c>
      <c r="K880" s="2">
        <v>9</v>
      </c>
      <c r="L880" s="3" t="s">
        <v>2</v>
      </c>
      <c r="M880" s="4">
        <v>41621</v>
      </c>
      <c r="N880" s="3">
        <v>7.46</v>
      </c>
    </row>
    <row r="881" spans="1:14" x14ac:dyDescent="0.25">
      <c r="A881" s="2">
        <v>880</v>
      </c>
      <c r="B881" s="3">
        <v>13184305</v>
      </c>
      <c r="C881" s="2" t="s">
        <v>174</v>
      </c>
      <c r="D881" s="3">
        <v>2</v>
      </c>
      <c r="E881" s="2">
        <v>76</v>
      </c>
      <c r="F881" s="2" t="str">
        <f t="shared" si="33"/>
        <v>DOS SERVICIOS</v>
      </c>
      <c r="G881" s="2" t="str">
        <f>"63445030111010"</f>
        <v>63445030111010</v>
      </c>
      <c r="I881">
        <v>20</v>
      </c>
      <c r="J881" s="3">
        <v>1</v>
      </c>
      <c r="K881" s="2">
        <v>26</v>
      </c>
      <c r="L881" s="3" t="s">
        <v>2</v>
      </c>
      <c r="M881" s="4">
        <v>41621</v>
      </c>
      <c r="N881" s="3">
        <v>7.46</v>
      </c>
    </row>
    <row r="882" spans="1:14" x14ac:dyDescent="0.25">
      <c r="A882" s="2">
        <v>881</v>
      </c>
      <c r="B882" s="3">
        <v>13184306</v>
      </c>
      <c r="C882" s="2" t="s">
        <v>174</v>
      </c>
      <c r="D882" s="3">
        <v>2</v>
      </c>
      <c r="E882" s="2">
        <v>76</v>
      </c>
      <c r="F882" s="2" t="str">
        <f t="shared" si="33"/>
        <v>DOS SERVICIOS</v>
      </c>
      <c r="G882" s="2" t="str">
        <f>"63445030111011"</f>
        <v>63445030111011</v>
      </c>
      <c r="I882">
        <v>20</v>
      </c>
      <c r="J882" s="3">
        <v>1</v>
      </c>
      <c r="K882" s="2">
        <v>18</v>
      </c>
      <c r="L882" s="3" t="s">
        <v>2</v>
      </c>
      <c r="M882" s="4">
        <v>41621</v>
      </c>
      <c r="N882" s="3">
        <v>7.46</v>
      </c>
    </row>
    <row r="883" spans="1:14" x14ac:dyDescent="0.25">
      <c r="A883" s="2">
        <v>882</v>
      </c>
      <c r="B883" s="3">
        <v>13184307</v>
      </c>
      <c r="C883" s="2" t="s">
        <v>174</v>
      </c>
      <c r="D883" s="3">
        <v>2</v>
      </c>
      <c r="E883" s="2">
        <v>76</v>
      </c>
      <c r="F883" s="2" t="str">
        <f t="shared" si="33"/>
        <v>DOS SERVICIOS</v>
      </c>
      <c r="G883" s="2" t="str">
        <f>"63445030111012"</f>
        <v>63445030111012</v>
      </c>
      <c r="I883">
        <v>20</v>
      </c>
      <c r="J883" s="3">
        <v>1</v>
      </c>
      <c r="K883" s="2">
        <v>30</v>
      </c>
      <c r="L883" s="3" t="s">
        <v>2</v>
      </c>
      <c r="M883" s="4">
        <v>41621</v>
      </c>
      <c r="N883" s="3">
        <v>7.45</v>
      </c>
    </row>
    <row r="884" spans="1:14" x14ac:dyDescent="0.25">
      <c r="A884" s="2">
        <v>883</v>
      </c>
      <c r="B884" s="3">
        <v>13184308</v>
      </c>
      <c r="C884" s="2" t="s">
        <v>174</v>
      </c>
      <c r="D884" s="3">
        <v>2</v>
      </c>
      <c r="E884" s="2">
        <v>76</v>
      </c>
      <c r="F884" s="2" t="str">
        <f t="shared" si="33"/>
        <v>DOS SERVICIOS</v>
      </c>
      <c r="G884" s="2" t="str">
        <f>"63445030111013"</f>
        <v>63445030111013</v>
      </c>
      <c r="I884">
        <v>20</v>
      </c>
      <c r="J884" s="3">
        <v>1</v>
      </c>
      <c r="K884" s="2">
        <v>25</v>
      </c>
      <c r="L884" s="3" t="s">
        <v>2</v>
      </c>
      <c r="M884" s="4">
        <v>41621</v>
      </c>
      <c r="N884" s="3">
        <v>7.45</v>
      </c>
    </row>
    <row r="885" spans="1:14" x14ac:dyDescent="0.25">
      <c r="A885" s="2">
        <v>884</v>
      </c>
      <c r="B885" s="3">
        <v>13184309</v>
      </c>
      <c r="C885" s="2" t="s">
        <v>174</v>
      </c>
      <c r="D885" s="3">
        <v>2</v>
      </c>
      <c r="E885" s="2">
        <v>76</v>
      </c>
      <c r="F885" s="2" t="str">
        <f t="shared" si="33"/>
        <v>DOS SERVICIOS</v>
      </c>
      <c r="G885" s="2" t="str">
        <f>"63445030111014"</f>
        <v>63445030111014</v>
      </c>
      <c r="I885">
        <v>20</v>
      </c>
      <c r="J885" s="3">
        <v>1</v>
      </c>
      <c r="K885" s="2">
        <v>26</v>
      </c>
      <c r="L885" s="3" t="s">
        <v>2</v>
      </c>
      <c r="M885" s="4">
        <v>41621</v>
      </c>
      <c r="N885" s="3">
        <v>7.46</v>
      </c>
    </row>
    <row r="886" spans="1:14" x14ac:dyDescent="0.25">
      <c r="A886" s="2">
        <v>885</v>
      </c>
      <c r="B886" s="3">
        <v>13184310</v>
      </c>
      <c r="C886" s="2" t="s">
        <v>174</v>
      </c>
      <c r="D886" s="3">
        <v>2</v>
      </c>
      <c r="E886" s="2">
        <v>76</v>
      </c>
      <c r="F886" s="2" t="str">
        <f t="shared" si="33"/>
        <v>DOS SERVICIOS</v>
      </c>
      <c r="G886" s="2" t="str">
        <f>"63445030111015"</f>
        <v>63445030111015</v>
      </c>
      <c r="I886">
        <v>20</v>
      </c>
      <c r="J886" s="3">
        <v>1</v>
      </c>
      <c r="K886" s="2">
        <v>4</v>
      </c>
      <c r="L886" s="3" t="s">
        <v>2</v>
      </c>
      <c r="M886" s="4">
        <v>41621</v>
      </c>
      <c r="N886" s="3">
        <v>7.46</v>
      </c>
    </row>
    <row r="887" spans="1:14" x14ac:dyDescent="0.25">
      <c r="A887" s="2">
        <v>886</v>
      </c>
      <c r="B887" s="3">
        <v>13184311</v>
      </c>
      <c r="C887" s="2" t="s">
        <v>174</v>
      </c>
      <c r="D887" s="3">
        <v>2</v>
      </c>
      <c r="E887" s="2">
        <v>76</v>
      </c>
      <c r="F887" s="2" t="str">
        <f t="shared" si="33"/>
        <v>DOS SERVICIOS</v>
      </c>
      <c r="G887" s="2" t="str">
        <f>"63445030111016"</f>
        <v>63445030111016</v>
      </c>
      <c r="I887">
        <v>20</v>
      </c>
      <c r="J887" s="3">
        <v>1</v>
      </c>
      <c r="K887" s="2">
        <v>4</v>
      </c>
      <c r="L887" s="3" t="s">
        <v>2</v>
      </c>
      <c r="M887" s="4">
        <v>41621</v>
      </c>
      <c r="N887" s="3">
        <v>7.46</v>
      </c>
    </row>
    <row r="888" spans="1:14" x14ac:dyDescent="0.25">
      <c r="A888" s="2">
        <v>887</v>
      </c>
      <c r="B888" s="3">
        <v>13184312</v>
      </c>
      <c r="C888" s="2" t="s">
        <v>174</v>
      </c>
      <c r="D888" s="3">
        <v>2</v>
      </c>
      <c r="E888" s="2">
        <v>76</v>
      </c>
      <c r="F888" s="2" t="str">
        <f t="shared" si="33"/>
        <v>DOS SERVICIOS</v>
      </c>
      <c r="G888" s="2" t="str">
        <f>"63445030111017"</f>
        <v>63445030111017</v>
      </c>
      <c r="I888">
        <v>20</v>
      </c>
      <c r="J888" s="3">
        <v>1</v>
      </c>
      <c r="K888" s="2">
        <v>15</v>
      </c>
      <c r="L888" s="3" t="s">
        <v>2</v>
      </c>
      <c r="M888" s="4">
        <v>41621</v>
      </c>
      <c r="N888" s="3">
        <v>7.46</v>
      </c>
    </row>
    <row r="889" spans="1:14" x14ac:dyDescent="0.25">
      <c r="A889" s="2">
        <v>888</v>
      </c>
      <c r="B889" s="3">
        <v>13184313</v>
      </c>
      <c r="C889" s="2" t="s">
        <v>174</v>
      </c>
      <c r="D889" s="3">
        <v>2</v>
      </c>
      <c r="E889" s="2">
        <v>76</v>
      </c>
      <c r="F889" s="2" t="str">
        <f t="shared" si="33"/>
        <v>DOS SERVICIOS</v>
      </c>
      <c r="G889" s="2" t="str">
        <f>"63445030111018"</f>
        <v>63445030111018</v>
      </c>
      <c r="I889">
        <v>20</v>
      </c>
      <c r="J889" s="3">
        <v>1</v>
      </c>
      <c r="K889" s="2">
        <v>23</v>
      </c>
      <c r="L889" s="3" t="s">
        <v>2</v>
      </c>
      <c r="M889" s="4">
        <v>41621</v>
      </c>
      <c r="N889" s="3">
        <v>7.46</v>
      </c>
    </row>
    <row r="890" spans="1:14" x14ac:dyDescent="0.25">
      <c r="A890" s="2">
        <v>889</v>
      </c>
      <c r="B890" s="3">
        <v>13184314</v>
      </c>
      <c r="C890" s="2" t="s">
        <v>174</v>
      </c>
      <c r="D890" s="3">
        <v>2</v>
      </c>
      <c r="E890" s="2">
        <v>76</v>
      </c>
      <c r="F890" s="2" t="str">
        <f t="shared" si="33"/>
        <v>DOS SERVICIOS</v>
      </c>
      <c r="G890" s="2" t="str">
        <f>"63445030111019"</f>
        <v>63445030111019</v>
      </c>
      <c r="I890">
        <v>20</v>
      </c>
      <c r="J890" s="3">
        <v>1</v>
      </c>
      <c r="K890" s="2">
        <v>37</v>
      </c>
      <c r="L890" s="3" t="s">
        <v>2</v>
      </c>
      <c r="M890" s="4">
        <v>41621</v>
      </c>
      <c r="N890" s="3">
        <v>7.46</v>
      </c>
    </row>
    <row r="891" spans="1:14" x14ac:dyDescent="0.25">
      <c r="A891" s="2">
        <v>890</v>
      </c>
      <c r="B891" s="3">
        <v>13184315</v>
      </c>
      <c r="C891" s="2" t="s">
        <v>174</v>
      </c>
      <c r="D891" s="3">
        <v>2</v>
      </c>
      <c r="E891" s="2">
        <v>76</v>
      </c>
      <c r="F891" s="2" t="str">
        <f t="shared" si="33"/>
        <v>DOS SERVICIOS</v>
      </c>
      <c r="G891" s="2" t="str">
        <f>"63445030111020"</f>
        <v>63445030111020</v>
      </c>
      <c r="I891">
        <v>20</v>
      </c>
      <c r="J891" s="3">
        <v>1</v>
      </c>
      <c r="K891" s="2">
        <v>8</v>
      </c>
      <c r="L891" s="3" t="s">
        <v>2</v>
      </c>
      <c r="M891" s="4">
        <v>41621</v>
      </c>
      <c r="N891" s="3">
        <v>7.46</v>
      </c>
    </row>
    <row r="892" spans="1:14" x14ac:dyDescent="0.25">
      <c r="A892" s="2">
        <v>891</v>
      </c>
      <c r="B892" s="3">
        <v>13382639</v>
      </c>
      <c r="C892" s="2" t="s">
        <v>258</v>
      </c>
      <c r="D892" s="3">
        <v>1</v>
      </c>
      <c r="E892" s="2">
        <v>77</v>
      </c>
      <c r="F892" s="2" t="str">
        <f t="shared" ref="F892:F900" si="34">"MDRZX100"</f>
        <v>MDRZX100</v>
      </c>
      <c r="G892" s="2" t="str">
        <f>"63445070201011"</f>
        <v>63445070201011</v>
      </c>
      <c r="I892">
        <v>20</v>
      </c>
      <c r="J892" s="3">
        <v>1</v>
      </c>
      <c r="K892" s="2">
        <v>39</v>
      </c>
      <c r="L892" s="3" t="s">
        <v>2</v>
      </c>
      <c r="M892" s="4">
        <v>41632</v>
      </c>
      <c r="N892" s="3">
        <v>19.010000000000002</v>
      </c>
    </row>
    <row r="893" spans="1:14" x14ac:dyDescent="0.25">
      <c r="A893" s="2">
        <v>892</v>
      </c>
      <c r="B893" s="3">
        <v>13382640</v>
      </c>
      <c r="C893" s="2" t="s">
        <v>258</v>
      </c>
      <c r="D893" s="3">
        <v>1</v>
      </c>
      <c r="E893" s="2">
        <v>77</v>
      </c>
      <c r="F893" s="2" t="str">
        <f t="shared" si="34"/>
        <v>MDRZX100</v>
      </c>
      <c r="G893" s="2" t="str">
        <f>"63445070201012"</f>
        <v>63445070201012</v>
      </c>
      <c r="I893">
        <v>20</v>
      </c>
      <c r="J893" s="3">
        <v>1</v>
      </c>
      <c r="K893" s="2">
        <v>39</v>
      </c>
      <c r="L893" s="3" t="s">
        <v>2</v>
      </c>
      <c r="M893" s="4">
        <v>41632</v>
      </c>
      <c r="N893" s="3">
        <v>19.010000000000002</v>
      </c>
    </row>
    <row r="894" spans="1:14" x14ac:dyDescent="0.25">
      <c r="A894" s="2">
        <v>893</v>
      </c>
      <c r="B894" s="3">
        <v>13382641</v>
      </c>
      <c r="C894" s="2" t="s">
        <v>258</v>
      </c>
      <c r="D894" s="3">
        <v>1</v>
      </c>
      <c r="E894" s="2">
        <v>77</v>
      </c>
      <c r="F894" s="2" t="str">
        <f t="shared" si="34"/>
        <v>MDRZX100</v>
      </c>
      <c r="G894" s="2" t="str">
        <f>"63445070201013"</f>
        <v>63445070201013</v>
      </c>
      <c r="I894">
        <v>20</v>
      </c>
      <c r="J894" s="3">
        <v>1</v>
      </c>
      <c r="K894" s="2">
        <v>39</v>
      </c>
      <c r="L894" s="3" t="s">
        <v>2</v>
      </c>
      <c r="M894" s="4">
        <v>41632</v>
      </c>
      <c r="N894" s="3">
        <v>19.010000000000002</v>
      </c>
    </row>
    <row r="895" spans="1:14" x14ac:dyDescent="0.25">
      <c r="A895" s="2">
        <v>894</v>
      </c>
      <c r="B895" s="3">
        <v>13382642</v>
      </c>
      <c r="C895" s="2" t="s">
        <v>258</v>
      </c>
      <c r="D895" s="3">
        <v>1</v>
      </c>
      <c r="E895" s="2">
        <v>77</v>
      </c>
      <c r="F895" s="2" t="str">
        <f t="shared" si="34"/>
        <v>MDRZX100</v>
      </c>
      <c r="G895" s="2" t="str">
        <f>"63445070201014"</f>
        <v>63445070201014</v>
      </c>
      <c r="I895">
        <v>5</v>
      </c>
      <c r="J895" s="3">
        <v>1</v>
      </c>
      <c r="K895" s="2">
        <v>39</v>
      </c>
      <c r="L895" s="3" t="s">
        <v>2</v>
      </c>
      <c r="M895" s="4">
        <v>41632</v>
      </c>
      <c r="N895" s="3">
        <v>19.010000000000002</v>
      </c>
    </row>
    <row r="896" spans="1:14" x14ac:dyDescent="0.25">
      <c r="A896" s="2">
        <v>895</v>
      </c>
      <c r="B896" s="3">
        <v>13382643</v>
      </c>
      <c r="C896" s="2" t="s">
        <v>258</v>
      </c>
      <c r="D896" s="3">
        <v>1</v>
      </c>
      <c r="E896" s="2">
        <v>77</v>
      </c>
      <c r="F896" s="2" t="str">
        <f t="shared" si="34"/>
        <v>MDRZX100</v>
      </c>
      <c r="G896" s="2" t="str">
        <f>"63445070201015"</f>
        <v>63445070201015</v>
      </c>
      <c r="I896">
        <v>20</v>
      </c>
      <c r="J896" s="3">
        <v>1</v>
      </c>
      <c r="K896" s="2">
        <v>39</v>
      </c>
      <c r="L896" s="3" t="s">
        <v>2</v>
      </c>
      <c r="M896" s="4">
        <v>41632</v>
      </c>
      <c r="N896" s="3">
        <v>19.010000000000002</v>
      </c>
    </row>
    <row r="897" spans="1:14" x14ac:dyDescent="0.25">
      <c r="A897" s="2">
        <v>896</v>
      </c>
      <c r="B897" s="3">
        <v>13382644</v>
      </c>
      <c r="C897" s="2" t="s">
        <v>258</v>
      </c>
      <c r="D897" s="3">
        <v>1</v>
      </c>
      <c r="E897" s="2">
        <v>77</v>
      </c>
      <c r="F897" s="2" t="str">
        <f t="shared" si="34"/>
        <v>MDRZX100</v>
      </c>
      <c r="G897" s="2" t="str">
        <f>"63445070201016"</f>
        <v>63445070201016</v>
      </c>
      <c r="I897">
        <v>20</v>
      </c>
      <c r="J897" s="3">
        <v>1</v>
      </c>
      <c r="K897" s="2">
        <v>9</v>
      </c>
      <c r="L897" s="3" t="s">
        <v>2</v>
      </c>
      <c r="M897" s="4">
        <v>41632</v>
      </c>
      <c r="N897" s="3">
        <v>19.010000000000002</v>
      </c>
    </row>
    <row r="898" spans="1:14" x14ac:dyDescent="0.25">
      <c r="A898" s="2">
        <v>897</v>
      </c>
      <c r="B898" s="3">
        <v>13382645</v>
      </c>
      <c r="C898" s="2" t="s">
        <v>258</v>
      </c>
      <c r="D898" s="3">
        <v>1</v>
      </c>
      <c r="E898" s="2">
        <v>77</v>
      </c>
      <c r="F898" s="2" t="str">
        <f t="shared" si="34"/>
        <v>MDRZX100</v>
      </c>
      <c r="G898" s="2" t="str">
        <f>"63445070201017"</f>
        <v>63445070201017</v>
      </c>
      <c r="I898">
        <v>20</v>
      </c>
      <c r="J898" s="3">
        <v>1</v>
      </c>
      <c r="K898" s="2">
        <v>39</v>
      </c>
      <c r="L898" s="3" t="s">
        <v>2</v>
      </c>
      <c r="M898" s="4">
        <v>41632</v>
      </c>
      <c r="N898" s="3">
        <v>19</v>
      </c>
    </row>
    <row r="899" spans="1:14" x14ac:dyDescent="0.25">
      <c r="A899" s="2">
        <v>898</v>
      </c>
      <c r="B899" s="3">
        <v>13382646</v>
      </c>
      <c r="C899" s="2" t="s">
        <v>258</v>
      </c>
      <c r="D899" s="3">
        <v>1</v>
      </c>
      <c r="E899" s="2">
        <v>77</v>
      </c>
      <c r="F899" s="2" t="str">
        <f t="shared" si="34"/>
        <v>MDRZX100</v>
      </c>
      <c r="G899" s="2" t="str">
        <f>"63445070201018"</f>
        <v>63445070201018</v>
      </c>
      <c r="I899">
        <v>5</v>
      </c>
      <c r="J899" s="3">
        <v>1</v>
      </c>
      <c r="K899" s="2">
        <v>39</v>
      </c>
      <c r="L899" s="3" t="s">
        <v>2</v>
      </c>
      <c r="M899" s="4">
        <v>41632</v>
      </c>
      <c r="N899" s="3">
        <v>19</v>
      </c>
    </row>
    <row r="900" spans="1:14" x14ac:dyDescent="0.25">
      <c r="A900" s="2">
        <v>899</v>
      </c>
      <c r="B900" s="3">
        <v>13382647</v>
      </c>
      <c r="C900" s="2" t="s">
        <v>258</v>
      </c>
      <c r="D900" s="3">
        <v>1</v>
      </c>
      <c r="E900" s="2">
        <v>77</v>
      </c>
      <c r="F900" s="2" t="str">
        <f t="shared" si="34"/>
        <v>MDRZX100</v>
      </c>
      <c r="G900" s="2" t="str">
        <f>"63445070201019"</f>
        <v>63445070201019</v>
      </c>
      <c r="I900">
        <v>5</v>
      </c>
      <c r="J900" s="3">
        <v>1</v>
      </c>
      <c r="K900" s="2">
        <v>39</v>
      </c>
      <c r="L900" s="3" t="s">
        <v>2</v>
      </c>
      <c r="M900" s="4">
        <v>41632</v>
      </c>
      <c r="N900" s="3">
        <v>19</v>
      </c>
    </row>
    <row r="901" spans="1:14" x14ac:dyDescent="0.25">
      <c r="A901" s="2">
        <v>900</v>
      </c>
      <c r="B901" s="3">
        <v>6794480</v>
      </c>
      <c r="C901" s="2" t="s">
        <v>249</v>
      </c>
      <c r="D901" s="3">
        <v>1</v>
      </c>
      <c r="E901" s="2">
        <v>34</v>
      </c>
      <c r="F901" s="2" t="str">
        <f>"FI 6670"</f>
        <v>FI 6670</v>
      </c>
      <c r="G901" s="2" t="str">
        <f>"500696"</f>
        <v>500696</v>
      </c>
      <c r="I901">
        <v>11</v>
      </c>
      <c r="J901" s="3">
        <v>1</v>
      </c>
      <c r="K901" s="2">
        <v>4</v>
      </c>
      <c r="L901" s="3" t="s">
        <v>2</v>
      </c>
      <c r="M901" s="4">
        <v>41657</v>
      </c>
      <c r="N901" s="5">
        <v>6193.6</v>
      </c>
    </row>
    <row r="902" spans="1:14" x14ac:dyDescent="0.25">
      <c r="A902" s="2">
        <v>901</v>
      </c>
      <c r="B902" s="3">
        <v>6794481</v>
      </c>
      <c r="C902" s="2" t="s">
        <v>249</v>
      </c>
      <c r="D902" s="3">
        <v>1</v>
      </c>
      <c r="E902" s="2">
        <v>34</v>
      </c>
      <c r="F902" s="2" t="str">
        <f>"FI 6670"</f>
        <v>FI 6670</v>
      </c>
      <c r="G902" s="2" t="str">
        <f>"500708"</f>
        <v>500708</v>
      </c>
      <c r="I902">
        <v>11</v>
      </c>
      <c r="J902" s="3">
        <v>1</v>
      </c>
      <c r="K902" s="2">
        <v>26</v>
      </c>
      <c r="L902" s="3" t="s">
        <v>2</v>
      </c>
      <c r="M902" s="4">
        <v>41657</v>
      </c>
      <c r="N902" s="5">
        <v>6193.6</v>
      </c>
    </row>
    <row r="903" spans="1:14" x14ac:dyDescent="0.25">
      <c r="A903" s="2">
        <v>902</v>
      </c>
      <c r="B903" s="3">
        <v>6794486</v>
      </c>
      <c r="C903" s="2" t="s">
        <v>201</v>
      </c>
      <c r="D903" s="3">
        <v>1</v>
      </c>
      <c r="E903" s="2">
        <v>14</v>
      </c>
      <c r="F903" s="2" t="str">
        <f>"SF200 48"</f>
        <v>SF200 48</v>
      </c>
      <c r="G903" s="2" t="str">
        <f>"DNI164304JK"</f>
        <v>DNI164304JK</v>
      </c>
      <c r="I903">
        <v>13</v>
      </c>
      <c r="J903" s="3">
        <v>1</v>
      </c>
      <c r="K903" s="2">
        <v>4</v>
      </c>
      <c r="L903" s="3" t="s">
        <v>2</v>
      </c>
      <c r="M903" s="4">
        <v>41657</v>
      </c>
      <c r="N903" s="3">
        <v>557.76</v>
      </c>
    </row>
    <row r="904" spans="1:14" x14ac:dyDescent="0.25">
      <c r="A904" s="2">
        <v>903</v>
      </c>
      <c r="B904" s="3">
        <v>6794487</v>
      </c>
      <c r="C904" s="2" t="s">
        <v>201</v>
      </c>
      <c r="D904" s="3">
        <v>1</v>
      </c>
      <c r="E904" s="2">
        <v>14</v>
      </c>
      <c r="F904" s="2" t="str">
        <f>"SF200 48"</f>
        <v>SF200 48</v>
      </c>
      <c r="G904" s="2" t="str">
        <f>"DNI161401DX"</f>
        <v>DNI161401DX</v>
      </c>
      <c r="I904">
        <v>13</v>
      </c>
      <c r="J904" s="3">
        <v>1</v>
      </c>
      <c r="K904" s="2">
        <v>4</v>
      </c>
      <c r="L904" s="3" t="s">
        <v>2</v>
      </c>
      <c r="M904" s="4">
        <v>41657</v>
      </c>
      <c r="N904" s="3">
        <v>557.76</v>
      </c>
    </row>
    <row r="905" spans="1:14" x14ac:dyDescent="0.25">
      <c r="A905" s="2">
        <v>904</v>
      </c>
      <c r="B905" s="3">
        <v>6794488</v>
      </c>
      <c r="C905" s="2" t="s">
        <v>201</v>
      </c>
      <c r="D905" s="3">
        <v>1</v>
      </c>
      <c r="E905" s="2">
        <v>14</v>
      </c>
      <c r="F905" s="2" t="str">
        <f>"SF200 48"</f>
        <v>SF200 48</v>
      </c>
      <c r="G905" s="2" t="str">
        <f>"DNI164207WN"</f>
        <v>DNI164207WN</v>
      </c>
      <c r="I905">
        <v>13</v>
      </c>
      <c r="J905" s="3">
        <v>1</v>
      </c>
      <c r="K905" s="2">
        <v>4</v>
      </c>
      <c r="L905" s="3" t="s">
        <v>2</v>
      </c>
      <c r="M905" s="4">
        <v>41657</v>
      </c>
      <c r="N905" s="3">
        <v>557.76</v>
      </c>
    </row>
    <row r="906" spans="1:14" x14ac:dyDescent="0.25">
      <c r="A906" s="2">
        <v>905</v>
      </c>
      <c r="B906" s="3">
        <v>6794489</v>
      </c>
      <c r="C906" s="2" t="s">
        <v>201</v>
      </c>
      <c r="D906" s="3">
        <v>1</v>
      </c>
      <c r="E906" s="2">
        <v>14</v>
      </c>
      <c r="F906" s="2" t="str">
        <f>"SF200 48"</f>
        <v>SF200 48</v>
      </c>
      <c r="G906" s="2" t="str">
        <f>"DNI164304JA"</f>
        <v>DNI164304JA</v>
      </c>
      <c r="I906">
        <v>13</v>
      </c>
      <c r="J906" s="3">
        <v>1</v>
      </c>
      <c r="K906" s="2">
        <v>4</v>
      </c>
      <c r="L906" s="3" t="s">
        <v>2</v>
      </c>
      <c r="M906" s="4">
        <v>41657</v>
      </c>
      <c r="N906" s="3">
        <v>557.76</v>
      </c>
    </row>
    <row r="907" spans="1:14" x14ac:dyDescent="0.25">
      <c r="A907" s="2">
        <v>906</v>
      </c>
      <c r="B907" s="3">
        <v>6794515</v>
      </c>
      <c r="C907" s="2" t="s">
        <v>251</v>
      </c>
      <c r="D907" s="3">
        <v>1</v>
      </c>
      <c r="E907" s="2">
        <v>56</v>
      </c>
      <c r="F907" s="2" t="str">
        <f>"RB2011"</f>
        <v>RB2011</v>
      </c>
      <c r="G907" s="2" t="str">
        <f>"40270215A9C5"</f>
        <v>40270215A9C5</v>
      </c>
      <c r="I907">
        <v>24</v>
      </c>
      <c r="J907" s="3">
        <v>1</v>
      </c>
      <c r="K907" s="2">
        <v>4</v>
      </c>
      <c r="L907" s="3" t="s">
        <v>2</v>
      </c>
      <c r="M907" s="4">
        <v>41660</v>
      </c>
      <c r="N907" s="3">
        <v>389.76</v>
      </c>
    </row>
    <row r="908" spans="1:14" x14ac:dyDescent="0.25">
      <c r="A908" s="2">
        <v>907</v>
      </c>
      <c r="B908" s="3">
        <v>6794516</v>
      </c>
      <c r="C908" s="2" t="s">
        <v>251</v>
      </c>
      <c r="D908" s="3">
        <v>1</v>
      </c>
      <c r="E908" s="2">
        <v>56</v>
      </c>
      <c r="F908" s="2" t="str">
        <f>"RB2011"</f>
        <v>RB2011</v>
      </c>
      <c r="G908" s="2" t="str">
        <f>"402702582997"</f>
        <v>402702582997</v>
      </c>
      <c r="I908">
        <v>24</v>
      </c>
      <c r="J908" s="3">
        <v>1</v>
      </c>
      <c r="K908" s="2">
        <v>4</v>
      </c>
      <c r="L908" s="3" t="s">
        <v>2</v>
      </c>
      <c r="M908" s="4">
        <v>41660</v>
      </c>
      <c r="N908" s="3">
        <v>389.76</v>
      </c>
    </row>
    <row r="909" spans="1:14" x14ac:dyDescent="0.25">
      <c r="A909" s="2">
        <v>908</v>
      </c>
      <c r="B909" s="3">
        <v>6794459</v>
      </c>
      <c r="C909" s="2" t="s">
        <v>192</v>
      </c>
      <c r="D909" s="3">
        <v>1</v>
      </c>
      <c r="E909" s="2">
        <v>42</v>
      </c>
      <c r="F909" s="2" t="str">
        <f>"P1102W"</f>
        <v>P1102W</v>
      </c>
      <c r="G909" s="2" t="str">
        <f>"VND3G28052"</f>
        <v>VND3G28052</v>
      </c>
      <c r="I909">
        <v>20</v>
      </c>
      <c r="J909" s="3">
        <v>1</v>
      </c>
      <c r="K909" s="2">
        <v>4</v>
      </c>
      <c r="L909" s="3" t="s">
        <v>2</v>
      </c>
      <c r="M909" s="4">
        <v>41676</v>
      </c>
      <c r="N909" s="3">
        <v>179.81</v>
      </c>
    </row>
    <row r="910" spans="1:14" x14ac:dyDescent="0.25">
      <c r="A910" s="2">
        <v>909</v>
      </c>
      <c r="B910" s="3">
        <v>6794460</v>
      </c>
      <c r="C910" s="2" t="s">
        <v>192</v>
      </c>
      <c r="D910" s="3">
        <v>1</v>
      </c>
      <c r="E910" s="2">
        <v>42</v>
      </c>
      <c r="F910" s="2" t="str">
        <f>"P1102W"</f>
        <v>P1102W</v>
      </c>
      <c r="G910" s="2" t="str">
        <f>"VND3H27801"</f>
        <v>VND3H27801</v>
      </c>
      <c r="I910">
        <v>20</v>
      </c>
      <c r="J910" s="3">
        <v>1</v>
      </c>
      <c r="K910" s="2">
        <v>4</v>
      </c>
      <c r="L910" s="3" t="s">
        <v>2</v>
      </c>
      <c r="M910" s="4">
        <v>41676</v>
      </c>
      <c r="N910" s="3">
        <v>179.81</v>
      </c>
    </row>
    <row r="911" spans="1:14" x14ac:dyDescent="0.25">
      <c r="A911" s="2">
        <v>910</v>
      </c>
      <c r="B911" s="3">
        <v>6794461</v>
      </c>
      <c r="C911" s="2" t="s">
        <v>192</v>
      </c>
      <c r="D911" s="3">
        <v>1</v>
      </c>
      <c r="E911" s="2">
        <v>42</v>
      </c>
      <c r="F911" s="2" t="str">
        <f>"P1102W"</f>
        <v>P1102W</v>
      </c>
      <c r="G911" s="2" t="str">
        <f>"VND3G28057"</f>
        <v>VND3G28057</v>
      </c>
      <c r="I911">
        <v>20</v>
      </c>
      <c r="J911" s="3">
        <v>1</v>
      </c>
      <c r="K911" s="2">
        <v>4</v>
      </c>
      <c r="L911" s="3" t="s">
        <v>2</v>
      </c>
      <c r="M911" s="4">
        <v>41676</v>
      </c>
      <c r="N911" s="3">
        <v>179.81</v>
      </c>
    </row>
    <row r="912" spans="1:14" x14ac:dyDescent="0.25">
      <c r="A912" s="2">
        <v>911</v>
      </c>
      <c r="B912" s="3">
        <v>6794557</v>
      </c>
      <c r="C912" s="2" t="s">
        <v>251</v>
      </c>
      <c r="D912" s="3">
        <v>1</v>
      </c>
      <c r="E912" s="2">
        <v>56</v>
      </c>
      <c r="F912" s="2" t="str">
        <f>"RB2011"</f>
        <v>RB2011</v>
      </c>
      <c r="G912" s="2" t="str">
        <f>"402702035C59"</f>
        <v>402702035C59</v>
      </c>
      <c r="I912">
        <v>24</v>
      </c>
      <c r="J912" s="3">
        <v>1</v>
      </c>
      <c r="K912" s="2">
        <v>4</v>
      </c>
      <c r="L912" s="3" t="s">
        <v>2</v>
      </c>
      <c r="M912" s="4">
        <v>41677</v>
      </c>
      <c r="N912" s="3">
        <v>389.76</v>
      </c>
    </row>
    <row r="913" spans="1:14" x14ac:dyDescent="0.25">
      <c r="A913" s="2">
        <v>912</v>
      </c>
      <c r="B913" s="3">
        <v>7606413</v>
      </c>
      <c r="C913" s="2" t="s">
        <v>266</v>
      </c>
      <c r="D913" s="3">
        <v>2</v>
      </c>
      <c r="E913" s="2">
        <v>76</v>
      </c>
      <c r="F913" s="2" t="str">
        <f>"ALTO RELIEVE"</f>
        <v>ALTO RELIEVE</v>
      </c>
      <c r="G913" s="2" t="str">
        <f>"14101030116001"</f>
        <v>14101030116001</v>
      </c>
      <c r="I913">
        <v>5</v>
      </c>
      <c r="J913" s="3">
        <v>1</v>
      </c>
      <c r="K913" s="2">
        <v>9</v>
      </c>
      <c r="L913" s="3" t="s">
        <v>2</v>
      </c>
      <c r="M913" s="4">
        <v>41692</v>
      </c>
      <c r="N913" s="3">
        <v>201.6</v>
      </c>
    </row>
    <row r="914" spans="1:14" x14ac:dyDescent="0.25">
      <c r="A914" s="2">
        <v>913</v>
      </c>
      <c r="B914" s="3">
        <v>13460222</v>
      </c>
      <c r="C914" s="2" t="s">
        <v>237</v>
      </c>
      <c r="D914" s="3">
        <v>2</v>
      </c>
      <c r="E914" s="2">
        <v>76</v>
      </c>
      <c r="F914" s="2" t="str">
        <f>"SIN MODELO"</f>
        <v>SIN MODELO</v>
      </c>
      <c r="G914" s="2" t="str">
        <f>"63445060109002"</f>
        <v>63445060109002</v>
      </c>
      <c r="I914">
        <v>5</v>
      </c>
      <c r="J914" s="3">
        <v>1</v>
      </c>
      <c r="K914" s="2">
        <v>39</v>
      </c>
      <c r="L914" s="3" t="s">
        <v>2</v>
      </c>
      <c r="M914" s="4">
        <v>41692</v>
      </c>
      <c r="N914" s="3">
        <v>59.36</v>
      </c>
    </row>
    <row r="915" spans="1:14" x14ac:dyDescent="0.25">
      <c r="A915" s="2">
        <v>914</v>
      </c>
      <c r="B915" s="3">
        <v>13460202</v>
      </c>
      <c r="C915" s="2" t="s">
        <v>225</v>
      </c>
      <c r="D915" s="3">
        <v>2</v>
      </c>
      <c r="E915" s="2">
        <v>76</v>
      </c>
      <c r="F915" s="2" t="str">
        <f>"SIN MODELO"</f>
        <v>SIN MODELO</v>
      </c>
      <c r="G915" s="2" t="str">
        <f>"63445060101005"</f>
        <v>63445060101005</v>
      </c>
      <c r="I915">
        <v>20</v>
      </c>
      <c r="J915" s="3">
        <v>1</v>
      </c>
      <c r="K915" s="2">
        <v>4</v>
      </c>
      <c r="L915" s="3" t="s">
        <v>2</v>
      </c>
      <c r="M915" s="4">
        <v>41780</v>
      </c>
      <c r="N915" s="3">
        <v>44.8</v>
      </c>
    </row>
    <row r="916" spans="1:14" x14ac:dyDescent="0.25">
      <c r="A916" s="2">
        <v>915</v>
      </c>
      <c r="B916" s="3">
        <v>13182041</v>
      </c>
      <c r="C916" s="2" t="s">
        <v>231</v>
      </c>
      <c r="D916" s="3">
        <v>1</v>
      </c>
      <c r="E916" s="2">
        <v>47</v>
      </c>
      <c r="F916" s="2" t="str">
        <f>"50LAN"</f>
        <v>50LAN</v>
      </c>
      <c r="G916" s="2" t="str">
        <f>"63445040403005"</f>
        <v>63445040403005</v>
      </c>
      <c r="I916">
        <v>23</v>
      </c>
      <c r="J916" s="3">
        <v>1</v>
      </c>
      <c r="K916" s="2">
        <v>25</v>
      </c>
      <c r="L916" s="3" t="s">
        <v>2</v>
      </c>
      <c r="M916" s="4">
        <v>41803</v>
      </c>
      <c r="N916" s="3">
        <v>21</v>
      </c>
    </row>
    <row r="917" spans="1:14" x14ac:dyDescent="0.25">
      <c r="A917" s="2">
        <v>916</v>
      </c>
      <c r="B917" s="3">
        <v>13460249</v>
      </c>
      <c r="C917" s="2" t="s">
        <v>226</v>
      </c>
      <c r="D917" s="3">
        <v>1</v>
      </c>
      <c r="E917" s="2">
        <v>84</v>
      </c>
      <c r="F917" s="2" t="str">
        <f>"R7 LED"</f>
        <v>R7 LED</v>
      </c>
      <c r="G917" s="2" t="str">
        <f>"63445060113025"</f>
        <v>63445060113025</v>
      </c>
      <c r="I917">
        <v>20</v>
      </c>
      <c r="J917" s="3">
        <v>1</v>
      </c>
      <c r="K917" s="2">
        <v>39</v>
      </c>
      <c r="L917" s="3" t="s">
        <v>2</v>
      </c>
      <c r="M917" s="4">
        <v>41827</v>
      </c>
      <c r="N917" s="3">
        <v>14.56</v>
      </c>
    </row>
    <row r="918" spans="1:14" x14ac:dyDescent="0.25">
      <c r="A918" s="2">
        <v>917</v>
      </c>
      <c r="B918" s="3">
        <v>13460250</v>
      </c>
      <c r="C918" s="2" t="s">
        <v>226</v>
      </c>
      <c r="D918" s="3">
        <v>1</v>
      </c>
      <c r="E918" s="2">
        <v>84</v>
      </c>
      <c r="F918" s="2" t="str">
        <f>"R7 LED"</f>
        <v>R7 LED</v>
      </c>
      <c r="G918" s="2" t="str">
        <f>"63445060113026"</f>
        <v>63445060113026</v>
      </c>
      <c r="I918">
        <v>20</v>
      </c>
      <c r="J918" s="3">
        <v>1</v>
      </c>
      <c r="K918" s="2">
        <v>39</v>
      </c>
      <c r="L918" s="3" t="s">
        <v>2</v>
      </c>
      <c r="M918" s="4">
        <v>41827</v>
      </c>
      <c r="N918" s="3">
        <v>14.56</v>
      </c>
    </row>
    <row r="919" spans="1:14" x14ac:dyDescent="0.25">
      <c r="A919" s="2">
        <v>918</v>
      </c>
      <c r="B919" s="3">
        <v>13182029</v>
      </c>
      <c r="C919" s="2" t="s">
        <v>229</v>
      </c>
      <c r="D919" s="3">
        <v>2</v>
      </c>
      <c r="E919" s="2">
        <v>76</v>
      </c>
      <c r="F919" s="2" t="str">
        <f t="shared" ref="F919:F928" si="35">"SIN MODELO"</f>
        <v>SIN MODELO</v>
      </c>
      <c r="G919" s="2" t="str">
        <f>"63445040402011"</f>
        <v>63445040402011</v>
      </c>
      <c r="I919">
        <v>24</v>
      </c>
      <c r="J919" s="3">
        <v>1</v>
      </c>
      <c r="K919" s="2">
        <v>30</v>
      </c>
      <c r="L919" s="3" t="s">
        <v>2</v>
      </c>
      <c r="M919" s="4">
        <v>41830</v>
      </c>
      <c r="N919" s="3">
        <v>48.16</v>
      </c>
    </row>
    <row r="920" spans="1:14" x14ac:dyDescent="0.25">
      <c r="A920" s="2">
        <v>919</v>
      </c>
      <c r="B920" s="3">
        <v>13182030</v>
      </c>
      <c r="C920" s="2" t="s">
        <v>229</v>
      </c>
      <c r="D920" s="3">
        <v>2</v>
      </c>
      <c r="E920" s="2">
        <v>76</v>
      </c>
      <c r="F920" s="2" t="str">
        <f t="shared" si="35"/>
        <v>SIN MODELO</v>
      </c>
      <c r="G920" s="2" t="str">
        <f>"63445040402012"</f>
        <v>63445040402012</v>
      </c>
      <c r="I920">
        <v>24</v>
      </c>
      <c r="J920" s="3">
        <v>1</v>
      </c>
      <c r="K920" s="2">
        <v>30</v>
      </c>
      <c r="L920" s="3" t="s">
        <v>2</v>
      </c>
      <c r="M920" s="4">
        <v>41830</v>
      </c>
      <c r="N920" s="3">
        <v>48.16</v>
      </c>
    </row>
    <row r="921" spans="1:14" x14ac:dyDescent="0.25">
      <c r="A921" s="2">
        <v>920</v>
      </c>
      <c r="B921" s="3">
        <v>13182031</v>
      </c>
      <c r="C921" s="2" t="s">
        <v>229</v>
      </c>
      <c r="D921" s="3">
        <v>2</v>
      </c>
      <c r="E921" s="2">
        <v>76</v>
      </c>
      <c r="F921" s="2" t="str">
        <f t="shared" si="35"/>
        <v>SIN MODELO</v>
      </c>
      <c r="G921" s="2" t="str">
        <f>"63445040402013"</f>
        <v>63445040402013</v>
      </c>
      <c r="I921">
        <v>24</v>
      </c>
      <c r="J921" s="3">
        <v>1</v>
      </c>
      <c r="K921" s="2">
        <v>30</v>
      </c>
      <c r="L921" s="3" t="s">
        <v>2</v>
      </c>
      <c r="M921" s="4">
        <v>41830</v>
      </c>
      <c r="N921" s="3">
        <v>28.56</v>
      </c>
    </row>
    <row r="922" spans="1:14" x14ac:dyDescent="0.25">
      <c r="A922" s="2">
        <v>921</v>
      </c>
      <c r="B922" s="3">
        <v>13182032</v>
      </c>
      <c r="C922" s="2" t="s">
        <v>229</v>
      </c>
      <c r="D922" s="3">
        <v>2</v>
      </c>
      <c r="E922" s="2">
        <v>76</v>
      </c>
      <c r="F922" s="2" t="str">
        <f t="shared" si="35"/>
        <v>SIN MODELO</v>
      </c>
      <c r="G922" s="2" t="str">
        <f>"63445040402014"</f>
        <v>63445040402014</v>
      </c>
      <c r="I922">
        <v>24</v>
      </c>
      <c r="J922" s="3">
        <v>1</v>
      </c>
      <c r="K922" s="2">
        <v>30</v>
      </c>
      <c r="L922" s="3" t="s">
        <v>2</v>
      </c>
      <c r="M922" s="4">
        <v>41830</v>
      </c>
      <c r="N922" s="3">
        <v>28.56</v>
      </c>
    </row>
    <row r="923" spans="1:14" x14ac:dyDescent="0.25">
      <c r="A923" s="2">
        <v>922</v>
      </c>
      <c r="B923" s="3">
        <v>13182033</v>
      </c>
      <c r="C923" s="2" t="s">
        <v>229</v>
      </c>
      <c r="D923" s="3">
        <v>2</v>
      </c>
      <c r="E923" s="2">
        <v>76</v>
      </c>
      <c r="F923" s="2" t="str">
        <f t="shared" si="35"/>
        <v>SIN MODELO</v>
      </c>
      <c r="G923" s="2" t="str">
        <f>"63445040402015"</f>
        <v>63445040402015</v>
      </c>
      <c r="I923">
        <v>24</v>
      </c>
      <c r="J923" s="3">
        <v>1</v>
      </c>
      <c r="K923" s="2">
        <v>30</v>
      </c>
      <c r="L923" s="3" t="s">
        <v>2</v>
      </c>
      <c r="M923" s="4">
        <v>41830</v>
      </c>
      <c r="N923" s="3">
        <v>28.56</v>
      </c>
    </row>
    <row r="924" spans="1:14" x14ac:dyDescent="0.25">
      <c r="A924" s="7">
        <v>923</v>
      </c>
      <c r="B924" s="8">
        <v>13182034</v>
      </c>
      <c r="C924" s="2" t="s">
        <v>229</v>
      </c>
      <c r="D924" s="3">
        <v>2</v>
      </c>
      <c r="E924" s="2">
        <v>76</v>
      </c>
      <c r="F924" s="2" t="str">
        <f t="shared" si="35"/>
        <v>SIN MODELO</v>
      </c>
      <c r="G924" s="2" t="str">
        <f>"63445040402016"</f>
        <v>63445040402016</v>
      </c>
      <c r="I924">
        <v>24</v>
      </c>
      <c r="J924" s="3">
        <v>1</v>
      </c>
      <c r="K924" s="2">
        <v>30</v>
      </c>
      <c r="L924" s="3" t="s">
        <v>2</v>
      </c>
      <c r="M924" s="4">
        <v>41830</v>
      </c>
      <c r="N924" s="3">
        <v>28.56</v>
      </c>
    </row>
    <row r="925" spans="1:14" x14ac:dyDescent="0.25">
      <c r="A925" s="7">
        <v>924</v>
      </c>
      <c r="B925" s="8">
        <v>13182035</v>
      </c>
      <c r="C925" s="2" t="s">
        <v>229</v>
      </c>
      <c r="D925" s="3">
        <v>2</v>
      </c>
      <c r="E925" s="2">
        <v>76</v>
      </c>
      <c r="F925" s="2" t="str">
        <f t="shared" si="35"/>
        <v>SIN MODELO</v>
      </c>
      <c r="G925" s="2" t="str">
        <f>"63445040402017"</f>
        <v>63445040402017</v>
      </c>
      <c r="I925">
        <v>24</v>
      </c>
      <c r="J925" s="3">
        <v>1</v>
      </c>
      <c r="K925" s="2">
        <v>30</v>
      </c>
      <c r="L925" s="3" t="s">
        <v>2</v>
      </c>
      <c r="M925" s="4">
        <v>41830</v>
      </c>
      <c r="N925" s="3">
        <v>28.56</v>
      </c>
    </row>
    <row r="926" spans="1:14" x14ac:dyDescent="0.25">
      <c r="A926" s="2">
        <v>925</v>
      </c>
      <c r="B926" s="3">
        <v>13182036</v>
      </c>
      <c r="C926" s="2" t="s">
        <v>230</v>
      </c>
      <c r="D926" s="3">
        <v>2</v>
      </c>
      <c r="E926" s="2">
        <v>76</v>
      </c>
      <c r="F926" s="2" t="str">
        <f t="shared" si="35"/>
        <v>SIN MODELO</v>
      </c>
      <c r="G926" s="2" t="str">
        <f>"63445040402018"</f>
        <v>63445040402018</v>
      </c>
      <c r="I926">
        <v>24</v>
      </c>
      <c r="J926" s="3">
        <v>1</v>
      </c>
      <c r="K926" s="2">
        <v>4</v>
      </c>
      <c r="L926" s="3" t="s">
        <v>2</v>
      </c>
      <c r="M926" s="4">
        <v>41830</v>
      </c>
      <c r="N926" s="3">
        <v>87.36</v>
      </c>
    </row>
    <row r="927" spans="1:14" x14ac:dyDescent="0.25">
      <c r="A927" s="2">
        <v>926</v>
      </c>
      <c r="B927" s="3">
        <v>13182037</v>
      </c>
      <c r="C927" s="2" t="s">
        <v>230</v>
      </c>
      <c r="D927" s="3">
        <v>2</v>
      </c>
      <c r="E927" s="2">
        <v>76</v>
      </c>
      <c r="F927" s="2" t="str">
        <f t="shared" si="35"/>
        <v>SIN MODELO</v>
      </c>
      <c r="G927" s="2" t="str">
        <f>"63445040402019"</f>
        <v>63445040402019</v>
      </c>
      <c r="I927">
        <v>24</v>
      </c>
      <c r="J927" s="3">
        <v>1</v>
      </c>
      <c r="K927" s="2">
        <v>30</v>
      </c>
      <c r="L927" s="3" t="s">
        <v>2</v>
      </c>
      <c r="M927" s="4">
        <v>41830</v>
      </c>
      <c r="N927" s="3">
        <v>87.36</v>
      </c>
    </row>
    <row r="928" spans="1:14" x14ac:dyDescent="0.25">
      <c r="A928" s="2">
        <v>927</v>
      </c>
      <c r="B928" s="3">
        <v>13182079</v>
      </c>
      <c r="C928" s="2" t="s">
        <v>267</v>
      </c>
      <c r="D928" s="3">
        <v>1</v>
      </c>
      <c r="E928" s="2">
        <v>76</v>
      </c>
      <c r="F928" s="2" t="str">
        <f t="shared" si="35"/>
        <v>SIN MODELO</v>
      </c>
      <c r="G928" s="2" t="str">
        <f>"63445040506001"</f>
        <v>63445040506001</v>
      </c>
      <c r="I928">
        <v>23</v>
      </c>
      <c r="J928" s="3">
        <v>1</v>
      </c>
      <c r="K928" s="2">
        <v>30</v>
      </c>
      <c r="L928" s="3" t="s">
        <v>2</v>
      </c>
      <c r="M928" s="4">
        <v>41830</v>
      </c>
      <c r="N928" s="3">
        <v>78.56</v>
      </c>
    </row>
    <row r="929" spans="1:14" x14ac:dyDescent="0.25">
      <c r="A929" s="2">
        <v>928</v>
      </c>
      <c r="B929" s="3">
        <v>13182006</v>
      </c>
      <c r="C929" s="2" t="s">
        <v>268</v>
      </c>
      <c r="D929" s="3">
        <v>1</v>
      </c>
      <c r="E929" s="2">
        <v>60</v>
      </c>
      <c r="F929" s="2" t="str">
        <f>"LFH0516"</f>
        <v>LFH0516</v>
      </c>
      <c r="G929" s="2" t="str">
        <f>"VR11800028897"</f>
        <v>VR11800028897</v>
      </c>
      <c r="I929">
        <v>5</v>
      </c>
      <c r="J929" s="3">
        <v>1</v>
      </c>
      <c r="K929" s="2">
        <v>9</v>
      </c>
      <c r="L929" s="3" t="s">
        <v>2</v>
      </c>
      <c r="M929" s="4">
        <v>41934</v>
      </c>
      <c r="N929" s="3">
        <v>88.36</v>
      </c>
    </row>
    <row r="930" spans="1:14" x14ac:dyDescent="0.25">
      <c r="A930" s="2">
        <v>929</v>
      </c>
      <c r="B930" s="3">
        <v>7606414</v>
      </c>
      <c r="C930" s="2" t="s">
        <v>266</v>
      </c>
      <c r="D930" s="3">
        <v>2</v>
      </c>
      <c r="E930" s="2">
        <v>76</v>
      </c>
      <c r="F930" s="2" t="str">
        <f>"ALTO RELIEVE"</f>
        <v>ALTO RELIEVE</v>
      </c>
      <c r="G930" s="2" t="str">
        <f>"14101030116002"</f>
        <v>14101030116002</v>
      </c>
      <c r="I930">
        <v>27</v>
      </c>
      <c r="J930" s="3">
        <v>1</v>
      </c>
      <c r="K930" s="2">
        <v>9</v>
      </c>
      <c r="L930" s="3" t="s">
        <v>2</v>
      </c>
      <c r="M930" s="4">
        <v>42171</v>
      </c>
      <c r="N930" s="3">
        <v>280</v>
      </c>
    </row>
    <row r="931" spans="1:14" x14ac:dyDescent="0.25">
      <c r="A931" s="2">
        <v>930</v>
      </c>
      <c r="B931" s="3">
        <v>7606415</v>
      </c>
      <c r="C931" s="2" t="s">
        <v>266</v>
      </c>
      <c r="D931" s="3">
        <v>2</v>
      </c>
      <c r="E931" s="2">
        <v>76</v>
      </c>
      <c r="F931" s="2" t="str">
        <f>"ALTO RELIEVE"</f>
        <v>ALTO RELIEVE</v>
      </c>
      <c r="G931" s="2" t="str">
        <f>"14101030116003"</f>
        <v>14101030116003</v>
      </c>
      <c r="I931">
        <v>4</v>
      </c>
      <c r="J931" s="3">
        <v>1</v>
      </c>
      <c r="K931" s="2">
        <v>9</v>
      </c>
      <c r="L931" s="3" t="s">
        <v>2</v>
      </c>
      <c r="M931" s="4">
        <v>42171</v>
      </c>
      <c r="N931" s="3">
        <v>280</v>
      </c>
    </row>
    <row r="932" spans="1:14" x14ac:dyDescent="0.25">
      <c r="A932" s="2">
        <v>931</v>
      </c>
      <c r="B932" s="3">
        <v>5993572</v>
      </c>
      <c r="C932" s="2" t="s">
        <v>237</v>
      </c>
      <c r="D932" s="3">
        <v>2</v>
      </c>
      <c r="E932" s="2">
        <v>76</v>
      </c>
      <c r="F932" s="2" t="str">
        <f>"SIN MODELO"</f>
        <v>SIN MODELO</v>
      </c>
      <c r="G932" s="2" t="str">
        <f>"14101060101001"</f>
        <v>14101060101001</v>
      </c>
      <c r="I932">
        <v>22</v>
      </c>
      <c r="J932" s="3">
        <v>1</v>
      </c>
      <c r="K932" s="2">
        <v>26</v>
      </c>
      <c r="L932" s="3" t="s">
        <v>31</v>
      </c>
      <c r="M932" s="4">
        <v>41255</v>
      </c>
      <c r="N932" s="3">
        <v>106.25</v>
      </c>
    </row>
    <row r="933" spans="1:14" x14ac:dyDescent="0.25">
      <c r="A933" s="2">
        <v>932</v>
      </c>
      <c r="B933" s="3">
        <v>13460198</v>
      </c>
      <c r="C933" s="2" t="s">
        <v>225</v>
      </c>
      <c r="D933" s="3">
        <v>2</v>
      </c>
      <c r="E933" s="2">
        <v>76</v>
      </c>
      <c r="F933" s="2" t="str">
        <f>"SIN MODELO"</f>
        <v>SIN MODELO</v>
      </c>
      <c r="G933" s="2" t="str">
        <f>"63445060101001"</f>
        <v>63445060101001</v>
      </c>
      <c r="I933">
        <v>2</v>
      </c>
      <c r="J933" s="3">
        <v>1</v>
      </c>
      <c r="K933" s="2">
        <v>39</v>
      </c>
      <c r="L933" s="3" t="s">
        <v>2</v>
      </c>
      <c r="M933" s="4">
        <v>41597</v>
      </c>
      <c r="N933" s="3">
        <v>95.2</v>
      </c>
    </row>
    <row r="934" spans="1:14" x14ac:dyDescent="0.25">
      <c r="A934" s="2">
        <v>933</v>
      </c>
      <c r="B934" s="3">
        <v>13460199</v>
      </c>
      <c r="C934" s="2" t="s">
        <v>225</v>
      </c>
      <c r="D934" s="3">
        <v>2</v>
      </c>
      <c r="E934" s="2">
        <v>76</v>
      </c>
      <c r="F934" s="2" t="str">
        <f>"SIN MODELO"</f>
        <v>SIN MODELO</v>
      </c>
      <c r="G934" s="2" t="str">
        <f>"63445060101002"</f>
        <v>63445060101002</v>
      </c>
      <c r="I934">
        <v>20</v>
      </c>
      <c r="J934" s="3">
        <v>1</v>
      </c>
      <c r="K934" s="2">
        <v>9</v>
      </c>
      <c r="L934" s="3" t="s">
        <v>2</v>
      </c>
      <c r="M934" s="4">
        <v>41597</v>
      </c>
      <c r="N934" s="3">
        <v>95.2</v>
      </c>
    </row>
    <row r="935" spans="1:14" x14ac:dyDescent="0.25">
      <c r="A935" s="2">
        <v>934</v>
      </c>
      <c r="B935" s="3">
        <v>13460200</v>
      </c>
      <c r="C935" s="2" t="s">
        <v>225</v>
      </c>
      <c r="D935" s="3">
        <v>2</v>
      </c>
      <c r="E935" s="2">
        <v>76</v>
      </c>
      <c r="F935" s="2" t="str">
        <f>"SIN MODELO"</f>
        <v>SIN MODELO</v>
      </c>
      <c r="G935" s="2" t="str">
        <f>"63445060101007"</f>
        <v>63445060101007</v>
      </c>
      <c r="I935">
        <v>25</v>
      </c>
      <c r="J935" s="3">
        <v>1</v>
      </c>
      <c r="K935" s="2">
        <v>9</v>
      </c>
      <c r="L935" s="3" t="s">
        <v>2</v>
      </c>
      <c r="M935" s="4">
        <v>41597</v>
      </c>
      <c r="N935" s="3">
        <v>20.56</v>
      </c>
    </row>
    <row r="936" spans="1:14" x14ac:dyDescent="0.25">
      <c r="A936" s="2">
        <v>935</v>
      </c>
      <c r="B936" s="3">
        <v>13460201</v>
      </c>
      <c r="C936" s="2" t="s">
        <v>225</v>
      </c>
      <c r="D936" s="3">
        <v>2</v>
      </c>
      <c r="E936" s="2">
        <v>76</v>
      </c>
      <c r="F936" s="2" t="str">
        <f>"SIN MODELO"</f>
        <v>SIN MODELO</v>
      </c>
      <c r="G936" s="2" t="str">
        <f>"63445060101004"</f>
        <v>63445060101004</v>
      </c>
      <c r="I936">
        <v>20</v>
      </c>
      <c r="J936" s="3">
        <v>1</v>
      </c>
      <c r="K936" s="2">
        <v>9</v>
      </c>
      <c r="L936" s="3" t="s">
        <v>2</v>
      </c>
      <c r="M936" s="4">
        <v>41597</v>
      </c>
      <c r="N936" s="3">
        <v>50.16</v>
      </c>
    </row>
    <row r="937" spans="1:14" x14ac:dyDescent="0.25">
      <c r="A937" s="2">
        <v>936</v>
      </c>
      <c r="B937" s="3">
        <v>9185650</v>
      </c>
      <c r="C937" s="2" t="s">
        <v>285</v>
      </c>
      <c r="D937" s="3">
        <v>2</v>
      </c>
      <c r="E937" s="2">
        <v>76</v>
      </c>
      <c r="F937" s="2" t="str">
        <f>""</f>
        <v/>
      </c>
      <c r="G937" s="2" t="str">
        <f>"9185650"</f>
        <v>9185650</v>
      </c>
      <c r="I937">
        <v>5</v>
      </c>
      <c r="J937" s="3">
        <v>1</v>
      </c>
      <c r="K937" s="2">
        <v>23</v>
      </c>
      <c r="L937" s="3" t="s">
        <v>31</v>
      </c>
      <c r="M937" s="4">
        <v>42628</v>
      </c>
      <c r="N937" s="3">
        <v>46.69</v>
      </c>
    </row>
    <row r="938" spans="1:14" x14ac:dyDescent="0.25">
      <c r="A938" s="2">
        <v>937</v>
      </c>
      <c r="B938" s="3">
        <v>9185649</v>
      </c>
      <c r="C938" s="2" t="s">
        <v>285</v>
      </c>
      <c r="D938" s="3">
        <v>2</v>
      </c>
      <c r="E938" s="2">
        <v>76</v>
      </c>
      <c r="F938" s="2" t="str">
        <f>""</f>
        <v/>
      </c>
      <c r="G938" s="2" t="str">
        <f>"9185649"</f>
        <v>9185649</v>
      </c>
      <c r="I938">
        <v>3</v>
      </c>
      <c r="J938" s="3">
        <v>1</v>
      </c>
      <c r="K938" s="2">
        <v>23</v>
      </c>
      <c r="L938" s="3" t="s">
        <v>31</v>
      </c>
      <c r="M938" s="4">
        <v>42628</v>
      </c>
      <c r="N938" s="3">
        <v>46.69</v>
      </c>
    </row>
    <row r="939" spans="1:14" x14ac:dyDescent="0.25">
      <c r="A939" s="2">
        <v>938</v>
      </c>
      <c r="B939" s="3">
        <v>9185656</v>
      </c>
      <c r="C939" s="2" t="s">
        <v>285</v>
      </c>
      <c r="D939" s="3">
        <v>2</v>
      </c>
      <c r="E939" s="2">
        <v>76</v>
      </c>
      <c r="F939" s="2" t="str">
        <f>""</f>
        <v/>
      </c>
      <c r="G939" s="2" t="str">
        <f>"9185656"</f>
        <v>9185656</v>
      </c>
      <c r="I939">
        <v>5</v>
      </c>
      <c r="J939" s="3">
        <v>1</v>
      </c>
      <c r="K939" s="2">
        <v>23</v>
      </c>
      <c r="L939" s="3" t="s">
        <v>31</v>
      </c>
      <c r="M939" s="4">
        <v>42626</v>
      </c>
      <c r="N939" s="3">
        <v>46.69</v>
      </c>
    </row>
    <row r="940" spans="1:14" x14ac:dyDescent="0.25">
      <c r="A940" s="2">
        <v>939</v>
      </c>
      <c r="B940" s="3">
        <v>9185648</v>
      </c>
      <c r="C940" s="2" t="s">
        <v>285</v>
      </c>
      <c r="D940" s="3">
        <v>2</v>
      </c>
      <c r="E940" s="2">
        <v>76</v>
      </c>
      <c r="F940" s="2" t="str">
        <f>""</f>
        <v/>
      </c>
      <c r="G940" s="2" t="str">
        <f>"9185648"</f>
        <v>9185648</v>
      </c>
      <c r="I940">
        <v>3</v>
      </c>
      <c r="J940" s="3">
        <v>1</v>
      </c>
      <c r="K940" s="2">
        <v>23</v>
      </c>
      <c r="L940" s="3" t="s">
        <v>31</v>
      </c>
      <c r="M940" s="4">
        <v>42628</v>
      </c>
      <c r="N940" s="3">
        <v>46.74</v>
      </c>
    </row>
    <row r="941" spans="1:14" x14ac:dyDescent="0.25">
      <c r="A941" s="2">
        <v>940</v>
      </c>
      <c r="B941" s="3">
        <v>9185651</v>
      </c>
      <c r="C941" s="2" t="s">
        <v>285</v>
      </c>
      <c r="D941" s="3">
        <v>2</v>
      </c>
      <c r="E941" s="2">
        <v>76</v>
      </c>
      <c r="F941" s="2" t="str">
        <f>""</f>
        <v/>
      </c>
      <c r="G941" s="2" t="str">
        <f>"9185651"</f>
        <v>9185651</v>
      </c>
      <c r="I941">
        <v>5</v>
      </c>
      <c r="J941" s="3">
        <v>1</v>
      </c>
      <c r="K941" s="2">
        <v>23</v>
      </c>
      <c r="L941" s="3" t="s">
        <v>31</v>
      </c>
      <c r="M941" s="4">
        <v>42628</v>
      </c>
      <c r="N941" s="3">
        <v>46.69</v>
      </c>
    </row>
    <row r="942" spans="1:14" x14ac:dyDescent="0.25">
      <c r="A942" s="2">
        <v>941</v>
      </c>
      <c r="B942" s="3">
        <v>9185652</v>
      </c>
      <c r="C942" s="2" t="s">
        <v>285</v>
      </c>
      <c r="D942" s="3">
        <v>2</v>
      </c>
      <c r="E942" s="2">
        <v>76</v>
      </c>
      <c r="F942" s="2" t="str">
        <f>""</f>
        <v/>
      </c>
      <c r="G942" s="2" t="str">
        <f>"9185652"</f>
        <v>9185652</v>
      </c>
      <c r="I942">
        <v>5</v>
      </c>
      <c r="J942" s="3">
        <v>1</v>
      </c>
      <c r="K942" s="2">
        <v>23</v>
      </c>
      <c r="L942" s="3" t="s">
        <v>31</v>
      </c>
      <c r="M942" s="4">
        <v>42628</v>
      </c>
      <c r="N942" s="3">
        <v>46.69</v>
      </c>
    </row>
    <row r="943" spans="1:14" x14ac:dyDescent="0.25">
      <c r="A943" s="2">
        <v>942</v>
      </c>
      <c r="B943" s="3">
        <v>9185653</v>
      </c>
      <c r="C943" s="2" t="s">
        <v>285</v>
      </c>
      <c r="D943" s="3">
        <v>2</v>
      </c>
      <c r="E943" s="2">
        <v>76</v>
      </c>
      <c r="F943" s="2" t="str">
        <f>""</f>
        <v/>
      </c>
      <c r="G943" s="2" t="str">
        <f>"9185653"</f>
        <v>9185653</v>
      </c>
      <c r="I943">
        <v>5</v>
      </c>
      <c r="J943" s="3">
        <v>1</v>
      </c>
      <c r="K943" s="2">
        <v>23</v>
      </c>
      <c r="L943" s="3" t="s">
        <v>31</v>
      </c>
      <c r="M943" s="4">
        <v>42628</v>
      </c>
      <c r="N943" s="3">
        <v>46.69</v>
      </c>
    </row>
    <row r="944" spans="1:14" x14ac:dyDescent="0.25">
      <c r="A944" s="2">
        <v>943</v>
      </c>
      <c r="B944" s="3">
        <v>9185654</v>
      </c>
      <c r="C944" s="2" t="s">
        <v>285</v>
      </c>
      <c r="D944" s="3">
        <v>2</v>
      </c>
      <c r="E944" s="2">
        <v>76</v>
      </c>
      <c r="F944" s="2" t="str">
        <f>""</f>
        <v/>
      </c>
      <c r="G944" s="2" t="str">
        <f>"9185654"</f>
        <v>9185654</v>
      </c>
      <c r="I944">
        <v>5</v>
      </c>
      <c r="J944" s="3">
        <v>1</v>
      </c>
      <c r="K944" s="2">
        <v>23</v>
      </c>
      <c r="L944" s="3" t="s">
        <v>31</v>
      </c>
      <c r="M944" s="4">
        <v>42628</v>
      </c>
      <c r="N944" s="3">
        <v>46.69</v>
      </c>
    </row>
    <row r="945" spans="1:14" x14ac:dyDescent="0.25">
      <c r="A945" s="2">
        <v>944</v>
      </c>
      <c r="B945" s="3">
        <v>9185655</v>
      </c>
      <c r="C945" s="2" t="s">
        <v>285</v>
      </c>
      <c r="D945" s="3">
        <v>2</v>
      </c>
      <c r="E945" s="2">
        <v>76</v>
      </c>
      <c r="F945" s="2" t="str">
        <f>""</f>
        <v/>
      </c>
      <c r="G945" s="2" t="str">
        <f>"9185655"</f>
        <v>9185655</v>
      </c>
      <c r="I945">
        <v>5</v>
      </c>
      <c r="J945" s="3">
        <v>1</v>
      </c>
      <c r="K945" s="2">
        <v>23</v>
      </c>
      <c r="L945" s="3" t="s">
        <v>31</v>
      </c>
      <c r="M945" s="4">
        <v>42628</v>
      </c>
      <c r="N945" s="3">
        <v>46.69</v>
      </c>
    </row>
    <row r="946" spans="1:14" x14ac:dyDescent="0.25">
      <c r="A946" s="2">
        <v>945</v>
      </c>
      <c r="B946" s="3">
        <v>9185657</v>
      </c>
      <c r="C946" s="2" t="s">
        <v>285</v>
      </c>
      <c r="D946" s="3">
        <v>2</v>
      </c>
      <c r="E946" s="2">
        <v>76</v>
      </c>
      <c r="F946" s="2" t="str">
        <f>""</f>
        <v/>
      </c>
      <c r="G946" s="2" t="str">
        <f>"9185657"</f>
        <v>9185657</v>
      </c>
      <c r="I946">
        <v>5</v>
      </c>
      <c r="J946" s="3">
        <v>1</v>
      </c>
      <c r="K946" s="2">
        <v>23</v>
      </c>
      <c r="L946" s="3" t="s">
        <v>31</v>
      </c>
      <c r="M946" s="4">
        <v>42628</v>
      </c>
      <c r="N946" s="3">
        <v>46.69</v>
      </c>
    </row>
    <row r="947" spans="1:14" x14ac:dyDescent="0.25">
      <c r="A947" s="2">
        <v>946</v>
      </c>
      <c r="B947" s="3">
        <v>9185658</v>
      </c>
      <c r="C947" s="2" t="s">
        <v>286</v>
      </c>
      <c r="D947" s="3">
        <v>2</v>
      </c>
      <c r="E947" s="2">
        <v>76</v>
      </c>
      <c r="F947" s="2" t="str">
        <f>""</f>
        <v/>
      </c>
      <c r="G947" s="2" t="str">
        <f>"9185658"</f>
        <v>9185658</v>
      </c>
      <c r="I947">
        <v>5</v>
      </c>
      <c r="J947" s="3">
        <v>1</v>
      </c>
      <c r="K947" s="2">
        <v>23</v>
      </c>
      <c r="L947" s="3" t="s">
        <v>31</v>
      </c>
      <c r="M947" s="4">
        <v>42628</v>
      </c>
      <c r="N947" s="3">
        <v>11.5</v>
      </c>
    </row>
    <row r="948" spans="1:14" x14ac:dyDescent="0.25">
      <c r="A948" s="2">
        <v>947</v>
      </c>
      <c r="B948" s="3">
        <v>9185659</v>
      </c>
      <c r="C948" s="2" t="s">
        <v>286</v>
      </c>
      <c r="D948" s="3">
        <v>2</v>
      </c>
      <c r="E948" s="2">
        <v>76</v>
      </c>
      <c r="F948" s="2" t="str">
        <f>""</f>
        <v/>
      </c>
      <c r="G948" s="2" t="str">
        <f>"9185659"</f>
        <v>9185659</v>
      </c>
      <c r="I948">
        <v>5</v>
      </c>
      <c r="J948" s="3">
        <v>1</v>
      </c>
      <c r="K948" s="2">
        <v>23</v>
      </c>
      <c r="L948" s="3" t="s">
        <v>31</v>
      </c>
      <c r="M948" s="4">
        <v>42628</v>
      </c>
      <c r="N948" s="3">
        <v>11.5</v>
      </c>
    </row>
    <row r="949" spans="1:14" x14ac:dyDescent="0.25">
      <c r="A949" s="2">
        <v>948</v>
      </c>
      <c r="B949" s="3">
        <v>9185663</v>
      </c>
      <c r="C949" s="2" t="s">
        <v>286</v>
      </c>
      <c r="D949" s="3">
        <v>2</v>
      </c>
      <c r="E949" s="2">
        <v>76</v>
      </c>
      <c r="F949" s="2" t="str">
        <f>""</f>
        <v/>
      </c>
      <c r="G949" s="2" t="str">
        <f>"9185663"</f>
        <v>9185663</v>
      </c>
      <c r="I949">
        <v>5</v>
      </c>
      <c r="J949" s="3">
        <v>1</v>
      </c>
      <c r="K949" s="2">
        <v>23</v>
      </c>
      <c r="L949" s="3" t="s">
        <v>31</v>
      </c>
      <c r="M949" s="4">
        <v>42628</v>
      </c>
      <c r="N949" s="3">
        <v>11.5</v>
      </c>
    </row>
    <row r="950" spans="1:14" x14ac:dyDescent="0.25">
      <c r="A950" s="2">
        <v>949</v>
      </c>
      <c r="B950" s="3">
        <v>9185660</v>
      </c>
      <c r="C950" s="2" t="s">
        <v>286</v>
      </c>
      <c r="D950" s="3">
        <v>2</v>
      </c>
      <c r="E950" s="2">
        <v>76</v>
      </c>
      <c r="F950" s="2" t="str">
        <f>""</f>
        <v/>
      </c>
      <c r="G950" s="2" t="str">
        <f>"9185660"</f>
        <v>9185660</v>
      </c>
      <c r="I950">
        <v>5</v>
      </c>
      <c r="J950" s="3">
        <v>1</v>
      </c>
      <c r="K950" s="2">
        <v>23</v>
      </c>
      <c r="L950" s="3" t="s">
        <v>31</v>
      </c>
      <c r="M950" s="4">
        <v>42628</v>
      </c>
      <c r="N950" s="3">
        <v>11.5</v>
      </c>
    </row>
    <row r="951" spans="1:14" x14ac:dyDescent="0.25">
      <c r="A951" s="2">
        <v>950</v>
      </c>
      <c r="B951" s="3">
        <v>9185661</v>
      </c>
      <c r="C951" s="2" t="s">
        <v>286</v>
      </c>
      <c r="D951" s="3">
        <v>2</v>
      </c>
      <c r="E951" s="2">
        <v>76</v>
      </c>
      <c r="F951" s="2" t="str">
        <f>""</f>
        <v/>
      </c>
      <c r="G951" s="2" t="str">
        <f>"9185661"</f>
        <v>9185661</v>
      </c>
      <c r="I951">
        <v>5</v>
      </c>
      <c r="J951" s="3">
        <v>1</v>
      </c>
      <c r="K951" s="2">
        <v>23</v>
      </c>
      <c r="L951" s="3" t="s">
        <v>31</v>
      </c>
      <c r="M951" s="4">
        <v>42628</v>
      </c>
      <c r="N951" s="3">
        <v>11.5</v>
      </c>
    </row>
    <row r="952" spans="1:14" x14ac:dyDescent="0.25">
      <c r="A952" s="2">
        <v>951</v>
      </c>
      <c r="B952" s="3">
        <v>9185662</v>
      </c>
      <c r="C952" s="2" t="s">
        <v>286</v>
      </c>
      <c r="D952" s="3">
        <v>2</v>
      </c>
      <c r="E952" s="2">
        <v>76</v>
      </c>
      <c r="F952" s="2" t="str">
        <f>""</f>
        <v/>
      </c>
      <c r="G952" s="2" t="str">
        <f>"9185662"</f>
        <v>9185662</v>
      </c>
      <c r="I952">
        <v>5</v>
      </c>
      <c r="J952" s="3">
        <v>1</v>
      </c>
      <c r="K952" s="2">
        <v>23</v>
      </c>
      <c r="L952" s="3" t="s">
        <v>31</v>
      </c>
      <c r="M952" s="4">
        <v>42628</v>
      </c>
      <c r="N952" s="3">
        <v>11.5</v>
      </c>
    </row>
    <row r="953" spans="1:14" x14ac:dyDescent="0.25">
      <c r="A953" s="2">
        <v>952</v>
      </c>
      <c r="B953" s="3">
        <v>9185664</v>
      </c>
      <c r="C953" s="2" t="s">
        <v>286</v>
      </c>
      <c r="D953" s="3">
        <v>2</v>
      </c>
      <c r="E953" s="2">
        <v>76</v>
      </c>
      <c r="F953" s="2" t="str">
        <f>""</f>
        <v/>
      </c>
      <c r="G953" s="2" t="str">
        <f>"9185664"</f>
        <v>9185664</v>
      </c>
      <c r="I953">
        <v>5</v>
      </c>
      <c r="J953" s="3">
        <v>1</v>
      </c>
      <c r="K953" s="2">
        <v>23</v>
      </c>
      <c r="L953" s="3" t="s">
        <v>31</v>
      </c>
      <c r="M953" s="4">
        <v>42628</v>
      </c>
      <c r="N953" s="3">
        <v>11.5</v>
      </c>
    </row>
    <row r="954" spans="1:14" x14ac:dyDescent="0.25">
      <c r="A954" s="2">
        <v>953</v>
      </c>
      <c r="B954" s="3">
        <v>9185665</v>
      </c>
      <c r="C954" s="2" t="s">
        <v>286</v>
      </c>
      <c r="D954" s="3">
        <v>2</v>
      </c>
      <c r="E954" s="2">
        <v>76</v>
      </c>
      <c r="F954" s="2" t="str">
        <f>""</f>
        <v/>
      </c>
      <c r="G954" s="2" t="str">
        <f>"9185665"</f>
        <v>9185665</v>
      </c>
      <c r="I954">
        <v>5</v>
      </c>
      <c r="J954" s="3">
        <v>1</v>
      </c>
      <c r="K954" s="2">
        <v>23</v>
      </c>
      <c r="L954" s="3" t="s">
        <v>31</v>
      </c>
      <c r="M954" s="4">
        <v>42628</v>
      </c>
      <c r="N954" s="3">
        <v>11.5</v>
      </c>
    </row>
    <row r="955" spans="1:14" x14ac:dyDescent="0.25">
      <c r="A955" s="2">
        <v>954</v>
      </c>
      <c r="B955" s="3">
        <v>9185666</v>
      </c>
      <c r="C955" s="2" t="s">
        <v>286</v>
      </c>
      <c r="D955" s="3">
        <v>2</v>
      </c>
      <c r="E955" s="2">
        <v>76</v>
      </c>
      <c r="F955" s="2" t="str">
        <f>""</f>
        <v/>
      </c>
      <c r="G955" s="2" t="str">
        <f>"9185666"</f>
        <v>9185666</v>
      </c>
      <c r="I955">
        <v>5</v>
      </c>
      <c r="J955" s="3">
        <v>1</v>
      </c>
      <c r="K955" s="2">
        <v>23</v>
      </c>
      <c r="L955" s="3" t="s">
        <v>31</v>
      </c>
      <c r="M955" s="4">
        <v>42628</v>
      </c>
      <c r="N955" s="3">
        <v>11.5</v>
      </c>
    </row>
    <row r="956" spans="1:14" x14ac:dyDescent="0.25">
      <c r="A956" s="2">
        <v>955</v>
      </c>
      <c r="B956" s="3">
        <v>9185667</v>
      </c>
      <c r="C956" s="2" t="s">
        <v>286</v>
      </c>
      <c r="D956" s="3">
        <v>2</v>
      </c>
      <c r="E956" s="2">
        <v>76</v>
      </c>
      <c r="F956" s="2" t="str">
        <f>""</f>
        <v/>
      </c>
      <c r="G956" s="2" t="str">
        <f>"9185667"</f>
        <v>9185667</v>
      </c>
      <c r="I956">
        <v>5</v>
      </c>
      <c r="J956" s="3">
        <v>1</v>
      </c>
      <c r="K956" s="2">
        <v>23</v>
      </c>
      <c r="L956" s="3" t="s">
        <v>31</v>
      </c>
      <c r="M956" s="4">
        <v>42628</v>
      </c>
      <c r="N956" s="3">
        <v>11.5</v>
      </c>
    </row>
    <row r="957" spans="1:14" x14ac:dyDescent="0.25">
      <c r="A957" s="2">
        <v>956</v>
      </c>
      <c r="B957" s="3">
        <v>9185668</v>
      </c>
      <c r="C957" s="2" t="s">
        <v>217</v>
      </c>
      <c r="D957" s="3">
        <v>2</v>
      </c>
      <c r="E957" s="2">
        <v>76</v>
      </c>
      <c r="F957" s="2" t="str">
        <f>""</f>
        <v/>
      </c>
      <c r="G957" s="2" t="str">
        <f>"9185668"</f>
        <v>9185668</v>
      </c>
      <c r="I957">
        <v>5</v>
      </c>
      <c r="J957" s="3">
        <v>1</v>
      </c>
      <c r="K957" s="2">
        <v>30</v>
      </c>
      <c r="L957" s="3" t="s">
        <v>31</v>
      </c>
      <c r="M957" s="4">
        <v>42628</v>
      </c>
      <c r="N957" s="3">
        <v>62.51</v>
      </c>
    </row>
    <row r="958" spans="1:14" x14ac:dyDescent="0.25">
      <c r="A958" s="2">
        <v>957</v>
      </c>
      <c r="B958" s="3">
        <v>9185669</v>
      </c>
      <c r="C958" s="2" t="s">
        <v>217</v>
      </c>
      <c r="D958" s="3">
        <v>2</v>
      </c>
      <c r="E958" s="2">
        <v>76</v>
      </c>
      <c r="F958" s="2" t="str">
        <f>""</f>
        <v/>
      </c>
      <c r="G958" s="2" t="str">
        <f>"9185669"</f>
        <v>9185669</v>
      </c>
      <c r="I958">
        <v>5</v>
      </c>
      <c r="J958" s="3">
        <v>1</v>
      </c>
      <c r="K958" s="2">
        <v>30</v>
      </c>
      <c r="L958" s="3" t="s">
        <v>31</v>
      </c>
      <c r="M958" s="4">
        <v>42628</v>
      </c>
      <c r="N958" s="3">
        <v>62.51</v>
      </c>
    </row>
    <row r="959" spans="1:14" x14ac:dyDescent="0.25">
      <c r="A959" s="2">
        <v>958</v>
      </c>
      <c r="B959" s="3">
        <v>9185670</v>
      </c>
      <c r="C959" s="2" t="s">
        <v>217</v>
      </c>
      <c r="D959" s="3">
        <v>2</v>
      </c>
      <c r="E959" s="2">
        <v>76</v>
      </c>
      <c r="F959" s="2" t="str">
        <f>""</f>
        <v/>
      </c>
      <c r="G959" s="2" t="str">
        <f>"9185670"</f>
        <v>9185670</v>
      </c>
      <c r="I959">
        <v>5</v>
      </c>
      <c r="J959" s="3">
        <v>1</v>
      </c>
      <c r="K959" s="2">
        <v>30</v>
      </c>
      <c r="L959" s="3" t="s">
        <v>31</v>
      </c>
      <c r="M959" s="4">
        <v>42628</v>
      </c>
      <c r="N959" s="3">
        <v>62.51</v>
      </c>
    </row>
    <row r="960" spans="1:14" x14ac:dyDescent="0.25">
      <c r="A960" s="2">
        <v>959</v>
      </c>
      <c r="B960" s="3">
        <v>9185671</v>
      </c>
      <c r="C960" s="2" t="s">
        <v>217</v>
      </c>
      <c r="D960" s="3">
        <v>2</v>
      </c>
      <c r="E960" s="2">
        <v>76</v>
      </c>
      <c r="F960" s="2" t="str">
        <f>""</f>
        <v/>
      </c>
      <c r="G960" s="2" t="str">
        <f>"9185671"</f>
        <v>9185671</v>
      </c>
      <c r="I960">
        <v>5</v>
      </c>
      <c r="J960" s="3">
        <v>1</v>
      </c>
      <c r="K960" s="2">
        <v>30</v>
      </c>
      <c r="L960" s="3" t="s">
        <v>31</v>
      </c>
      <c r="M960" s="4">
        <v>42628</v>
      </c>
      <c r="N960" s="3">
        <v>62.51</v>
      </c>
    </row>
    <row r="961" spans="1:14" x14ac:dyDescent="0.25">
      <c r="A961" s="2">
        <v>960</v>
      </c>
      <c r="B961" s="3">
        <v>9185672</v>
      </c>
      <c r="C961" s="2" t="s">
        <v>217</v>
      </c>
      <c r="D961" s="3">
        <v>2</v>
      </c>
      <c r="E961" s="2">
        <v>76</v>
      </c>
      <c r="F961" s="2" t="str">
        <f>""</f>
        <v/>
      </c>
      <c r="G961" s="2" t="str">
        <f>"9185672"</f>
        <v>9185672</v>
      </c>
      <c r="I961">
        <v>5</v>
      </c>
      <c r="J961" s="3">
        <v>1</v>
      </c>
      <c r="K961" s="2">
        <v>30</v>
      </c>
      <c r="L961" s="3" t="s">
        <v>31</v>
      </c>
      <c r="M961" s="4">
        <v>42628</v>
      </c>
      <c r="N961" s="3">
        <v>62.51</v>
      </c>
    </row>
    <row r="962" spans="1:14" x14ac:dyDescent="0.25">
      <c r="A962" s="2">
        <v>961</v>
      </c>
      <c r="B962" s="3">
        <v>11114514</v>
      </c>
      <c r="C962" s="2" t="s">
        <v>279</v>
      </c>
      <c r="D962" s="3">
        <v>2</v>
      </c>
      <c r="E962" s="2">
        <v>76</v>
      </c>
      <c r="F962" s="2" t="str">
        <f>""</f>
        <v/>
      </c>
      <c r="G962" s="2" t="str">
        <f>"11114514"</f>
        <v>11114514</v>
      </c>
      <c r="I962">
        <v>10</v>
      </c>
      <c r="J962" s="3">
        <v>1</v>
      </c>
      <c r="K962" s="2">
        <v>39</v>
      </c>
      <c r="L962" s="3" t="s">
        <v>31</v>
      </c>
      <c r="M962" s="4">
        <v>42691</v>
      </c>
      <c r="N962" s="3">
        <v>98.04</v>
      </c>
    </row>
    <row r="963" spans="1:14" x14ac:dyDescent="0.25">
      <c r="A963" s="2">
        <v>962</v>
      </c>
      <c r="B963" s="3">
        <v>11114509</v>
      </c>
      <c r="C963" s="2" t="s">
        <v>279</v>
      </c>
      <c r="D963" s="3">
        <v>2</v>
      </c>
      <c r="E963" s="2">
        <v>76</v>
      </c>
      <c r="F963" s="2" t="str">
        <f>""</f>
        <v/>
      </c>
      <c r="G963" s="2" t="str">
        <f>"11114509"</f>
        <v>11114509</v>
      </c>
      <c r="I963">
        <v>10</v>
      </c>
      <c r="J963" s="3">
        <v>1</v>
      </c>
      <c r="K963" s="2">
        <v>39</v>
      </c>
      <c r="L963" s="3" t="s">
        <v>31</v>
      </c>
      <c r="M963" s="4">
        <v>42691</v>
      </c>
      <c r="N963" s="3">
        <v>98.04</v>
      </c>
    </row>
    <row r="964" spans="1:14" x14ac:dyDescent="0.25">
      <c r="A964" s="2">
        <v>963</v>
      </c>
      <c r="B964" s="3">
        <v>11114513</v>
      </c>
      <c r="C964" s="2" t="s">
        <v>279</v>
      </c>
      <c r="D964" s="3">
        <v>2</v>
      </c>
      <c r="E964" s="2">
        <v>76</v>
      </c>
      <c r="F964" s="2" t="str">
        <f>""</f>
        <v/>
      </c>
      <c r="G964" s="2" t="str">
        <f>"11114513"</f>
        <v>11114513</v>
      </c>
      <c r="I964">
        <v>10</v>
      </c>
      <c r="J964" s="3">
        <v>1</v>
      </c>
      <c r="K964" s="2">
        <v>3</v>
      </c>
      <c r="L964" s="3" t="s">
        <v>31</v>
      </c>
      <c r="M964" s="4">
        <v>42691</v>
      </c>
      <c r="N964" s="3">
        <v>98.04</v>
      </c>
    </row>
    <row r="965" spans="1:14" x14ac:dyDescent="0.25">
      <c r="A965" s="2">
        <v>964</v>
      </c>
      <c r="B965" s="3">
        <v>11114510</v>
      </c>
      <c r="C965" s="2" t="s">
        <v>279</v>
      </c>
      <c r="D965" s="3">
        <v>2</v>
      </c>
      <c r="E965" s="2">
        <v>76</v>
      </c>
      <c r="F965" s="2" t="str">
        <f>""</f>
        <v/>
      </c>
      <c r="G965" s="2" t="str">
        <f>"11114510"</f>
        <v>11114510</v>
      </c>
      <c r="I965">
        <v>10</v>
      </c>
      <c r="J965" s="3">
        <v>1</v>
      </c>
      <c r="K965" s="2">
        <v>39</v>
      </c>
      <c r="L965" s="3" t="s">
        <v>31</v>
      </c>
      <c r="M965" s="4">
        <v>42691</v>
      </c>
      <c r="N965" s="3">
        <v>98.04</v>
      </c>
    </row>
    <row r="966" spans="1:14" x14ac:dyDescent="0.25">
      <c r="A966" s="2">
        <v>965</v>
      </c>
      <c r="B966" s="3">
        <v>11114512</v>
      </c>
      <c r="C966" s="2" t="s">
        <v>279</v>
      </c>
      <c r="D966" s="3">
        <v>2</v>
      </c>
      <c r="E966" s="2">
        <v>76</v>
      </c>
      <c r="F966" s="2" t="str">
        <f>""</f>
        <v/>
      </c>
      <c r="G966" s="2" t="str">
        <f>"11114512"</f>
        <v>11114512</v>
      </c>
      <c r="I966">
        <v>10</v>
      </c>
      <c r="J966" s="3">
        <v>1</v>
      </c>
      <c r="K966" s="2">
        <v>39</v>
      </c>
      <c r="L966" s="3" t="s">
        <v>31</v>
      </c>
      <c r="M966" s="4">
        <v>42691</v>
      </c>
      <c r="N966" s="3">
        <v>98.04</v>
      </c>
    </row>
    <row r="967" spans="1:14" x14ac:dyDescent="0.25">
      <c r="A967" s="2">
        <v>966</v>
      </c>
      <c r="B967" s="3">
        <v>11114511</v>
      </c>
      <c r="C967" s="2" t="s">
        <v>279</v>
      </c>
      <c r="D967" s="3">
        <v>2</v>
      </c>
      <c r="E967" s="2">
        <v>76</v>
      </c>
      <c r="F967" s="2" t="str">
        <f>""</f>
        <v/>
      </c>
      <c r="G967" s="2" t="str">
        <f>"11114511"</f>
        <v>11114511</v>
      </c>
      <c r="I967">
        <v>10</v>
      </c>
      <c r="J967" s="3">
        <v>1</v>
      </c>
      <c r="K967" s="2">
        <v>6</v>
      </c>
      <c r="L967" s="3" t="s">
        <v>31</v>
      </c>
      <c r="M967" s="4">
        <v>42691</v>
      </c>
      <c r="N967" s="3">
        <v>98.04</v>
      </c>
    </row>
    <row r="968" spans="1:14" x14ac:dyDescent="0.25">
      <c r="A968" s="2">
        <v>967</v>
      </c>
      <c r="B968" s="3">
        <v>13182082</v>
      </c>
      <c r="C968" s="2" t="s">
        <v>181</v>
      </c>
      <c r="D968" s="3">
        <v>1</v>
      </c>
      <c r="E968" s="2">
        <v>33</v>
      </c>
      <c r="F968" s="2" t="str">
        <f t="shared" ref="F968:F981" si="36">"PS 001B"</f>
        <v>PS 001B</v>
      </c>
      <c r="G968" s="2" t="str">
        <f>"63445040401014"</f>
        <v>63445040401014</v>
      </c>
      <c r="I968">
        <v>20</v>
      </c>
      <c r="J968" s="3">
        <v>1</v>
      </c>
      <c r="K968" s="2">
        <v>4</v>
      </c>
      <c r="L968" s="3" t="s">
        <v>2</v>
      </c>
      <c r="M968" s="4">
        <v>42724</v>
      </c>
      <c r="N968" s="3">
        <v>22.8</v>
      </c>
    </row>
    <row r="969" spans="1:14" x14ac:dyDescent="0.25">
      <c r="A969" s="2">
        <v>968</v>
      </c>
      <c r="B969" s="3">
        <v>13182083</v>
      </c>
      <c r="C969" s="2" t="s">
        <v>181</v>
      </c>
      <c r="D969" s="3">
        <v>1</v>
      </c>
      <c r="E969" s="2">
        <v>33</v>
      </c>
      <c r="F969" s="2" t="str">
        <f t="shared" si="36"/>
        <v>PS 001B</v>
      </c>
      <c r="G969" s="2" t="str">
        <f>"63445040401015"</f>
        <v>63445040401015</v>
      </c>
      <c r="I969">
        <v>20</v>
      </c>
      <c r="J969" s="3">
        <v>1</v>
      </c>
      <c r="K969" s="2">
        <v>4</v>
      </c>
      <c r="L969" s="3" t="s">
        <v>2</v>
      </c>
      <c r="M969" s="4">
        <v>42724</v>
      </c>
      <c r="N969" s="3">
        <v>22.8</v>
      </c>
    </row>
    <row r="970" spans="1:14" x14ac:dyDescent="0.25">
      <c r="A970" s="2">
        <v>969</v>
      </c>
      <c r="B970" s="3">
        <v>13182084</v>
      </c>
      <c r="C970" s="2" t="s">
        <v>181</v>
      </c>
      <c r="D970" s="3">
        <v>1</v>
      </c>
      <c r="E970" s="2">
        <v>33</v>
      </c>
      <c r="F970" s="2" t="str">
        <f t="shared" si="36"/>
        <v>PS 001B</v>
      </c>
      <c r="G970" s="2" t="str">
        <f>"63445040401016"</f>
        <v>63445040401016</v>
      </c>
      <c r="I970">
        <v>20</v>
      </c>
      <c r="J970" s="3">
        <v>1</v>
      </c>
      <c r="K970" s="2">
        <v>4</v>
      </c>
      <c r="L970" s="3" t="s">
        <v>2</v>
      </c>
      <c r="M970" s="4">
        <v>42724</v>
      </c>
      <c r="N970" s="3">
        <v>22.8</v>
      </c>
    </row>
    <row r="971" spans="1:14" x14ac:dyDescent="0.25">
      <c r="A971" s="2">
        <v>970</v>
      </c>
      <c r="B971" s="3">
        <v>13182085</v>
      </c>
      <c r="C971" s="2" t="s">
        <v>181</v>
      </c>
      <c r="D971" s="3">
        <v>1</v>
      </c>
      <c r="E971" s="2">
        <v>33</v>
      </c>
      <c r="F971" s="2" t="str">
        <f t="shared" si="36"/>
        <v>PS 001B</v>
      </c>
      <c r="G971" s="2" t="str">
        <f>"63445040401017"</f>
        <v>63445040401017</v>
      </c>
      <c r="I971">
        <v>20</v>
      </c>
      <c r="J971" s="3">
        <v>1</v>
      </c>
      <c r="K971" s="2">
        <v>4</v>
      </c>
      <c r="L971" s="3" t="s">
        <v>2</v>
      </c>
      <c r="M971" s="4">
        <v>42724</v>
      </c>
      <c r="N971" s="3">
        <v>22.8</v>
      </c>
    </row>
    <row r="972" spans="1:14" x14ac:dyDescent="0.25">
      <c r="A972" s="2">
        <v>971</v>
      </c>
      <c r="B972" s="3">
        <v>13182086</v>
      </c>
      <c r="C972" s="2" t="s">
        <v>181</v>
      </c>
      <c r="D972" s="3">
        <v>1</v>
      </c>
      <c r="E972" s="2">
        <v>33</v>
      </c>
      <c r="F972" s="2" t="str">
        <f t="shared" si="36"/>
        <v>PS 001B</v>
      </c>
      <c r="G972" s="2" t="str">
        <f>"63445040401018"</f>
        <v>63445040401018</v>
      </c>
      <c r="I972">
        <v>20</v>
      </c>
      <c r="J972" s="3">
        <v>1</v>
      </c>
      <c r="K972" s="2">
        <v>4</v>
      </c>
      <c r="L972" s="3" t="s">
        <v>2</v>
      </c>
      <c r="M972" s="4">
        <v>42724</v>
      </c>
      <c r="N972" s="3">
        <v>22.8</v>
      </c>
    </row>
    <row r="973" spans="1:14" x14ac:dyDescent="0.25">
      <c r="A973" s="2">
        <v>972</v>
      </c>
      <c r="B973" s="3">
        <v>13182087</v>
      </c>
      <c r="C973" s="2" t="s">
        <v>181</v>
      </c>
      <c r="D973" s="3">
        <v>1</v>
      </c>
      <c r="E973" s="2">
        <v>33</v>
      </c>
      <c r="F973" s="2" t="str">
        <f t="shared" si="36"/>
        <v>PS 001B</v>
      </c>
      <c r="G973" s="2" t="str">
        <f>"63445040401019"</f>
        <v>63445040401019</v>
      </c>
      <c r="I973">
        <v>20</v>
      </c>
      <c r="J973" s="3">
        <v>1</v>
      </c>
      <c r="K973" s="2">
        <v>4</v>
      </c>
      <c r="L973" s="3" t="s">
        <v>2</v>
      </c>
      <c r="M973" s="4">
        <v>42724</v>
      </c>
      <c r="N973" s="3">
        <v>22.8</v>
      </c>
    </row>
    <row r="974" spans="1:14" x14ac:dyDescent="0.25">
      <c r="A974" s="2">
        <v>973</v>
      </c>
      <c r="B974" s="3">
        <v>13182091</v>
      </c>
      <c r="C974" s="2" t="s">
        <v>181</v>
      </c>
      <c r="D974" s="3">
        <v>1</v>
      </c>
      <c r="E974" s="2">
        <v>33</v>
      </c>
      <c r="F974" s="2" t="str">
        <f t="shared" si="36"/>
        <v>PS 001B</v>
      </c>
      <c r="G974" s="2" t="str">
        <f>"63445040401023"</f>
        <v>63445040401023</v>
      </c>
      <c r="I974">
        <v>20</v>
      </c>
      <c r="J974" s="3">
        <v>1</v>
      </c>
      <c r="K974" s="2">
        <v>4</v>
      </c>
      <c r="L974" s="3" t="s">
        <v>2</v>
      </c>
      <c r="M974" s="4">
        <v>42724</v>
      </c>
      <c r="N974" s="3">
        <v>22.8</v>
      </c>
    </row>
    <row r="975" spans="1:14" x14ac:dyDescent="0.25">
      <c r="A975" s="2">
        <v>974</v>
      </c>
      <c r="B975" s="3">
        <v>13182088</v>
      </c>
      <c r="C975" s="2" t="s">
        <v>181</v>
      </c>
      <c r="D975" s="3">
        <v>1</v>
      </c>
      <c r="E975" s="2">
        <v>33</v>
      </c>
      <c r="F975" s="2" t="str">
        <f t="shared" si="36"/>
        <v>PS 001B</v>
      </c>
      <c r="G975" s="2" t="str">
        <f>"63445040401020"</f>
        <v>63445040401020</v>
      </c>
      <c r="I975">
        <v>20</v>
      </c>
      <c r="J975" s="3">
        <v>1</v>
      </c>
      <c r="K975" s="2">
        <v>4</v>
      </c>
      <c r="L975" s="3" t="s">
        <v>2</v>
      </c>
      <c r="M975" s="4">
        <v>42724</v>
      </c>
      <c r="N975" s="3">
        <v>22.8</v>
      </c>
    </row>
    <row r="976" spans="1:14" x14ac:dyDescent="0.25">
      <c r="A976" s="2">
        <v>975</v>
      </c>
      <c r="B976" s="3">
        <v>13182089</v>
      </c>
      <c r="C976" s="2" t="s">
        <v>181</v>
      </c>
      <c r="D976" s="3">
        <v>1</v>
      </c>
      <c r="E976" s="2">
        <v>33</v>
      </c>
      <c r="F976" s="2" t="str">
        <f t="shared" si="36"/>
        <v>PS 001B</v>
      </c>
      <c r="G976" s="2" t="str">
        <f>"63445040401021"</f>
        <v>63445040401021</v>
      </c>
      <c r="I976">
        <v>20</v>
      </c>
      <c r="J976" s="3">
        <v>1</v>
      </c>
      <c r="K976" s="2">
        <v>4</v>
      </c>
      <c r="L976" s="3" t="s">
        <v>2</v>
      </c>
      <c r="M976" s="4">
        <v>42724</v>
      </c>
      <c r="N976" s="3">
        <v>22.8</v>
      </c>
    </row>
    <row r="977" spans="1:14" x14ac:dyDescent="0.25">
      <c r="A977" s="2">
        <v>976</v>
      </c>
      <c r="B977" s="3">
        <v>13182090</v>
      </c>
      <c r="C977" s="2" t="s">
        <v>181</v>
      </c>
      <c r="D977" s="3">
        <v>1</v>
      </c>
      <c r="E977" s="2">
        <v>33</v>
      </c>
      <c r="F977" s="2" t="str">
        <f t="shared" si="36"/>
        <v>PS 001B</v>
      </c>
      <c r="G977" s="2" t="str">
        <f>"63445040401022"</f>
        <v>63445040401022</v>
      </c>
      <c r="I977">
        <v>20</v>
      </c>
      <c r="J977" s="3">
        <v>1</v>
      </c>
      <c r="K977" s="2">
        <v>4</v>
      </c>
      <c r="L977" s="3" t="s">
        <v>2</v>
      </c>
      <c r="M977" s="4">
        <v>42724</v>
      </c>
      <c r="N977" s="3">
        <v>22.8</v>
      </c>
    </row>
    <row r="978" spans="1:14" x14ac:dyDescent="0.25">
      <c r="A978" s="2">
        <v>977</v>
      </c>
      <c r="B978" s="3">
        <v>13182092</v>
      </c>
      <c r="C978" s="2" t="s">
        <v>181</v>
      </c>
      <c r="D978" s="3">
        <v>1</v>
      </c>
      <c r="E978" s="2">
        <v>33</v>
      </c>
      <c r="F978" s="2" t="str">
        <f t="shared" si="36"/>
        <v>PS 001B</v>
      </c>
      <c r="G978" s="2" t="str">
        <f>"63445040401024"</f>
        <v>63445040401024</v>
      </c>
      <c r="I978">
        <v>20</v>
      </c>
      <c r="J978" s="3">
        <v>1</v>
      </c>
      <c r="K978" s="2">
        <v>4</v>
      </c>
      <c r="L978" s="3" t="s">
        <v>2</v>
      </c>
      <c r="M978" s="4">
        <v>42724</v>
      </c>
      <c r="N978" s="3">
        <v>22.8</v>
      </c>
    </row>
    <row r="979" spans="1:14" x14ac:dyDescent="0.25">
      <c r="A979" s="2">
        <v>978</v>
      </c>
      <c r="B979" s="3">
        <v>13182093</v>
      </c>
      <c r="C979" s="2" t="s">
        <v>181</v>
      </c>
      <c r="D979" s="3">
        <v>1</v>
      </c>
      <c r="E979" s="2">
        <v>33</v>
      </c>
      <c r="F979" s="2" t="str">
        <f t="shared" si="36"/>
        <v>PS 001B</v>
      </c>
      <c r="G979" s="2" t="str">
        <f>"63445040401025"</f>
        <v>63445040401025</v>
      </c>
      <c r="I979">
        <v>20</v>
      </c>
      <c r="J979" s="3">
        <v>1</v>
      </c>
      <c r="K979" s="2">
        <v>4</v>
      </c>
      <c r="L979" s="3" t="s">
        <v>2</v>
      </c>
      <c r="M979" s="4">
        <v>42724</v>
      </c>
      <c r="N979" s="3">
        <v>22.8</v>
      </c>
    </row>
    <row r="980" spans="1:14" x14ac:dyDescent="0.25">
      <c r="A980" s="2">
        <v>979</v>
      </c>
      <c r="B980" s="3">
        <v>13182094</v>
      </c>
      <c r="C980" s="2" t="s">
        <v>181</v>
      </c>
      <c r="D980" s="3">
        <v>1</v>
      </c>
      <c r="E980" s="2">
        <v>33</v>
      </c>
      <c r="F980" s="2" t="str">
        <f t="shared" si="36"/>
        <v>PS 001B</v>
      </c>
      <c r="G980" s="2" t="str">
        <f>"63445040401026"</f>
        <v>63445040401026</v>
      </c>
      <c r="I980">
        <v>20</v>
      </c>
      <c r="J980" s="3">
        <v>1</v>
      </c>
      <c r="K980" s="2">
        <v>4</v>
      </c>
      <c r="L980" s="3" t="s">
        <v>2</v>
      </c>
      <c r="M980" s="4">
        <v>42724</v>
      </c>
      <c r="N980" s="3">
        <v>22.8</v>
      </c>
    </row>
    <row r="981" spans="1:14" x14ac:dyDescent="0.25">
      <c r="A981" s="2">
        <v>980</v>
      </c>
      <c r="B981" s="3">
        <v>13182095</v>
      </c>
      <c r="C981" s="2" t="s">
        <v>181</v>
      </c>
      <c r="D981" s="3">
        <v>1</v>
      </c>
      <c r="E981" s="2">
        <v>33</v>
      </c>
      <c r="F981" s="2" t="str">
        <f t="shared" si="36"/>
        <v>PS 001B</v>
      </c>
      <c r="G981" s="2" t="str">
        <f>"63445040401027"</f>
        <v>63445040401027</v>
      </c>
      <c r="I981">
        <v>20</v>
      </c>
      <c r="J981" s="3">
        <v>1</v>
      </c>
      <c r="K981" s="2">
        <v>4</v>
      </c>
      <c r="L981" s="3" t="s">
        <v>2</v>
      </c>
      <c r="M981" s="4">
        <v>42724</v>
      </c>
      <c r="N981" s="3">
        <v>22.8</v>
      </c>
    </row>
    <row r="982" spans="1:14" x14ac:dyDescent="0.25">
      <c r="A982" s="2">
        <v>981</v>
      </c>
      <c r="B982" s="3">
        <v>13182096</v>
      </c>
      <c r="C982" s="2" t="s">
        <v>181</v>
      </c>
      <c r="D982" s="3">
        <v>1</v>
      </c>
      <c r="E982" s="2">
        <v>19</v>
      </c>
      <c r="F982" s="2" t="str">
        <f t="shared" ref="F982:F994" si="37">"1176V"</f>
        <v>1176V</v>
      </c>
      <c r="G982" s="2" t="str">
        <f>"63445040401028"</f>
        <v>63445040401028</v>
      </c>
      <c r="I982">
        <v>11</v>
      </c>
      <c r="J982" s="3">
        <v>1</v>
      </c>
      <c r="K982" s="2">
        <v>23</v>
      </c>
      <c r="L982" s="3" t="s">
        <v>2</v>
      </c>
      <c r="M982" s="4">
        <v>42724</v>
      </c>
      <c r="N982" s="3">
        <v>15.6</v>
      </c>
    </row>
    <row r="983" spans="1:14" x14ac:dyDescent="0.25">
      <c r="A983" s="2">
        <v>982</v>
      </c>
      <c r="B983" s="3">
        <v>13182097</v>
      </c>
      <c r="C983" s="2" t="s">
        <v>181</v>
      </c>
      <c r="D983" s="3">
        <v>1</v>
      </c>
      <c r="E983" s="2">
        <v>19</v>
      </c>
      <c r="F983" s="2" t="str">
        <f t="shared" si="37"/>
        <v>1176V</v>
      </c>
      <c r="G983" s="2" t="str">
        <f>"63445040401029"</f>
        <v>63445040401029</v>
      </c>
      <c r="I983">
        <v>11</v>
      </c>
      <c r="J983" s="3">
        <v>1</v>
      </c>
      <c r="K983" s="2">
        <v>39</v>
      </c>
      <c r="L983" s="3" t="s">
        <v>2</v>
      </c>
      <c r="M983" s="4">
        <v>42724</v>
      </c>
      <c r="N983" s="3">
        <v>15.6</v>
      </c>
    </row>
    <row r="984" spans="1:14" x14ac:dyDescent="0.25">
      <c r="A984" s="2">
        <v>983</v>
      </c>
      <c r="B984" s="3">
        <v>13182098</v>
      </c>
      <c r="C984" s="2" t="s">
        <v>181</v>
      </c>
      <c r="D984" s="3">
        <v>1</v>
      </c>
      <c r="E984" s="2">
        <v>19</v>
      </c>
      <c r="F984" s="2" t="str">
        <f t="shared" si="37"/>
        <v>1176V</v>
      </c>
      <c r="G984" s="2" t="str">
        <f>"63445040401030"</f>
        <v>63445040401030</v>
      </c>
      <c r="I984">
        <v>11</v>
      </c>
      <c r="J984" s="3">
        <v>1</v>
      </c>
      <c r="K984" s="2">
        <v>23</v>
      </c>
      <c r="L984" s="3" t="s">
        <v>2</v>
      </c>
      <c r="M984" s="4">
        <v>42724</v>
      </c>
      <c r="N984" s="3">
        <v>15.6</v>
      </c>
    </row>
    <row r="985" spans="1:14" x14ac:dyDescent="0.25">
      <c r="A985" s="2">
        <v>984</v>
      </c>
      <c r="B985" s="3">
        <v>13182099</v>
      </c>
      <c r="C985" s="2" t="s">
        <v>181</v>
      </c>
      <c r="D985" s="3">
        <v>1</v>
      </c>
      <c r="E985" s="2">
        <v>19</v>
      </c>
      <c r="F985" s="2" t="str">
        <f t="shared" si="37"/>
        <v>1176V</v>
      </c>
      <c r="G985" s="2" t="str">
        <f>"63445040401031"</f>
        <v>63445040401031</v>
      </c>
      <c r="I985">
        <v>11</v>
      </c>
      <c r="J985" s="3">
        <v>1</v>
      </c>
      <c r="K985" s="2">
        <v>39</v>
      </c>
      <c r="L985" s="3" t="s">
        <v>2</v>
      </c>
      <c r="M985" s="4">
        <v>42724</v>
      </c>
      <c r="N985" s="3">
        <v>15.6</v>
      </c>
    </row>
    <row r="986" spans="1:14" x14ac:dyDescent="0.25">
      <c r="A986" s="2">
        <v>985</v>
      </c>
      <c r="B986" s="3">
        <v>13182100</v>
      </c>
      <c r="C986" s="2" t="s">
        <v>181</v>
      </c>
      <c r="D986" s="3">
        <v>1</v>
      </c>
      <c r="E986" s="2">
        <v>19</v>
      </c>
      <c r="F986" s="2" t="str">
        <f t="shared" si="37"/>
        <v>1176V</v>
      </c>
      <c r="G986" s="2" t="str">
        <f>"63445040401032"</f>
        <v>63445040401032</v>
      </c>
      <c r="I986">
        <v>11</v>
      </c>
      <c r="J986" s="3">
        <v>1</v>
      </c>
      <c r="K986" s="2">
        <v>23</v>
      </c>
      <c r="L986" s="3" t="s">
        <v>2</v>
      </c>
      <c r="M986" s="4">
        <v>42724</v>
      </c>
      <c r="N986" s="3">
        <v>15.6</v>
      </c>
    </row>
    <row r="987" spans="1:14" x14ac:dyDescent="0.25">
      <c r="A987" s="2">
        <v>986</v>
      </c>
      <c r="B987" s="3">
        <v>13182101</v>
      </c>
      <c r="C987" s="2" t="s">
        <v>181</v>
      </c>
      <c r="D987" s="3">
        <v>1</v>
      </c>
      <c r="E987" s="2">
        <v>19</v>
      </c>
      <c r="F987" s="2" t="str">
        <f t="shared" si="37"/>
        <v>1176V</v>
      </c>
      <c r="G987" s="2" t="str">
        <f>"63445040401033"</f>
        <v>63445040401033</v>
      </c>
      <c r="I987">
        <v>11</v>
      </c>
      <c r="J987" s="3">
        <v>1</v>
      </c>
      <c r="K987" s="2">
        <v>23</v>
      </c>
      <c r="L987" s="3" t="s">
        <v>2</v>
      </c>
      <c r="M987" s="4">
        <v>42724</v>
      </c>
      <c r="N987" s="3">
        <v>15.61</v>
      </c>
    </row>
    <row r="988" spans="1:14" x14ac:dyDescent="0.25">
      <c r="A988" s="2">
        <v>987</v>
      </c>
      <c r="B988" s="3">
        <v>13182102</v>
      </c>
      <c r="C988" s="2" t="s">
        <v>181</v>
      </c>
      <c r="D988" s="3">
        <v>1</v>
      </c>
      <c r="E988" s="2">
        <v>19</v>
      </c>
      <c r="F988" s="2" t="str">
        <f t="shared" si="37"/>
        <v>1176V</v>
      </c>
      <c r="G988" s="2" t="str">
        <f>"63445040401034"</f>
        <v>63445040401034</v>
      </c>
      <c r="I988">
        <v>11</v>
      </c>
      <c r="J988" s="3">
        <v>1</v>
      </c>
      <c r="K988" s="2">
        <v>2</v>
      </c>
      <c r="L988" s="3" t="s">
        <v>2</v>
      </c>
      <c r="M988" s="4">
        <v>42724</v>
      </c>
      <c r="N988" s="3">
        <v>15.61</v>
      </c>
    </row>
    <row r="989" spans="1:14" x14ac:dyDescent="0.25">
      <c r="A989" s="2">
        <v>988</v>
      </c>
      <c r="B989" s="3">
        <v>13182103</v>
      </c>
      <c r="C989" s="2" t="s">
        <v>181</v>
      </c>
      <c r="D989" s="3">
        <v>1</v>
      </c>
      <c r="E989" s="2">
        <v>19</v>
      </c>
      <c r="F989" s="2" t="str">
        <f t="shared" si="37"/>
        <v>1176V</v>
      </c>
      <c r="G989" s="2" t="str">
        <f>"63445040401035"</f>
        <v>63445040401035</v>
      </c>
      <c r="I989">
        <v>11</v>
      </c>
      <c r="J989" s="3">
        <v>1</v>
      </c>
      <c r="K989" s="2">
        <v>2</v>
      </c>
      <c r="L989" s="3" t="s">
        <v>2</v>
      </c>
      <c r="M989" s="4">
        <v>42724</v>
      </c>
      <c r="N989" s="3">
        <v>15.61</v>
      </c>
    </row>
    <row r="990" spans="1:14" x14ac:dyDescent="0.25">
      <c r="A990" s="2">
        <v>989</v>
      </c>
      <c r="B990" s="3">
        <v>13182104</v>
      </c>
      <c r="C990" s="2" t="s">
        <v>181</v>
      </c>
      <c r="D990" s="3">
        <v>1</v>
      </c>
      <c r="E990" s="2">
        <v>19</v>
      </c>
      <c r="F990" s="2" t="str">
        <f t="shared" si="37"/>
        <v>1176V</v>
      </c>
      <c r="G990" s="2" t="str">
        <f>"63445040401036"</f>
        <v>63445040401036</v>
      </c>
      <c r="I990">
        <v>11</v>
      </c>
      <c r="J990" s="3">
        <v>1</v>
      </c>
      <c r="K990" s="2">
        <v>23</v>
      </c>
      <c r="L990" s="3" t="s">
        <v>2</v>
      </c>
      <c r="M990" s="4">
        <v>42724</v>
      </c>
      <c r="N990" s="3">
        <v>15.61</v>
      </c>
    </row>
    <row r="991" spans="1:14" x14ac:dyDescent="0.25">
      <c r="A991" s="2">
        <v>990</v>
      </c>
      <c r="B991" s="3">
        <v>13182105</v>
      </c>
      <c r="C991" s="2" t="s">
        <v>181</v>
      </c>
      <c r="D991" s="3">
        <v>1</v>
      </c>
      <c r="E991" s="2">
        <v>19</v>
      </c>
      <c r="F991" s="2" t="str">
        <f t="shared" si="37"/>
        <v>1176V</v>
      </c>
      <c r="G991" s="2" t="str">
        <f>"63445040401037"</f>
        <v>63445040401037</v>
      </c>
      <c r="I991">
        <v>11</v>
      </c>
      <c r="J991" s="3">
        <v>1</v>
      </c>
      <c r="K991" s="2">
        <v>23</v>
      </c>
      <c r="L991" s="3" t="s">
        <v>2</v>
      </c>
      <c r="M991" s="4">
        <v>42724</v>
      </c>
      <c r="N991" s="3">
        <v>15.61</v>
      </c>
    </row>
    <row r="992" spans="1:14" x14ac:dyDescent="0.25">
      <c r="A992" s="2">
        <v>991</v>
      </c>
      <c r="B992" s="3">
        <v>13182106</v>
      </c>
      <c r="C992" s="2" t="s">
        <v>181</v>
      </c>
      <c r="D992" s="3">
        <v>1</v>
      </c>
      <c r="E992" s="2">
        <v>19</v>
      </c>
      <c r="F992" s="2" t="str">
        <f t="shared" si="37"/>
        <v>1176V</v>
      </c>
      <c r="G992" s="2" t="str">
        <f>"63445040401038"</f>
        <v>63445040401038</v>
      </c>
      <c r="I992">
        <v>11</v>
      </c>
      <c r="J992" s="3">
        <v>1</v>
      </c>
      <c r="K992" s="2">
        <v>23</v>
      </c>
      <c r="L992" s="3" t="s">
        <v>2</v>
      </c>
      <c r="M992" s="4">
        <v>42724</v>
      </c>
      <c r="N992" s="3">
        <v>15.61</v>
      </c>
    </row>
    <row r="993" spans="1:14" x14ac:dyDescent="0.25">
      <c r="A993" s="2">
        <v>992</v>
      </c>
      <c r="B993" s="3">
        <v>13182107</v>
      </c>
      <c r="C993" s="2" t="s">
        <v>181</v>
      </c>
      <c r="D993" s="3">
        <v>1</v>
      </c>
      <c r="E993" s="2">
        <v>19</v>
      </c>
      <c r="F993" s="2" t="str">
        <f t="shared" si="37"/>
        <v>1176V</v>
      </c>
      <c r="G993" s="2" t="str">
        <f>"63445040401039"</f>
        <v>63445040401039</v>
      </c>
      <c r="I993">
        <v>11</v>
      </c>
      <c r="J993" s="3">
        <v>1</v>
      </c>
      <c r="K993" s="2">
        <v>23</v>
      </c>
      <c r="L993" s="3" t="s">
        <v>2</v>
      </c>
      <c r="M993" s="4">
        <v>42724</v>
      </c>
      <c r="N993" s="3">
        <v>15.61</v>
      </c>
    </row>
    <row r="994" spans="1:14" x14ac:dyDescent="0.25">
      <c r="A994" s="2">
        <v>993</v>
      </c>
      <c r="B994" s="3">
        <v>13182108</v>
      </c>
      <c r="C994" s="2" t="s">
        <v>181</v>
      </c>
      <c r="D994" s="3">
        <v>1</v>
      </c>
      <c r="E994" s="2">
        <v>19</v>
      </c>
      <c r="F994" s="2" t="str">
        <f t="shared" si="37"/>
        <v>1176V</v>
      </c>
      <c r="G994" s="2" t="str">
        <f>"63445040401040"</f>
        <v>63445040401040</v>
      </c>
      <c r="I994">
        <v>11</v>
      </c>
      <c r="J994" s="3">
        <v>1</v>
      </c>
      <c r="K994" s="2">
        <v>30</v>
      </c>
      <c r="L994" s="3" t="s">
        <v>2</v>
      </c>
      <c r="M994" s="4">
        <v>42724</v>
      </c>
      <c r="N994" s="3">
        <v>15.61</v>
      </c>
    </row>
    <row r="995" spans="1:14" x14ac:dyDescent="0.25">
      <c r="A995" s="2">
        <v>994</v>
      </c>
      <c r="B995" s="3">
        <v>13182109</v>
      </c>
      <c r="C995" s="2" t="s">
        <v>181</v>
      </c>
      <c r="D995" s="3">
        <v>1</v>
      </c>
      <c r="E995" s="2">
        <v>26</v>
      </c>
      <c r="F995" s="2" t="str">
        <f>"1136"</f>
        <v>1136</v>
      </c>
      <c r="G995" s="2" t="str">
        <f>"63445040401041"</f>
        <v>63445040401041</v>
      </c>
      <c r="I995">
        <v>11</v>
      </c>
      <c r="J995" s="3">
        <v>1</v>
      </c>
      <c r="K995" s="2">
        <v>23</v>
      </c>
      <c r="L995" s="3" t="s">
        <v>2</v>
      </c>
      <c r="M995" s="4">
        <v>42724</v>
      </c>
      <c r="N995" s="3">
        <v>10.02</v>
      </c>
    </row>
    <row r="996" spans="1:14" x14ac:dyDescent="0.25">
      <c r="A996" s="2">
        <v>995</v>
      </c>
      <c r="B996" s="3">
        <v>13182110</v>
      </c>
      <c r="C996" s="2" t="s">
        <v>181</v>
      </c>
      <c r="D996" s="3">
        <v>1</v>
      </c>
      <c r="E996" s="2">
        <v>36</v>
      </c>
      <c r="F996" s="2" t="str">
        <f>"PS655B2"</f>
        <v>PS655B2</v>
      </c>
      <c r="G996" s="2" t="str">
        <f>"63445040401042"</f>
        <v>63445040401042</v>
      </c>
      <c r="I996">
        <v>5</v>
      </c>
      <c r="J996" s="3">
        <v>1</v>
      </c>
      <c r="K996" s="2">
        <v>23</v>
      </c>
      <c r="L996" s="3" t="s">
        <v>2</v>
      </c>
      <c r="M996" s="4">
        <v>42724</v>
      </c>
      <c r="N996" s="3">
        <v>10.02</v>
      </c>
    </row>
    <row r="997" spans="1:14" x14ac:dyDescent="0.25">
      <c r="A997" s="2">
        <v>996</v>
      </c>
      <c r="B997" s="3">
        <v>13182111</v>
      </c>
      <c r="C997" s="2" t="s">
        <v>181</v>
      </c>
      <c r="D997" s="3">
        <v>1</v>
      </c>
      <c r="E997" s="2">
        <v>36</v>
      </c>
      <c r="F997" s="2" t="str">
        <f>"PS655B2"</f>
        <v>PS655B2</v>
      </c>
      <c r="G997" s="2" t="str">
        <f>"63445040401043"</f>
        <v>63445040401043</v>
      </c>
      <c r="I997">
        <v>5</v>
      </c>
      <c r="J997" s="3">
        <v>1</v>
      </c>
      <c r="K997" s="2">
        <v>23</v>
      </c>
      <c r="L997" s="3" t="s">
        <v>2</v>
      </c>
      <c r="M997" s="4">
        <v>42724</v>
      </c>
      <c r="N997" s="3">
        <v>10.02</v>
      </c>
    </row>
    <row r="998" spans="1:14" x14ac:dyDescent="0.25">
      <c r="A998" s="2">
        <v>997</v>
      </c>
      <c r="B998" s="3">
        <v>13182112</v>
      </c>
      <c r="C998" s="2" t="s">
        <v>181</v>
      </c>
      <c r="D998" s="3">
        <v>1</v>
      </c>
      <c r="E998" s="2">
        <v>36</v>
      </c>
      <c r="F998" s="2" t="str">
        <f>"PS655B2"</f>
        <v>PS655B2</v>
      </c>
      <c r="G998" s="2" t="str">
        <f>"63445040401044"</f>
        <v>63445040401044</v>
      </c>
      <c r="I998">
        <v>5</v>
      </c>
      <c r="J998" s="3">
        <v>1</v>
      </c>
      <c r="K998" s="2">
        <v>23</v>
      </c>
      <c r="L998" s="3" t="s">
        <v>2</v>
      </c>
      <c r="M998" s="4">
        <v>42724</v>
      </c>
      <c r="N998" s="3">
        <v>10.02</v>
      </c>
    </row>
    <row r="999" spans="1:14" x14ac:dyDescent="0.25">
      <c r="A999" s="2">
        <v>998</v>
      </c>
      <c r="B999" s="3">
        <v>13382776</v>
      </c>
      <c r="C999" s="2" t="s">
        <v>209</v>
      </c>
      <c r="D999" s="3">
        <v>1</v>
      </c>
      <c r="E999" s="2">
        <v>33</v>
      </c>
      <c r="F999" s="2" t="str">
        <f t="shared" ref="F999:F1009" si="38">"NT 501"</f>
        <v>NT 501</v>
      </c>
      <c r="G999" s="2" t="str">
        <f>"4116607893"</f>
        <v>4116607893</v>
      </c>
      <c r="I999">
        <v>20</v>
      </c>
      <c r="J999" s="3">
        <v>1</v>
      </c>
      <c r="K999" s="2">
        <v>29</v>
      </c>
      <c r="L999" s="3" t="s">
        <v>2</v>
      </c>
      <c r="M999" s="4">
        <v>42724</v>
      </c>
      <c r="N999" s="3">
        <v>70.680000000000007</v>
      </c>
    </row>
    <row r="1000" spans="1:14" x14ac:dyDescent="0.25">
      <c r="A1000" s="2">
        <v>999</v>
      </c>
      <c r="B1000" s="3">
        <v>13382780</v>
      </c>
      <c r="C1000" s="2" t="s">
        <v>209</v>
      </c>
      <c r="D1000" s="3">
        <v>1</v>
      </c>
      <c r="E1000" s="2">
        <v>33</v>
      </c>
      <c r="F1000" s="2" t="str">
        <f t="shared" si="38"/>
        <v>NT 501</v>
      </c>
      <c r="G1000" s="2" t="str">
        <f>"4116609213"</f>
        <v>4116609213</v>
      </c>
      <c r="I1000">
        <v>20</v>
      </c>
      <c r="J1000" s="3">
        <v>1</v>
      </c>
      <c r="K1000" s="2">
        <v>26</v>
      </c>
      <c r="L1000" s="3" t="s">
        <v>2</v>
      </c>
      <c r="M1000" s="4">
        <v>42724</v>
      </c>
      <c r="N1000" s="3">
        <v>70.680000000000007</v>
      </c>
    </row>
    <row r="1001" spans="1:14" x14ac:dyDescent="0.25">
      <c r="A1001" s="2">
        <v>1000</v>
      </c>
      <c r="B1001" s="3">
        <v>13382777</v>
      </c>
      <c r="C1001" s="2" t="s">
        <v>209</v>
      </c>
      <c r="D1001" s="3">
        <v>1</v>
      </c>
      <c r="E1001" s="2">
        <v>33</v>
      </c>
      <c r="F1001" s="2" t="str">
        <f t="shared" si="38"/>
        <v>NT 501</v>
      </c>
      <c r="G1001" s="2" t="str">
        <f>"4116607894"</f>
        <v>4116607894</v>
      </c>
      <c r="I1001">
        <v>20</v>
      </c>
      <c r="J1001" s="3">
        <v>1</v>
      </c>
      <c r="K1001" s="2">
        <v>39</v>
      </c>
      <c r="L1001" s="3" t="s">
        <v>2</v>
      </c>
      <c r="M1001" s="4">
        <v>42724</v>
      </c>
      <c r="N1001" s="3">
        <v>70.680000000000007</v>
      </c>
    </row>
    <row r="1002" spans="1:14" x14ac:dyDescent="0.25">
      <c r="A1002" s="2">
        <v>1001</v>
      </c>
      <c r="B1002" s="3">
        <v>13382778</v>
      </c>
      <c r="C1002" s="2" t="s">
        <v>209</v>
      </c>
      <c r="D1002" s="3">
        <v>1</v>
      </c>
      <c r="E1002" s="2">
        <v>33</v>
      </c>
      <c r="F1002" s="2" t="str">
        <f t="shared" si="38"/>
        <v>NT 501</v>
      </c>
      <c r="G1002" s="2" t="str">
        <f>"4116607895"</f>
        <v>4116607895</v>
      </c>
      <c r="I1002">
        <v>20</v>
      </c>
      <c r="J1002" s="3">
        <v>1</v>
      </c>
      <c r="K1002" s="2">
        <v>30</v>
      </c>
      <c r="L1002" s="3" t="s">
        <v>2</v>
      </c>
      <c r="M1002" s="4">
        <v>42724</v>
      </c>
      <c r="N1002" s="3">
        <v>70.680000000000007</v>
      </c>
    </row>
    <row r="1003" spans="1:14" x14ac:dyDescent="0.25">
      <c r="A1003" s="2">
        <v>1002</v>
      </c>
      <c r="B1003" s="3">
        <v>13382779</v>
      </c>
      <c r="C1003" s="2" t="s">
        <v>209</v>
      </c>
      <c r="D1003" s="3">
        <v>1</v>
      </c>
      <c r="E1003" s="2">
        <v>33</v>
      </c>
      <c r="F1003" s="2" t="str">
        <f t="shared" si="38"/>
        <v>NT 501</v>
      </c>
      <c r="G1003" s="2" t="str">
        <f>"4116607896"</f>
        <v>4116607896</v>
      </c>
      <c r="I1003">
        <v>20</v>
      </c>
      <c r="J1003" s="3">
        <v>1</v>
      </c>
      <c r="K1003" s="2">
        <v>8</v>
      </c>
      <c r="L1003" s="3" t="s">
        <v>2</v>
      </c>
      <c r="M1003" s="4">
        <v>42724</v>
      </c>
      <c r="N1003" s="3">
        <v>70.680000000000007</v>
      </c>
    </row>
    <row r="1004" spans="1:14" x14ac:dyDescent="0.25">
      <c r="A1004" s="2">
        <v>1003</v>
      </c>
      <c r="B1004" s="3">
        <v>13382781</v>
      </c>
      <c r="C1004" s="2" t="s">
        <v>209</v>
      </c>
      <c r="D1004" s="3">
        <v>1</v>
      </c>
      <c r="E1004" s="2">
        <v>33</v>
      </c>
      <c r="F1004" s="2" t="str">
        <f t="shared" si="38"/>
        <v>NT 501</v>
      </c>
      <c r="G1004" s="2" t="str">
        <f>"4116609214"</f>
        <v>4116609214</v>
      </c>
      <c r="I1004">
        <v>20</v>
      </c>
      <c r="J1004" s="3">
        <v>1</v>
      </c>
      <c r="K1004" s="2">
        <v>2</v>
      </c>
      <c r="L1004" s="3" t="s">
        <v>2</v>
      </c>
      <c r="M1004" s="4">
        <v>42724</v>
      </c>
      <c r="N1004" s="3">
        <v>70.680000000000007</v>
      </c>
    </row>
    <row r="1005" spans="1:14" x14ac:dyDescent="0.25">
      <c r="A1005" s="2">
        <v>1004</v>
      </c>
      <c r="B1005" s="3">
        <v>13382782</v>
      </c>
      <c r="C1005" s="2" t="s">
        <v>209</v>
      </c>
      <c r="D1005" s="3">
        <v>1</v>
      </c>
      <c r="E1005" s="2">
        <v>33</v>
      </c>
      <c r="F1005" s="2" t="str">
        <f t="shared" si="38"/>
        <v>NT 501</v>
      </c>
      <c r="G1005" s="2" t="str">
        <f>"4116609215"</f>
        <v>4116609215</v>
      </c>
      <c r="I1005">
        <v>20</v>
      </c>
      <c r="J1005" s="3">
        <v>1</v>
      </c>
      <c r="K1005" s="2">
        <v>23</v>
      </c>
      <c r="L1005" s="3" t="s">
        <v>2</v>
      </c>
      <c r="M1005" s="4">
        <v>42724</v>
      </c>
      <c r="N1005" s="3">
        <v>70.680000000000007</v>
      </c>
    </row>
    <row r="1006" spans="1:14" x14ac:dyDescent="0.25">
      <c r="A1006" s="2">
        <v>1005</v>
      </c>
      <c r="B1006" s="3">
        <v>13382783</v>
      </c>
      <c r="C1006" s="2" t="s">
        <v>209</v>
      </c>
      <c r="D1006" s="3">
        <v>1</v>
      </c>
      <c r="E1006" s="2">
        <v>33</v>
      </c>
      <c r="F1006" s="2" t="str">
        <f t="shared" si="38"/>
        <v>NT 501</v>
      </c>
      <c r="G1006" s="2" t="str">
        <f>"4116609216"</f>
        <v>4116609216</v>
      </c>
      <c r="I1006">
        <v>20</v>
      </c>
      <c r="J1006" s="3">
        <v>1</v>
      </c>
      <c r="K1006" s="2">
        <v>4</v>
      </c>
      <c r="L1006" s="3" t="s">
        <v>2</v>
      </c>
      <c r="M1006" s="4">
        <v>42724</v>
      </c>
      <c r="N1006" s="3">
        <v>70.680000000000007</v>
      </c>
    </row>
    <row r="1007" spans="1:14" x14ac:dyDescent="0.25">
      <c r="A1007" s="2">
        <v>1006</v>
      </c>
      <c r="B1007" s="3">
        <v>13382784</v>
      </c>
      <c r="C1007" s="2" t="s">
        <v>209</v>
      </c>
      <c r="D1007" s="3">
        <v>1</v>
      </c>
      <c r="E1007" s="2">
        <v>33</v>
      </c>
      <c r="F1007" s="2" t="str">
        <f t="shared" si="38"/>
        <v>NT 501</v>
      </c>
      <c r="G1007" s="2" t="str">
        <f>"4116609486"</f>
        <v>4116609486</v>
      </c>
      <c r="I1007">
        <v>20</v>
      </c>
      <c r="J1007" s="3">
        <v>1</v>
      </c>
      <c r="K1007" s="2">
        <v>37</v>
      </c>
      <c r="L1007" s="3" t="s">
        <v>2</v>
      </c>
      <c r="M1007" s="4">
        <v>42724</v>
      </c>
      <c r="N1007" s="3">
        <v>70.680000000000007</v>
      </c>
    </row>
    <row r="1008" spans="1:14" x14ac:dyDescent="0.25">
      <c r="A1008" s="2">
        <v>1007</v>
      </c>
      <c r="B1008" s="3">
        <v>13382785</v>
      </c>
      <c r="C1008" s="2" t="s">
        <v>209</v>
      </c>
      <c r="D1008" s="3">
        <v>1</v>
      </c>
      <c r="E1008" s="2">
        <v>33</v>
      </c>
      <c r="F1008" s="2" t="str">
        <f t="shared" si="38"/>
        <v>NT 501</v>
      </c>
      <c r="G1008" s="2" t="str">
        <f>"4116609487"</f>
        <v>4116609487</v>
      </c>
      <c r="I1008">
        <v>20</v>
      </c>
      <c r="J1008" s="3">
        <v>1</v>
      </c>
      <c r="K1008" s="2">
        <v>39</v>
      </c>
      <c r="L1008" s="3" t="s">
        <v>2</v>
      </c>
      <c r="M1008" s="4">
        <v>42724</v>
      </c>
      <c r="N1008" s="3">
        <v>70.680000000000007</v>
      </c>
    </row>
    <row r="1009" spans="1:14" x14ac:dyDescent="0.25">
      <c r="A1009" s="2">
        <v>1008</v>
      </c>
      <c r="B1009" s="3">
        <v>13382786</v>
      </c>
      <c r="C1009" s="2" t="s">
        <v>209</v>
      </c>
      <c r="D1009" s="3">
        <v>1</v>
      </c>
      <c r="E1009" s="2">
        <v>33</v>
      </c>
      <c r="F1009" s="2" t="str">
        <f t="shared" si="38"/>
        <v>NT 501</v>
      </c>
      <c r="G1009" s="2" t="str">
        <f>"4116609488"</f>
        <v>4116609488</v>
      </c>
      <c r="I1009">
        <v>20</v>
      </c>
      <c r="J1009" s="3">
        <v>1</v>
      </c>
      <c r="K1009" s="2">
        <v>39</v>
      </c>
      <c r="L1009" s="3" t="s">
        <v>2</v>
      </c>
      <c r="M1009" s="4">
        <v>42724</v>
      </c>
      <c r="N1009" s="3">
        <v>70.680000000000007</v>
      </c>
    </row>
    <row r="1010" spans="1:14" x14ac:dyDescent="0.25">
      <c r="A1010" s="2">
        <v>1009</v>
      </c>
      <c r="B1010" s="3">
        <v>13460251</v>
      </c>
      <c r="C1010" s="2" t="s">
        <v>234</v>
      </c>
      <c r="D1010" s="3">
        <v>1</v>
      </c>
      <c r="E1010" s="2">
        <v>76</v>
      </c>
      <c r="F1010" s="2" t="str">
        <f t="shared" ref="F1010:F1036" si="39">"SIN MODELO"</f>
        <v>SIN MODELO</v>
      </c>
      <c r="G1010" s="2" t="str">
        <f>"63445060103014"</f>
        <v>63445060103014</v>
      </c>
      <c r="I1010">
        <v>20</v>
      </c>
      <c r="J1010" s="3">
        <v>1</v>
      </c>
      <c r="K1010" s="2">
        <v>4</v>
      </c>
      <c r="L1010" s="3" t="s">
        <v>2</v>
      </c>
      <c r="M1010" s="4">
        <v>42724</v>
      </c>
      <c r="N1010" s="3">
        <v>34.71</v>
      </c>
    </row>
    <row r="1011" spans="1:14" x14ac:dyDescent="0.25">
      <c r="A1011" s="2">
        <v>1010</v>
      </c>
      <c r="B1011" s="3">
        <v>13460252</v>
      </c>
      <c r="C1011" s="2" t="s">
        <v>234</v>
      </c>
      <c r="D1011" s="3">
        <v>1</v>
      </c>
      <c r="E1011" s="2">
        <v>76</v>
      </c>
      <c r="F1011" s="2" t="str">
        <f t="shared" si="39"/>
        <v>SIN MODELO</v>
      </c>
      <c r="G1011" s="2" t="str">
        <f>"63445060103015"</f>
        <v>63445060103015</v>
      </c>
      <c r="I1011">
        <v>20</v>
      </c>
      <c r="J1011" s="3">
        <v>1</v>
      </c>
      <c r="K1011" s="2">
        <v>4</v>
      </c>
      <c r="L1011" s="3" t="s">
        <v>2</v>
      </c>
      <c r="M1011" s="4">
        <v>42724</v>
      </c>
      <c r="N1011" s="3">
        <v>34.71</v>
      </c>
    </row>
    <row r="1012" spans="1:14" x14ac:dyDescent="0.25">
      <c r="A1012" s="2">
        <v>1011</v>
      </c>
      <c r="B1012" s="3">
        <v>13460253</v>
      </c>
      <c r="C1012" s="2" t="s">
        <v>234</v>
      </c>
      <c r="D1012" s="3">
        <v>1</v>
      </c>
      <c r="E1012" s="2">
        <v>76</v>
      </c>
      <c r="F1012" s="2" t="str">
        <f t="shared" si="39"/>
        <v>SIN MODELO</v>
      </c>
      <c r="G1012" s="2" t="str">
        <f>"63445060103016"</f>
        <v>63445060103016</v>
      </c>
      <c r="I1012">
        <v>20</v>
      </c>
      <c r="J1012" s="3">
        <v>1</v>
      </c>
      <c r="K1012" s="2">
        <v>4</v>
      </c>
      <c r="L1012" s="3" t="s">
        <v>2</v>
      </c>
      <c r="M1012" s="4">
        <v>42724</v>
      </c>
      <c r="N1012" s="3">
        <v>34.71</v>
      </c>
    </row>
    <row r="1013" spans="1:14" x14ac:dyDescent="0.25">
      <c r="A1013" s="2">
        <v>1012</v>
      </c>
      <c r="B1013" s="3">
        <v>13460254</v>
      </c>
      <c r="C1013" s="2" t="s">
        <v>234</v>
      </c>
      <c r="D1013" s="3">
        <v>1</v>
      </c>
      <c r="E1013" s="2">
        <v>76</v>
      </c>
      <c r="F1013" s="2" t="str">
        <f t="shared" si="39"/>
        <v>SIN MODELO</v>
      </c>
      <c r="G1013" s="2" t="str">
        <f>"63445060103017"</f>
        <v>63445060103017</v>
      </c>
      <c r="I1013">
        <v>20</v>
      </c>
      <c r="J1013" s="3">
        <v>1</v>
      </c>
      <c r="K1013" s="2">
        <v>4</v>
      </c>
      <c r="L1013" s="3" t="s">
        <v>2</v>
      </c>
      <c r="M1013" s="4">
        <v>42724</v>
      </c>
      <c r="N1013" s="3">
        <v>34.71</v>
      </c>
    </row>
    <row r="1014" spans="1:14" x14ac:dyDescent="0.25">
      <c r="A1014" s="2">
        <v>1013</v>
      </c>
      <c r="B1014" s="3">
        <v>13460255</v>
      </c>
      <c r="C1014" s="2" t="s">
        <v>234</v>
      </c>
      <c r="D1014" s="3">
        <v>1</v>
      </c>
      <c r="E1014" s="2">
        <v>76</v>
      </c>
      <c r="F1014" s="2" t="str">
        <f t="shared" si="39"/>
        <v>SIN MODELO</v>
      </c>
      <c r="G1014" s="2" t="str">
        <f>"63445060103018"</f>
        <v>63445060103018</v>
      </c>
      <c r="I1014">
        <v>20</v>
      </c>
      <c r="J1014" s="3">
        <v>1</v>
      </c>
      <c r="K1014" s="2">
        <v>4</v>
      </c>
      <c r="L1014" s="3" t="s">
        <v>2</v>
      </c>
      <c r="M1014" s="4">
        <v>42724</v>
      </c>
      <c r="N1014" s="3">
        <v>34.71</v>
      </c>
    </row>
    <row r="1015" spans="1:14" x14ac:dyDescent="0.25">
      <c r="A1015" s="2">
        <v>1014</v>
      </c>
      <c r="B1015" s="3">
        <v>13460256</v>
      </c>
      <c r="C1015" s="2" t="s">
        <v>234</v>
      </c>
      <c r="D1015" s="3">
        <v>1</v>
      </c>
      <c r="E1015" s="2">
        <v>76</v>
      </c>
      <c r="F1015" s="2" t="str">
        <f t="shared" si="39"/>
        <v>SIN MODELO</v>
      </c>
      <c r="G1015" s="2" t="str">
        <f>"63445060103019"</f>
        <v>63445060103019</v>
      </c>
      <c r="I1015">
        <v>20</v>
      </c>
      <c r="J1015" s="3">
        <v>1</v>
      </c>
      <c r="K1015" s="2">
        <v>4</v>
      </c>
      <c r="L1015" s="3" t="s">
        <v>2</v>
      </c>
      <c r="M1015" s="4">
        <v>42724</v>
      </c>
      <c r="N1015" s="3">
        <v>34.71</v>
      </c>
    </row>
    <row r="1016" spans="1:14" x14ac:dyDescent="0.25">
      <c r="A1016" s="2">
        <v>1015</v>
      </c>
      <c r="B1016" s="3">
        <v>13460257</v>
      </c>
      <c r="C1016" s="2" t="s">
        <v>234</v>
      </c>
      <c r="D1016" s="3">
        <v>1</v>
      </c>
      <c r="E1016" s="2">
        <v>76</v>
      </c>
      <c r="F1016" s="2" t="str">
        <f t="shared" si="39"/>
        <v>SIN MODELO</v>
      </c>
      <c r="G1016" s="2" t="str">
        <f>"63445060103020"</f>
        <v>63445060103020</v>
      </c>
      <c r="I1016">
        <v>20</v>
      </c>
      <c r="J1016" s="3">
        <v>1</v>
      </c>
      <c r="K1016" s="2">
        <v>4</v>
      </c>
      <c r="L1016" s="3" t="s">
        <v>2</v>
      </c>
      <c r="M1016" s="4">
        <v>42724</v>
      </c>
      <c r="N1016" s="3">
        <v>34.71</v>
      </c>
    </row>
    <row r="1017" spans="1:14" x14ac:dyDescent="0.25">
      <c r="A1017" s="2">
        <v>1016</v>
      </c>
      <c r="B1017" s="3">
        <v>13460258</v>
      </c>
      <c r="C1017" s="2" t="s">
        <v>234</v>
      </c>
      <c r="D1017" s="3">
        <v>1</v>
      </c>
      <c r="E1017" s="2">
        <v>76</v>
      </c>
      <c r="F1017" s="2" t="str">
        <f t="shared" si="39"/>
        <v>SIN MODELO</v>
      </c>
      <c r="G1017" s="2" t="str">
        <f>"63445060103021"</f>
        <v>63445060103021</v>
      </c>
      <c r="I1017">
        <v>20</v>
      </c>
      <c r="J1017" s="3">
        <v>1</v>
      </c>
      <c r="K1017" s="2">
        <v>4</v>
      </c>
      <c r="L1017" s="3" t="s">
        <v>2</v>
      </c>
      <c r="M1017" s="4">
        <v>42724</v>
      </c>
      <c r="N1017" s="3">
        <v>34.71</v>
      </c>
    </row>
    <row r="1018" spans="1:14" x14ac:dyDescent="0.25">
      <c r="A1018" s="2">
        <v>1017</v>
      </c>
      <c r="B1018" s="3">
        <v>13460259</v>
      </c>
      <c r="C1018" s="2" t="s">
        <v>234</v>
      </c>
      <c r="D1018" s="3">
        <v>1</v>
      </c>
      <c r="E1018" s="2">
        <v>76</v>
      </c>
      <c r="F1018" s="2" t="str">
        <f t="shared" si="39"/>
        <v>SIN MODELO</v>
      </c>
      <c r="G1018" s="2" t="str">
        <f>"63445060103022"</f>
        <v>63445060103022</v>
      </c>
      <c r="I1018">
        <v>20</v>
      </c>
      <c r="J1018" s="3">
        <v>1</v>
      </c>
      <c r="K1018" s="2">
        <v>4</v>
      </c>
      <c r="L1018" s="3" t="s">
        <v>2</v>
      </c>
      <c r="M1018" s="4">
        <v>42724</v>
      </c>
      <c r="N1018" s="3">
        <v>34.71</v>
      </c>
    </row>
    <row r="1019" spans="1:14" x14ac:dyDescent="0.25">
      <c r="A1019" s="2">
        <v>1018</v>
      </c>
      <c r="B1019" s="3">
        <v>13460260</v>
      </c>
      <c r="C1019" s="2" t="s">
        <v>234</v>
      </c>
      <c r="D1019" s="3">
        <v>1</v>
      </c>
      <c r="E1019" s="2">
        <v>76</v>
      </c>
      <c r="F1019" s="2" t="str">
        <f t="shared" si="39"/>
        <v>SIN MODELO</v>
      </c>
      <c r="G1019" s="2" t="str">
        <f>"63445060103023"</f>
        <v>63445060103023</v>
      </c>
      <c r="I1019">
        <v>20</v>
      </c>
      <c r="J1019" s="3">
        <v>1</v>
      </c>
      <c r="K1019" s="2">
        <v>4</v>
      </c>
      <c r="L1019" s="3" t="s">
        <v>2</v>
      </c>
      <c r="M1019" s="4">
        <v>42724</v>
      </c>
      <c r="N1019" s="3">
        <v>34.71</v>
      </c>
    </row>
    <row r="1020" spans="1:14" x14ac:dyDescent="0.25">
      <c r="A1020" s="2">
        <v>1019</v>
      </c>
      <c r="B1020" s="3">
        <v>13460261</v>
      </c>
      <c r="C1020" s="2" t="s">
        <v>234</v>
      </c>
      <c r="D1020" s="3">
        <v>1</v>
      </c>
      <c r="E1020" s="2">
        <v>76</v>
      </c>
      <c r="F1020" s="2" t="str">
        <f t="shared" si="39"/>
        <v>SIN MODELO</v>
      </c>
      <c r="G1020" s="2" t="str">
        <f>"63445060103024"</f>
        <v>63445060103024</v>
      </c>
      <c r="I1020">
        <v>20</v>
      </c>
      <c r="J1020" s="3">
        <v>1</v>
      </c>
      <c r="K1020" s="2">
        <v>4</v>
      </c>
      <c r="L1020" s="3" t="s">
        <v>2</v>
      </c>
      <c r="M1020" s="4">
        <v>42724</v>
      </c>
      <c r="N1020" s="3">
        <v>34.72</v>
      </c>
    </row>
    <row r="1021" spans="1:14" x14ac:dyDescent="0.25">
      <c r="A1021" s="2">
        <v>1020</v>
      </c>
      <c r="B1021" s="3">
        <v>13460262</v>
      </c>
      <c r="C1021" s="2" t="s">
        <v>234</v>
      </c>
      <c r="D1021" s="3">
        <v>1</v>
      </c>
      <c r="E1021" s="2">
        <v>76</v>
      </c>
      <c r="F1021" s="2" t="str">
        <f t="shared" si="39"/>
        <v>SIN MODELO</v>
      </c>
      <c r="G1021" s="2" t="str">
        <f>"63445060103025"</f>
        <v>63445060103025</v>
      </c>
      <c r="I1021">
        <v>20</v>
      </c>
      <c r="J1021" s="3">
        <v>1</v>
      </c>
      <c r="K1021" s="2">
        <v>4</v>
      </c>
      <c r="L1021" s="3" t="s">
        <v>2</v>
      </c>
      <c r="M1021" s="4">
        <v>42724</v>
      </c>
      <c r="N1021" s="3">
        <v>34.72</v>
      </c>
    </row>
    <row r="1022" spans="1:14" x14ac:dyDescent="0.25">
      <c r="A1022" s="2">
        <v>1021</v>
      </c>
      <c r="B1022" s="3">
        <v>13460263</v>
      </c>
      <c r="C1022" s="2" t="s">
        <v>234</v>
      </c>
      <c r="D1022" s="3">
        <v>1</v>
      </c>
      <c r="E1022" s="2">
        <v>76</v>
      </c>
      <c r="F1022" s="2" t="str">
        <f t="shared" si="39"/>
        <v>SIN MODELO</v>
      </c>
      <c r="G1022" s="2" t="str">
        <f>"63445060103026"</f>
        <v>63445060103026</v>
      </c>
      <c r="I1022">
        <v>20</v>
      </c>
      <c r="J1022" s="3">
        <v>1</v>
      </c>
      <c r="K1022" s="2">
        <v>4</v>
      </c>
      <c r="L1022" s="3" t="s">
        <v>2</v>
      </c>
      <c r="M1022" s="4">
        <v>42724</v>
      </c>
      <c r="N1022" s="3">
        <v>34.72</v>
      </c>
    </row>
    <row r="1023" spans="1:14" x14ac:dyDescent="0.25">
      <c r="A1023" s="2">
        <v>1022</v>
      </c>
      <c r="B1023" s="3">
        <v>13460264</v>
      </c>
      <c r="C1023" s="2" t="s">
        <v>234</v>
      </c>
      <c r="D1023" s="3">
        <v>1</v>
      </c>
      <c r="E1023" s="2">
        <v>76</v>
      </c>
      <c r="F1023" s="2" t="str">
        <f t="shared" si="39"/>
        <v>SIN MODELO</v>
      </c>
      <c r="G1023" s="2" t="str">
        <f>"63445060103027"</f>
        <v>63445060103027</v>
      </c>
      <c r="I1023">
        <v>20</v>
      </c>
      <c r="J1023" s="3">
        <v>1</v>
      </c>
      <c r="K1023" s="2">
        <v>4</v>
      </c>
      <c r="L1023" s="3" t="s">
        <v>2</v>
      </c>
      <c r="M1023" s="4">
        <v>42724</v>
      </c>
      <c r="N1023" s="3">
        <v>34.72</v>
      </c>
    </row>
    <row r="1024" spans="1:14" x14ac:dyDescent="0.25">
      <c r="A1024" s="2">
        <v>1023</v>
      </c>
      <c r="B1024" s="3">
        <v>13460265</v>
      </c>
      <c r="C1024" s="2" t="s">
        <v>234</v>
      </c>
      <c r="D1024" s="3">
        <v>1</v>
      </c>
      <c r="E1024" s="2">
        <v>76</v>
      </c>
      <c r="F1024" s="2" t="str">
        <f t="shared" si="39"/>
        <v>SIN MODELO</v>
      </c>
      <c r="G1024" s="2" t="str">
        <f>"63445060103028"</f>
        <v>63445060103028</v>
      </c>
      <c r="I1024">
        <v>5</v>
      </c>
      <c r="J1024" s="3">
        <v>1</v>
      </c>
      <c r="K1024" s="2">
        <v>2</v>
      </c>
      <c r="L1024" s="3" t="s">
        <v>2</v>
      </c>
      <c r="M1024" s="4">
        <v>42724</v>
      </c>
      <c r="N1024" s="3">
        <v>9.92</v>
      </c>
    </row>
    <row r="1025" spans="1:14" x14ac:dyDescent="0.25">
      <c r="A1025" s="2">
        <v>1024</v>
      </c>
      <c r="B1025" s="3">
        <v>13460266</v>
      </c>
      <c r="C1025" s="2" t="s">
        <v>234</v>
      </c>
      <c r="D1025" s="3">
        <v>1</v>
      </c>
      <c r="E1025" s="2">
        <v>76</v>
      </c>
      <c r="F1025" s="2" t="str">
        <f t="shared" si="39"/>
        <v>SIN MODELO</v>
      </c>
      <c r="G1025" s="2" t="str">
        <f>"63445060103029"</f>
        <v>63445060103029</v>
      </c>
      <c r="I1025">
        <v>5</v>
      </c>
      <c r="J1025" s="3">
        <v>1</v>
      </c>
      <c r="K1025" s="2">
        <v>23</v>
      </c>
      <c r="L1025" s="3" t="s">
        <v>2</v>
      </c>
      <c r="M1025" s="4">
        <v>42724</v>
      </c>
      <c r="N1025" s="3">
        <v>9.92</v>
      </c>
    </row>
    <row r="1026" spans="1:14" x14ac:dyDescent="0.25">
      <c r="A1026" s="2">
        <v>1025</v>
      </c>
      <c r="B1026" s="3">
        <v>13460267</v>
      </c>
      <c r="C1026" s="2" t="s">
        <v>234</v>
      </c>
      <c r="D1026" s="3">
        <v>1</v>
      </c>
      <c r="E1026" s="2">
        <v>76</v>
      </c>
      <c r="F1026" s="2" t="str">
        <f t="shared" si="39"/>
        <v>SIN MODELO</v>
      </c>
      <c r="G1026" s="2" t="str">
        <f>"63445060103030"</f>
        <v>63445060103030</v>
      </c>
      <c r="I1026">
        <v>5</v>
      </c>
      <c r="J1026" s="3">
        <v>1</v>
      </c>
      <c r="K1026" s="2">
        <v>23</v>
      </c>
      <c r="L1026" s="3" t="s">
        <v>2</v>
      </c>
      <c r="M1026" s="4">
        <v>42724</v>
      </c>
      <c r="N1026" s="3">
        <v>9.92</v>
      </c>
    </row>
    <row r="1027" spans="1:14" x14ac:dyDescent="0.25">
      <c r="A1027" s="2">
        <v>1026</v>
      </c>
      <c r="B1027" s="3">
        <v>13460271</v>
      </c>
      <c r="C1027" s="2" t="s">
        <v>234</v>
      </c>
      <c r="D1027" s="3">
        <v>1</v>
      </c>
      <c r="E1027" s="2">
        <v>76</v>
      </c>
      <c r="F1027" s="2" t="str">
        <f t="shared" si="39"/>
        <v>SIN MODELO</v>
      </c>
      <c r="G1027" s="2" t="str">
        <f>"63445060103034"</f>
        <v>63445060103034</v>
      </c>
      <c r="I1027">
        <v>5</v>
      </c>
      <c r="J1027" s="3">
        <v>1</v>
      </c>
      <c r="K1027" s="2">
        <v>23</v>
      </c>
      <c r="L1027" s="3" t="s">
        <v>2</v>
      </c>
      <c r="M1027" s="4">
        <v>42724</v>
      </c>
      <c r="N1027" s="3">
        <v>9.92</v>
      </c>
    </row>
    <row r="1028" spans="1:14" x14ac:dyDescent="0.25">
      <c r="A1028" s="2">
        <v>1027</v>
      </c>
      <c r="B1028" s="3">
        <v>13460268</v>
      </c>
      <c r="C1028" s="2" t="s">
        <v>234</v>
      </c>
      <c r="D1028" s="3">
        <v>1</v>
      </c>
      <c r="E1028" s="2">
        <v>76</v>
      </c>
      <c r="F1028" s="2" t="str">
        <f t="shared" si="39"/>
        <v>SIN MODELO</v>
      </c>
      <c r="G1028" s="2" t="str">
        <f>"63445060103031"</f>
        <v>63445060103031</v>
      </c>
      <c r="I1028">
        <v>5</v>
      </c>
      <c r="J1028" s="3">
        <v>1</v>
      </c>
      <c r="K1028" s="2">
        <v>23</v>
      </c>
      <c r="L1028" s="3" t="s">
        <v>2</v>
      </c>
      <c r="M1028" s="4">
        <v>42724</v>
      </c>
      <c r="N1028" s="3">
        <v>9.92</v>
      </c>
    </row>
    <row r="1029" spans="1:14" x14ac:dyDescent="0.25">
      <c r="A1029" s="2">
        <v>1028</v>
      </c>
      <c r="B1029" s="3">
        <v>13460269</v>
      </c>
      <c r="C1029" s="2" t="s">
        <v>234</v>
      </c>
      <c r="D1029" s="3">
        <v>1</v>
      </c>
      <c r="E1029" s="2">
        <v>76</v>
      </c>
      <c r="F1029" s="2" t="str">
        <f t="shared" si="39"/>
        <v>SIN MODELO</v>
      </c>
      <c r="G1029" s="2" t="str">
        <f>"63445060103032"</f>
        <v>63445060103032</v>
      </c>
      <c r="I1029">
        <v>5</v>
      </c>
      <c r="J1029" s="3">
        <v>1</v>
      </c>
      <c r="K1029" s="2">
        <v>23</v>
      </c>
      <c r="L1029" s="3" t="s">
        <v>2</v>
      </c>
      <c r="M1029" s="4">
        <v>42724</v>
      </c>
      <c r="N1029" s="3">
        <v>9.92</v>
      </c>
    </row>
    <row r="1030" spans="1:14" x14ac:dyDescent="0.25">
      <c r="A1030" s="2">
        <v>1029</v>
      </c>
      <c r="B1030" s="3">
        <v>13460270</v>
      </c>
      <c r="C1030" s="2" t="s">
        <v>234</v>
      </c>
      <c r="D1030" s="3">
        <v>1</v>
      </c>
      <c r="E1030" s="2">
        <v>76</v>
      </c>
      <c r="F1030" s="2" t="str">
        <f t="shared" si="39"/>
        <v>SIN MODELO</v>
      </c>
      <c r="G1030" s="2" t="str">
        <f>"63445060103033"</f>
        <v>63445060103033</v>
      </c>
      <c r="I1030">
        <v>5</v>
      </c>
      <c r="J1030" s="3">
        <v>1</v>
      </c>
      <c r="K1030" s="2">
        <v>23</v>
      </c>
      <c r="L1030" s="3" t="s">
        <v>2</v>
      </c>
      <c r="M1030" s="4">
        <v>42724</v>
      </c>
      <c r="N1030" s="3">
        <v>9.92</v>
      </c>
    </row>
    <row r="1031" spans="1:14" x14ac:dyDescent="0.25">
      <c r="A1031" s="2">
        <v>1030</v>
      </c>
      <c r="B1031" s="3">
        <v>13460272</v>
      </c>
      <c r="C1031" s="2" t="s">
        <v>234</v>
      </c>
      <c r="D1031" s="3">
        <v>1</v>
      </c>
      <c r="E1031" s="2">
        <v>76</v>
      </c>
      <c r="F1031" s="2" t="str">
        <f t="shared" si="39"/>
        <v>SIN MODELO</v>
      </c>
      <c r="G1031" s="2" t="str">
        <f>"63445060103035"</f>
        <v>63445060103035</v>
      </c>
      <c r="I1031">
        <v>5</v>
      </c>
      <c r="J1031" s="3">
        <v>1</v>
      </c>
      <c r="K1031" s="2">
        <v>23</v>
      </c>
      <c r="L1031" s="3" t="s">
        <v>2</v>
      </c>
      <c r="M1031" s="4">
        <v>42724</v>
      </c>
      <c r="N1031" s="3">
        <v>9.92</v>
      </c>
    </row>
    <row r="1032" spans="1:14" x14ac:dyDescent="0.25">
      <c r="A1032" s="2">
        <v>1031</v>
      </c>
      <c r="B1032" s="3">
        <v>13460273</v>
      </c>
      <c r="C1032" s="2" t="s">
        <v>234</v>
      </c>
      <c r="D1032" s="3">
        <v>1</v>
      </c>
      <c r="E1032" s="2">
        <v>76</v>
      </c>
      <c r="F1032" s="2" t="str">
        <f t="shared" si="39"/>
        <v>SIN MODELO</v>
      </c>
      <c r="G1032" s="2" t="str">
        <f>"63445060103036"</f>
        <v>63445060103036</v>
      </c>
      <c r="I1032">
        <v>5</v>
      </c>
      <c r="J1032" s="3">
        <v>1</v>
      </c>
      <c r="K1032" s="2">
        <v>23</v>
      </c>
      <c r="L1032" s="3" t="s">
        <v>2</v>
      </c>
      <c r="M1032" s="4">
        <v>42724</v>
      </c>
      <c r="N1032" s="3">
        <v>9.92</v>
      </c>
    </row>
    <row r="1033" spans="1:14" x14ac:dyDescent="0.25">
      <c r="A1033" s="2">
        <v>1032</v>
      </c>
      <c r="B1033" s="3">
        <v>13460274</v>
      </c>
      <c r="C1033" s="2" t="s">
        <v>234</v>
      </c>
      <c r="D1033" s="3">
        <v>1</v>
      </c>
      <c r="E1033" s="2">
        <v>76</v>
      </c>
      <c r="F1033" s="2" t="str">
        <f t="shared" si="39"/>
        <v>SIN MODELO</v>
      </c>
      <c r="G1033" s="2" t="str">
        <f>"63445060103037"</f>
        <v>63445060103037</v>
      </c>
      <c r="I1033">
        <v>5</v>
      </c>
      <c r="J1033" s="3">
        <v>1</v>
      </c>
      <c r="K1033" s="2">
        <v>23</v>
      </c>
      <c r="L1033" s="3" t="s">
        <v>2</v>
      </c>
      <c r="M1033" s="4">
        <v>42724</v>
      </c>
      <c r="N1033" s="3">
        <v>9.92</v>
      </c>
    </row>
    <row r="1034" spans="1:14" x14ac:dyDescent="0.25">
      <c r="A1034" s="2">
        <v>1033</v>
      </c>
      <c r="B1034" s="3">
        <v>13460275</v>
      </c>
      <c r="C1034" s="2" t="s">
        <v>234</v>
      </c>
      <c r="D1034" s="3">
        <v>1</v>
      </c>
      <c r="E1034" s="2">
        <v>76</v>
      </c>
      <c r="F1034" s="2" t="str">
        <f t="shared" si="39"/>
        <v>SIN MODELO</v>
      </c>
      <c r="G1034" s="2" t="str">
        <f>"63445060103038"</f>
        <v>63445060103038</v>
      </c>
      <c r="I1034">
        <v>5</v>
      </c>
      <c r="J1034" s="3">
        <v>1</v>
      </c>
      <c r="K1034" s="2">
        <v>23</v>
      </c>
      <c r="L1034" s="3" t="s">
        <v>2</v>
      </c>
      <c r="M1034" s="4">
        <v>42724</v>
      </c>
      <c r="N1034" s="3">
        <v>13.11</v>
      </c>
    </row>
    <row r="1035" spans="1:14" x14ac:dyDescent="0.25">
      <c r="A1035" s="2">
        <v>1034</v>
      </c>
      <c r="B1035" s="3">
        <v>13460276</v>
      </c>
      <c r="C1035" s="2" t="s">
        <v>234</v>
      </c>
      <c r="D1035" s="3">
        <v>1</v>
      </c>
      <c r="E1035" s="2">
        <v>76</v>
      </c>
      <c r="F1035" s="2" t="str">
        <f t="shared" si="39"/>
        <v>SIN MODELO</v>
      </c>
      <c r="G1035" s="2" t="str">
        <f>"63445060103039"</f>
        <v>63445060103039</v>
      </c>
      <c r="I1035">
        <v>5</v>
      </c>
      <c r="J1035" s="3">
        <v>1</v>
      </c>
      <c r="K1035" s="2">
        <v>23</v>
      </c>
      <c r="L1035" s="3" t="s">
        <v>2</v>
      </c>
      <c r="M1035" s="4">
        <v>42724</v>
      </c>
      <c r="N1035" s="3">
        <v>13.11</v>
      </c>
    </row>
    <row r="1036" spans="1:14" x14ac:dyDescent="0.25">
      <c r="A1036" s="2">
        <v>1035</v>
      </c>
      <c r="B1036" s="3">
        <v>13460277</v>
      </c>
      <c r="C1036" s="2" t="s">
        <v>234</v>
      </c>
      <c r="D1036" s="3">
        <v>1</v>
      </c>
      <c r="E1036" s="2">
        <v>76</v>
      </c>
      <c r="F1036" s="2" t="str">
        <f t="shared" si="39"/>
        <v>SIN MODELO</v>
      </c>
      <c r="G1036" s="2" t="str">
        <f>"63445060103040"</f>
        <v>63445060103040</v>
      </c>
      <c r="I1036">
        <v>5</v>
      </c>
      <c r="J1036" s="3">
        <v>1</v>
      </c>
      <c r="K1036" s="2">
        <v>23</v>
      </c>
      <c r="L1036" s="3" t="s">
        <v>2</v>
      </c>
      <c r="M1036" s="4">
        <v>42724</v>
      </c>
      <c r="N1036" s="3">
        <v>13.11</v>
      </c>
    </row>
    <row r="1037" spans="1:14" x14ac:dyDescent="0.25">
      <c r="A1037" s="2">
        <v>1036</v>
      </c>
      <c r="B1037" s="3">
        <v>13511883</v>
      </c>
      <c r="C1037" s="2" t="s">
        <v>286</v>
      </c>
      <c r="D1037" s="3">
        <v>2</v>
      </c>
      <c r="E1037" s="2">
        <v>76</v>
      </c>
      <c r="F1037" s="2" t="str">
        <f>""</f>
        <v/>
      </c>
      <c r="G1037" s="2" t="str">
        <f>"13511883"</f>
        <v>13511883</v>
      </c>
      <c r="I1037">
        <v>5</v>
      </c>
      <c r="J1037" s="3">
        <v>1</v>
      </c>
      <c r="K1037" s="2">
        <v>23</v>
      </c>
      <c r="L1037" s="3" t="s">
        <v>31</v>
      </c>
      <c r="M1037" s="4">
        <v>42733</v>
      </c>
      <c r="N1037" s="3">
        <v>10.32</v>
      </c>
    </row>
    <row r="1038" spans="1:14" x14ac:dyDescent="0.25">
      <c r="A1038" s="2">
        <v>1037</v>
      </c>
      <c r="B1038" s="3">
        <v>13511881</v>
      </c>
      <c r="C1038" s="2" t="s">
        <v>286</v>
      </c>
      <c r="D1038" s="3">
        <v>2</v>
      </c>
      <c r="E1038" s="2">
        <v>76</v>
      </c>
      <c r="F1038" s="2" t="str">
        <f>""</f>
        <v/>
      </c>
      <c r="G1038" s="2" t="str">
        <f>"13511881"</f>
        <v>13511881</v>
      </c>
      <c r="I1038">
        <v>5</v>
      </c>
      <c r="J1038" s="3">
        <v>1</v>
      </c>
      <c r="K1038" s="2">
        <v>23</v>
      </c>
      <c r="L1038" s="3" t="s">
        <v>31</v>
      </c>
      <c r="M1038" s="4">
        <v>42733</v>
      </c>
      <c r="N1038" s="3">
        <v>10.32</v>
      </c>
    </row>
    <row r="1039" spans="1:14" x14ac:dyDescent="0.25">
      <c r="A1039" s="2">
        <v>1038</v>
      </c>
      <c r="B1039" s="3">
        <v>13511879</v>
      </c>
      <c r="C1039" s="2" t="s">
        <v>286</v>
      </c>
      <c r="D1039" s="3">
        <v>2</v>
      </c>
      <c r="E1039" s="2">
        <v>76</v>
      </c>
      <c r="F1039" s="2" t="str">
        <f>""</f>
        <v/>
      </c>
      <c r="G1039" s="2" t="str">
        <f>"13511879"</f>
        <v>13511879</v>
      </c>
      <c r="I1039">
        <v>5</v>
      </c>
      <c r="J1039" s="3">
        <v>1</v>
      </c>
      <c r="K1039" s="2">
        <v>23</v>
      </c>
      <c r="L1039" s="3" t="s">
        <v>31</v>
      </c>
      <c r="M1039" s="4">
        <v>42733</v>
      </c>
      <c r="N1039" s="3">
        <v>10.32</v>
      </c>
    </row>
    <row r="1040" spans="1:14" x14ac:dyDescent="0.25">
      <c r="A1040" s="2">
        <v>1039</v>
      </c>
      <c r="B1040" s="3">
        <v>13511880</v>
      </c>
      <c r="C1040" s="2" t="s">
        <v>286</v>
      </c>
      <c r="D1040" s="3">
        <v>2</v>
      </c>
      <c r="E1040" s="2">
        <v>76</v>
      </c>
      <c r="F1040" s="2" t="str">
        <f>""</f>
        <v/>
      </c>
      <c r="G1040" s="2" t="str">
        <f>"13511880"</f>
        <v>13511880</v>
      </c>
      <c r="I1040">
        <v>5</v>
      </c>
      <c r="J1040" s="3">
        <v>1</v>
      </c>
      <c r="K1040" s="2">
        <v>23</v>
      </c>
      <c r="L1040" s="3" t="s">
        <v>31</v>
      </c>
      <c r="M1040" s="4">
        <v>42733</v>
      </c>
      <c r="N1040" s="3">
        <v>10.32</v>
      </c>
    </row>
    <row r="1041" spans="1:14" x14ac:dyDescent="0.25">
      <c r="A1041" s="2">
        <v>1040</v>
      </c>
      <c r="B1041" s="3">
        <v>13511882</v>
      </c>
      <c r="C1041" s="2" t="s">
        <v>286</v>
      </c>
      <c r="D1041" s="3">
        <v>2</v>
      </c>
      <c r="E1041" s="2">
        <v>76</v>
      </c>
      <c r="F1041" s="2" t="str">
        <f>""</f>
        <v/>
      </c>
      <c r="G1041" s="2" t="str">
        <f>"13511882"</f>
        <v>13511882</v>
      </c>
      <c r="I1041">
        <v>5</v>
      </c>
      <c r="J1041" s="3">
        <v>1</v>
      </c>
      <c r="K1041" s="2">
        <v>23</v>
      </c>
      <c r="L1041" s="3" t="s">
        <v>31</v>
      </c>
      <c r="M1041" s="4">
        <v>42733</v>
      </c>
      <c r="N1041" s="3">
        <v>10.32</v>
      </c>
    </row>
    <row r="1042" spans="1:14" x14ac:dyDescent="0.25">
      <c r="A1042" s="2">
        <v>1041</v>
      </c>
      <c r="B1042" s="3">
        <v>13511933</v>
      </c>
      <c r="C1042" s="2" t="s">
        <v>285</v>
      </c>
      <c r="D1042" s="3">
        <v>2</v>
      </c>
      <c r="E1042" s="2">
        <v>76</v>
      </c>
      <c r="F1042" s="2" t="str">
        <f>""</f>
        <v/>
      </c>
      <c r="G1042" s="2" t="str">
        <f>"13511933"</f>
        <v>13511933</v>
      </c>
      <c r="I1042">
        <v>5</v>
      </c>
      <c r="J1042" s="3">
        <v>1</v>
      </c>
      <c r="K1042" s="2">
        <v>23</v>
      </c>
      <c r="L1042" s="3" t="s">
        <v>31</v>
      </c>
      <c r="M1042" s="4">
        <v>42727</v>
      </c>
      <c r="N1042" s="3">
        <v>38.9</v>
      </c>
    </row>
    <row r="1043" spans="1:14" x14ac:dyDescent="0.25">
      <c r="A1043" s="2">
        <v>1042</v>
      </c>
      <c r="B1043" s="3">
        <v>13511884</v>
      </c>
      <c r="C1043" s="2" t="s">
        <v>286</v>
      </c>
      <c r="D1043" s="3">
        <v>2</v>
      </c>
      <c r="E1043" s="2">
        <v>76</v>
      </c>
      <c r="F1043" s="2" t="str">
        <f>""</f>
        <v/>
      </c>
      <c r="G1043" s="2" t="str">
        <f>"13511884"</f>
        <v>13511884</v>
      </c>
      <c r="I1043">
        <v>5</v>
      </c>
      <c r="J1043" s="3">
        <v>1</v>
      </c>
      <c r="K1043" s="2">
        <v>23</v>
      </c>
      <c r="L1043" s="3" t="s">
        <v>31</v>
      </c>
      <c r="M1043" s="4">
        <v>42733</v>
      </c>
      <c r="N1043" s="3">
        <v>10.32</v>
      </c>
    </row>
    <row r="1044" spans="1:14" x14ac:dyDescent="0.25">
      <c r="A1044" s="2">
        <v>1043</v>
      </c>
      <c r="B1044" s="3">
        <v>13511885</v>
      </c>
      <c r="C1044" s="2" t="s">
        <v>286</v>
      </c>
      <c r="D1044" s="3">
        <v>2</v>
      </c>
      <c r="E1044" s="2">
        <v>76</v>
      </c>
      <c r="F1044" s="2" t="str">
        <f>""</f>
        <v/>
      </c>
      <c r="G1044" s="2" t="str">
        <f>"13511885"</f>
        <v>13511885</v>
      </c>
      <c r="I1044">
        <v>5</v>
      </c>
      <c r="J1044" s="3">
        <v>1</v>
      </c>
      <c r="K1044" s="2">
        <v>23</v>
      </c>
      <c r="L1044" s="3" t="s">
        <v>31</v>
      </c>
      <c r="M1044" s="4">
        <v>42733</v>
      </c>
      <c r="N1044" s="3">
        <v>10.32</v>
      </c>
    </row>
    <row r="1045" spans="1:14" x14ac:dyDescent="0.25">
      <c r="A1045" s="2">
        <v>1044</v>
      </c>
      <c r="B1045" s="3">
        <v>13511886</v>
      </c>
      <c r="C1045" s="2" t="s">
        <v>286</v>
      </c>
      <c r="D1045" s="3">
        <v>2</v>
      </c>
      <c r="E1045" s="2">
        <v>76</v>
      </c>
      <c r="F1045" s="2" t="str">
        <f>""</f>
        <v/>
      </c>
      <c r="G1045" s="2" t="str">
        <f>"13511886"</f>
        <v>13511886</v>
      </c>
      <c r="I1045">
        <v>5</v>
      </c>
      <c r="J1045" s="3">
        <v>1</v>
      </c>
      <c r="K1045" s="2">
        <v>23</v>
      </c>
      <c r="L1045" s="3" t="s">
        <v>31</v>
      </c>
      <c r="M1045" s="4">
        <v>42733</v>
      </c>
      <c r="N1045" s="3">
        <v>10.32</v>
      </c>
    </row>
    <row r="1046" spans="1:14" x14ac:dyDescent="0.25">
      <c r="A1046" s="2">
        <v>1045</v>
      </c>
      <c r="B1046" s="3">
        <v>13511887</v>
      </c>
      <c r="C1046" s="2" t="s">
        <v>286</v>
      </c>
      <c r="D1046" s="3">
        <v>2</v>
      </c>
      <c r="E1046" s="2">
        <v>76</v>
      </c>
      <c r="F1046" s="2" t="str">
        <f>""</f>
        <v/>
      </c>
      <c r="G1046" s="2" t="str">
        <f>"13511887"</f>
        <v>13511887</v>
      </c>
      <c r="I1046">
        <v>5</v>
      </c>
      <c r="J1046" s="3">
        <v>1</v>
      </c>
      <c r="K1046" s="2">
        <v>23</v>
      </c>
      <c r="L1046" s="3" t="s">
        <v>31</v>
      </c>
      <c r="M1046" s="4">
        <v>42733</v>
      </c>
      <c r="N1046" s="3">
        <v>10.32</v>
      </c>
    </row>
    <row r="1047" spans="1:14" x14ac:dyDescent="0.25">
      <c r="A1047" s="2">
        <v>1046</v>
      </c>
      <c r="B1047" s="3">
        <v>13511888</v>
      </c>
      <c r="C1047" s="2" t="s">
        <v>286</v>
      </c>
      <c r="D1047" s="3">
        <v>2</v>
      </c>
      <c r="E1047" s="2">
        <v>76</v>
      </c>
      <c r="F1047" s="2" t="str">
        <f>""</f>
        <v/>
      </c>
      <c r="G1047" s="2" t="str">
        <f>"13511888"</f>
        <v>13511888</v>
      </c>
      <c r="I1047">
        <v>5</v>
      </c>
      <c r="J1047" s="3">
        <v>1</v>
      </c>
      <c r="K1047" s="2">
        <v>23</v>
      </c>
      <c r="L1047" s="3" t="s">
        <v>31</v>
      </c>
      <c r="M1047" s="4">
        <v>42733</v>
      </c>
      <c r="N1047" s="3">
        <v>10.32</v>
      </c>
    </row>
    <row r="1048" spans="1:14" x14ac:dyDescent="0.25">
      <c r="A1048" s="2">
        <v>1047</v>
      </c>
      <c r="B1048" s="3">
        <v>13511889</v>
      </c>
      <c r="C1048" s="2" t="s">
        <v>286</v>
      </c>
      <c r="D1048" s="3">
        <v>2</v>
      </c>
      <c r="E1048" s="2">
        <v>76</v>
      </c>
      <c r="F1048" s="2" t="str">
        <f>""</f>
        <v/>
      </c>
      <c r="G1048" s="2" t="str">
        <f>"13511889"</f>
        <v>13511889</v>
      </c>
      <c r="I1048">
        <v>5</v>
      </c>
      <c r="J1048" s="3">
        <v>1</v>
      </c>
      <c r="K1048" s="2">
        <v>23</v>
      </c>
      <c r="L1048" s="3" t="s">
        <v>31</v>
      </c>
      <c r="M1048" s="4">
        <v>42733</v>
      </c>
      <c r="N1048" s="3">
        <v>10.32</v>
      </c>
    </row>
    <row r="1049" spans="1:14" x14ac:dyDescent="0.25">
      <c r="A1049" s="2">
        <v>1048</v>
      </c>
      <c r="B1049" s="3">
        <v>13511890</v>
      </c>
      <c r="C1049" s="2" t="s">
        <v>286</v>
      </c>
      <c r="D1049" s="3">
        <v>2</v>
      </c>
      <c r="E1049" s="2">
        <v>76</v>
      </c>
      <c r="F1049" s="2" t="str">
        <f>""</f>
        <v/>
      </c>
      <c r="G1049" s="2" t="str">
        <f>"13511890"</f>
        <v>13511890</v>
      </c>
      <c r="I1049">
        <v>5</v>
      </c>
      <c r="J1049" s="3">
        <v>1</v>
      </c>
      <c r="K1049" s="2">
        <v>23</v>
      </c>
      <c r="L1049" s="3" t="s">
        <v>31</v>
      </c>
      <c r="M1049" s="4">
        <v>42733</v>
      </c>
      <c r="N1049" s="3">
        <v>10.32</v>
      </c>
    </row>
    <row r="1050" spans="1:14" x14ac:dyDescent="0.25">
      <c r="A1050" s="2">
        <v>1049</v>
      </c>
      <c r="B1050" s="3">
        <v>13511891</v>
      </c>
      <c r="C1050" s="2" t="s">
        <v>286</v>
      </c>
      <c r="D1050" s="3">
        <v>2</v>
      </c>
      <c r="E1050" s="2">
        <v>76</v>
      </c>
      <c r="F1050" s="2" t="str">
        <f>""</f>
        <v/>
      </c>
      <c r="G1050" s="2" t="str">
        <f>"13511891"</f>
        <v>13511891</v>
      </c>
      <c r="I1050">
        <v>5</v>
      </c>
      <c r="J1050" s="3">
        <v>1</v>
      </c>
      <c r="K1050" s="2">
        <v>23</v>
      </c>
      <c r="L1050" s="3" t="s">
        <v>31</v>
      </c>
      <c r="M1050" s="4">
        <v>42733</v>
      </c>
      <c r="N1050" s="3">
        <v>10.32</v>
      </c>
    </row>
    <row r="1051" spans="1:14" x14ac:dyDescent="0.25">
      <c r="A1051" s="2">
        <v>1050</v>
      </c>
      <c r="B1051" s="3">
        <v>13511896</v>
      </c>
      <c r="C1051" s="2" t="s">
        <v>286</v>
      </c>
      <c r="D1051" s="3">
        <v>2</v>
      </c>
      <c r="E1051" s="2">
        <v>76</v>
      </c>
      <c r="F1051" s="2" t="str">
        <f>""</f>
        <v/>
      </c>
      <c r="G1051" s="2" t="str">
        <f>"13511896"</f>
        <v>13511896</v>
      </c>
      <c r="I1051">
        <v>5</v>
      </c>
      <c r="J1051" s="3">
        <v>1</v>
      </c>
      <c r="K1051" s="2">
        <v>23</v>
      </c>
      <c r="L1051" s="3" t="s">
        <v>31</v>
      </c>
      <c r="M1051" s="4">
        <v>42733</v>
      </c>
      <c r="N1051" s="3">
        <v>10.32</v>
      </c>
    </row>
    <row r="1052" spans="1:14" x14ac:dyDescent="0.25">
      <c r="A1052" s="2">
        <v>1051</v>
      </c>
      <c r="B1052" s="3">
        <v>13511893</v>
      </c>
      <c r="C1052" s="2" t="s">
        <v>286</v>
      </c>
      <c r="D1052" s="3">
        <v>2</v>
      </c>
      <c r="E1052" s="2">
        <v>76</v>
      </c>
      <c r="F1052" s="2" t="str">
        <f>""</f>
        <v/>
      </c>
      <c r="G1052" s="2" t="str">
        <f>"13511893"</f>
        <v>13511893</v>
      </c>
      <c r="I1052">
        <v>5</v>
      </c>
      <c r="J1052" s="3">
        <v>1</v>
      </c>
      <c r="K1052" s="2">
        <v>23</v>
      </c>
      <c r="L1052" s="3" t="s">
        <v>31</v>
      </c>
      <c r="M1052" s="4">
        <v>42733</v>
      </c>
      <c r="N1052" s="3">
        <v>10.32</v>
      </c>
    </row>
    <row r="1053" spans="1:14" x14ac:dyDescent="0.25">
      <c r="A1053" s="2">
        <v>1052</v>
      </c>
      <c r="B1053" s="3">
        <v>13511894</v>
      </c>
      <c r="C1053" s="2" t="s">
        <v>286</v>
      </c>
      <c r="D1053" s="3">
        <v>2</v>
      </c>
      <c r="E1053" s="2">
        <v>76</v>
      </c>
      <c r="F1053" s="2" t="str">
        <f>""</f>
        <v/>
      </c>
      <c r="G1053" s="2" t="str">
        <f>"13511894"</f>
        <v>13511894</v>
      </c>
      <c r="I1053">
        <v>5</v>
      </c>
      <c r="J1053" s="3">
        <v>1</v>
      </c>
      <c r="K1053" s="2">
        <v>23</v>
      </c>
      <c r="L1053" s="3" t="s">
        <v>31</v>
      </c>
      <c r="M1053" s="4">
        <v>42733</v>
      </c>
      <c r="N1053" s="3">
        <v>10.32</v>
      </c>
    </row>
    <row r="1054" spans="1:14" x14ac:dyDescent="0.25">
      <c r="A1054" s="2">
        <v>1053</v>
      </c>
      <c r="B1054" s="3">
        <v>13511895</v>
      </c>
      <c r="C1054" s="2" t="s">
        <v>286</v>
      </c>
      <c r="D1054" s="3">
        <v>2</v>
      </c>
      <c r="E1054" s="2">
        <v>76</v>
      </c>
      <c r="F1054" s="2" t="str">
        <f>""</f>
        <v/>
      </c>
      <c r="G1054" s="2" t="str">
        <f>"13511895"</f>
        <v>13511895</v>
      </c>
      <c r="I1054">
        <v>5</v>
      </c>
      <c r="J1054" s="3">
        <v>1</v>
      </c>
      <c r="K1054" s="2">
        <v>23</v>
      </c>
      <c r="L1054" s="3" t="s">
        <v>31</v>
      </c>
      <c r="M1054" s="4">
        <v>42733</v>
      </c>
      <c r="N1054" s="3">
        <v>10.32</v>
      </c>
    </row>
    <row r="1055" spans="1:14" x14ac:dyDescent="0.25">
      <c r="A1055" s="2">
        <v>1054</v>
      </c>
      <c r="B1055" s="3">
        <v>13511897</v>
      </c>
      <c r="C1055" s="2" t="s">
        <v>286</v>
      </c>
      <c r="D1055" s="3">
        <v>2</v>
      </c>
      <c r="E1055" s="2">
        <v>76</v>
      </c>
      <c r="F1055" s="2" t="str">
        <f>""</f>
        <v/>
      </c>
      <c r="G1055" s="2" t="str">
        <f>"13511897"</f>
        <v>13511897</v>
      </c>
      <c r="I1055">
        <v>5</v>
      </c>
      <c r="J1055" s="3">
        <v>1</v>
      </c>
      <c r="K1055" s="2">
        <v>23</v>
      </c>
      <c r="L1055" s="3" t="s">
        <v>31</v>
      </c>
      <c r="M1055" s="4">
        <v>42733</v>
      </c>
      <c r="N1055" s="3">
        <v>10.32</v>
      </c>
    </row>
    <row r="1056" spans="1:14" x14ac:dyDescent="0.25">
      <c r="A1056" s="2">
        <v>1055</v>
      </c>
      <c r="B1056" s="3">
        <v>13511898</v>
      </c>
      <c r="C1056" s="2" t="s">
        <v>286</v>
      </c>
      <c r="D1056" s="3">
        <v>2</v>
      </c>
      <c r="E1056" s="2">
        <v>76</v>
      </c>
      <c r="F1056" s="2" t="str">
        <f>""</f>
        <v/>
      </c>
      <c r="G1056" s="2" t="str">
        <f>"13511898"</f>
        <v>13511898</v>
      </c>
      <c r="I1056">
        <v>5</v>
      </c>
      <c r="J1056" s="3">
        <v>1</v>
      </c>
      <c r="K1056" s="2">
        <v>23</v>
      </c>
      <c r="L1056" s="3" t="s">
        <v>31</v>
      </c>
      <c r="M1056" s="4">
        <v>42733</v>
      </c>
      <c r="N1056" s="3">
        <v>10.32</v>
      </c>
    </row>
    <row r="1057" spans="1:14" x14ac:dyDescent="0.25">
      <c r="A1057" s="2">
        <v>1056</v>
      </c>
      <c r="B1057" s="3">
        <v>13511899</v>
      </c>
      <c r="C1057" s="2" t="s">
        <v>286</v>
      </c>
      <c r="D1057" s="3">
        <v>2</v>
      </c>
      <c r="E1057" s="2">
        <v>76</v>
      </c>
      <c r="F1057" s="2" t="str">
        <f>""</f>
        <v/>
      </c>
      <c r="G1057" s="2" t="str">
        <f>"13511899"</f>
        <v>13511899</v>
      </c>
      <c r="I1057">
        <v>5</v>
      </c>
      <c r="J1057" s="3">
        <v>1</v>
      </c>
      <c r="K1057" s="2">
        <v>23</v>
      </c>
      <c r="L1057" s="3" t="s">
        <v>31</v>
      </c>
      <c r="M1057" s="4">
        <v>42733</v>
      </c>
      <c r="N1057" s="3">
        <v>10.32</v>
      </c>
    </row>
    <row r="1058" spans="1:14" x14ac:dyDescent="0.25">
      <c r="A1058" s="2">
        <v>1057</v>
      </c>
      <c r="B1058" s="3">
        <v>13511900</v>
      </c>
      <c r="C1058" s="2" t="s">
        <v>286</v>
      </c>
      <c r="D1058" s="3">
        <v>2</v>
      </c>
      <c r="E1058" s="2">
        <v>76</v>
      </c>
      <c r="F1058" s="2" t="str">
        <f>""</f>
        <v/>
      </c>
      <c r="G1058" s="2" t="str">
        <f>"13511900"</f>
        <v>13511900</v>
      </c>
      <c r="I1058">
        <v>5</v>
      </c>
      <c r="J1058" s="3">
        <v>1</v>
      </c>
      <c r="K1058" s="2">
        <v>23</v>
      </c>
      <c r="L1058" s="3" t="s">
        <v>31</v>
      </c>
      <c r="M1058" s="4">
        <v>42733</v>
      </c>
      <c r="N1058" s="3">
        <v>10.32</v>
      </c>
    </row>
    <row r="1059" spans="1:14" x14ac:dyDescent="0.25">
      <c r="A1059" s="2">
        <v>1058</v>
      </c>
      <c r="B1059" s="3">
        <v>13511901</v>
      </c>
      <c r="C1059" s="2" t="s">
        <v>286</v>
      </c>
      <c r="D1059" s="3">
        <v>2</v>
      </c>
      <c r="E1059" s="2">
        <v>76</v>
      </c>
      <c r="F1059" s="2" t="str">
        <f>""</f>
        <v/>
      </c>
      <c r="G1059" s="2" t="str">
        <f>"13511901"</f>
        <v>13511901</v>
      </c>
      <c r="I1059">
        <v>5</v>
      </c>
      <c r="J1059" s="3">
        <v>1</v>
      </c>
      <c r="K1059" s="2">
        <v>23</v>
      </c>
      <c r="L1059" s="3" t="s">
        <v>31</v>
      </c>
      <c r="M1059" s="4">
        <v>42733</v>
      </c>
      <c r="N1059" s="3">
        <v>10.32</v>
      </c>
    </row>
    <row r="1060" spans="1:14" x14ac:dyDescent="0.25">
      <c r="A1060" s="2">
        <v>1059</v>
      </c>
      <c r="B1060" s="3">
        <v>13511878</v>
      </c>
      <c r="C1060" s="2" t="s">
        <v>286</v>
      </c>
      <c r="D1060" s="3">
        <v>2</v>
      </c>
      <c r="E1060" s="2">
        <v>76</v>
      </c>
      <c r="F1060" s="2" t="str">
        <f>""</f>
        <v/>
      </c>
      <c r="G1060" s="2" t="str">
        <f>"13511878"</f>
        <v>13511878</v>
      </c>
      <c r="I1060">
        <v>5</v>
      </c>
      <c r="J1060" s="3">
        <v>1</v>
      </c>
      <c r="K1060" s="2">
        <v>23</v>
      </c>
      <c r="L1060" s="3" t="s">
        <v>31</v>
      </c>
      <c r="M1060" s="4">
        <v>42733</v>
      </c>
      <c r="N1060" s="3">
        <v>10.32</v>
      </c>
    </row>
    <row r="1061" spans="1:14" x14ac:dyDescent="0.25">
      <c r="A1061" s="2">
        <v>1060</v>
      </c>
      <c r="B1061" s="3">
        <v>13511902</v>
      </c>
      <c r="C1061" s="2" t="s">
        <v>286</v>
      </c>
      <c r="D1061" s="3">
        <v>2</v>
      </c>
      <c r="E1061" s="2">
        <v>76</v>
      </c>
      <c r="F1061" s="2" t="str">
        <f>""</f>
        <v/>
      </c>
      <c r="G1061" s="2" t="str">
        <f>"13511902"</f>
        <v>13511902</v>
      </c>
      <c r="I1061">
        <v>5</v>
      </c>
      <c r="J1061" s="3">
        <v>1</v>
      </c>
      <c r="K1061" s="2">
        <v>23</v>
      </c>
      <c r="L1061" s="3" t="s">
        <v>31</v>
      </c>
      <c r="M1061" s="4">
        <v>42733</v>
      </c>
      <c r="N1061" s="3">
        <v>10.32</v>
      </c>
    </row>
    <row r="1062" spans="1:14" x14ac:dyDescent="0.25">
      <c r="A1062" s="2">
        <v>1061</v>
      </c>
      <c r="B1062" s="3">
        <v>13511903</v>
      </c>
      <c r="C1062" s="2" t="s">
        <v>286</v>
      </c>
      <c r="D1062" s="3">
        <v>2</v>
      </c>
      <c r="E1062" s="2">
        <v>76</v>
      </c>
      <c r="F1062" s="2" t="str">
        <f>""</f>
        <v/>
      </c>
      <c r="G1062" s="2" t="str">
        <f>"13511903"</f>
        <v>13511903</v>
      </c>
      <c r="I1062">
        <v>5</v>
      </c>
      <c r="J1062" s="3">
        <v>1</v>
      </c>
      <c r="K1062" s="2">
        <v>23</v>
      </c>
      <c r="L1062" s="3" t="s">
        <v>31</v>
      </c>
      <c r="M1062" s="4">
        <v>42733</v>
      </c>
      <c r="N1062" s="3">
        <v>10.32</v>
      </c>
    </row>
    <row r="1063" spans="1:14" x14ac:dyDescent="0.25">
      <c r="A1063" s="2">
        <v>1062</v>
      </c>
      <c r="B1063" s="3">
        <v>13511904</v>
      </c>
      <c r="C1063" s="2" t="s">
        <v>286</v>
      </c>
      <c r="D1063" s="3">
        <v>2</v>
      </c>
      <c r="E1063" s="2">
        <v>76</v>
      </c>
      <c r="F1063" s="2" t="str">
        <f>""</f>
        <v/>
      </c>
      <c r="G1063" s="2" t="str">
        <f>"13511904"</f>
        <v>13511904</v>
      </c>
      <c r="I1063">
        <v>5</v>
      </c>
      <c r="J1063" s="3">
        <v>1</v>
      </c>
      <c r="K1063" s="2">
        <v>23</v>
      </c>
      <c r="L1063" s="3" t="s">
        <v>31</v>
      </c>
      <c r="M1063" s="4">
        <v>42733</v>
      </c>
      <c r="N1063" s="3">
        <v>10.32</v>
      </c>
    </row>
    <row r="1064" spans="1:14" x14ac:dyDescent="0.25">
      <c r="A1064" s="2">
        <v>1063</v>
      </c>
      <c r="B1064" s="3">
        <v>13511905</v>
      </c>
      <c r="C1064" s="2" t="s">
        <v>286</v>
      </c>
      <c r="D1064" s="3">
        <v>2</v>
      </c>
      <c r="E1064" s="2">
        <v>76</v>
      </c>
      <c r="F1064" s="2" t="str">
        <f>""</f>
        <v/>
      </c>
      <c r="G1064" s="2" t="str">
        <f>"13511905"</f>
        <v>13511905</v>
      </c>
      <c r="I1064">
        <v>5</v>
      </c>
      <c r="J1064" s="3">
        <v>1</v>
      </c>
      <c r="K1064" s="2">
        <v>23</v>
      </c>
      <c r="L1064" s="3" t="s">
        <v>31</v>
      </c>
      <c r="M1064" s="4">
        <v>42733</v>
      </c>
      <c r="N1064" s="3">
        <v>10.32</v>
      </c>
    </row>
    <row r="1065" spans="1:14" x14ac:dyDescent="0.25">
      <c r="A1065" s="2">
        <v>1064</v>
      </c>
      <c r="B1065" s="3">
        <v>13511906</v>
      </c>
      <c r="C1065" s="2" t="s">
        <v>286</v>
      </c>
      <c r="D1065" s="3">
        <v>2</v>
      </c>
      <c r="E1065" s="2">
        <v>76</v>
      </c>
      <c r="F1065" s="2" t="str">
        <f>""</f>
        <v/>
      </c>
      <c r="G1065" s="2" t="str">
        <f>"13511906"</f>
        <v>13511906</v>
      </c>
      <c r="I1065">
        <v>5</v>
      </c>
      <c r="J1065" s="3">
        <v>1</v>
      </c>
      <c r="K1065" s="2">
        <v>23</v>
      </c>
      <c r="L1065" s="3" t="s">
        <v>31</v>
      </c>
      <c r="M1065" s="4">
        <v>42733</v>
      </c>
      <c r="N1065" s="3">
        <v>10.32</v>
      </c>
    </row>
    <row r="1066" spans="1:14" x14ac:dyDescent="0.25">
      <c r="A1066" s="2">
        <v>1065</v>
      </c>
      <c r="B1066" s="3">
        <v>13511907</v>
      </c>
      <c r="C1066" s="2" t="s">
        <v>286</v>
      </c>
      <c r="D1066" s="3">
        <v>2</v>
      </c>
      <c r="E1066" s="2">
        <v>76</v>
      </c>
      <c r="F1066" s="2" t="str">
        <f>""</f>
        <v/>
      </c>
      <c r="G1066" s="2" t="str">
        <f>"13511907"</f>
        <v>13511907</v>
      </c>
      <c r="I1066">
        <v>5</v>
      </c>
      <c r="J1066" s="3">
        <v>1</v>
      </c>
      <c r="K1066" s="2">
        <v>23</v>
      </c>
      <c r="L1066" s="3" t="s">
        <v>31</v>
      </c>
      <c r="M1066" s="4">
        <v>42733</v>
      </c>
      <c r="N1066" s="3">
        <v>10.32</v>
      </c>
    </row>
    <row r="1067" spans="1:14" x14ac:dyDescent="0.25">
      <c r="A1067" s="2">
        <v>1066</v>
      </c>
      <c r="B1067" s="3">
        <v>13511908</v>
      </c>
      <c r="C1067" s="2" t="s">
        <v>286</v>
      </c>
      <c r="D1067" s="3">
        <v>2</v>
      </c>
      <c r="E1067" s="2">
        <v>76</v>
      </c>
      <c r="F1067" s="2" t="str">
        <f>""</f>
        <v/>
      </c>
      <c r="G1067" s="2" t="str">
        <f>"13511908"</f>
        <v>13511908</v>
      </c>
      <c r="I1067">
        <v>5</v>
      </c>
      <c r="J1067" s="3">
        <v>1</v>
      </c>
      <c r="K1067" s="2">
        <v>23</v>
      </c>
      <c r="L1067" s="3" t="s">
        <v>31</v>
      </c>
      <c r="M1067" s="4">
        <v>42733</v>
      </c>
      <c r="N1067" s="3">
        <v>10.32</v>
      </c>
    </row>
    <row r="1068" spans="1:14" x14ac:dyDescent="0.25">
      <c r="A1068" s="2">
        <v>1067</v>
      </c>
      <c r="B1068" s="3">
        <v>13511909</v>
      </c>
      <c r="C1068" s="2" t="s">
        <v>286</v>
      </c>
      <c r="D1068" s="3">
        <v>2</v>
      </c>
      <c r="E1068" s="2">
        <v>76</v>
      </c>
      <c r="F1068" s="2" t="str">
        <f>""</f>
        <v/>
      </c>
      <c r="G1068" s="2" t="str">
        <f>"13511909"</f>
        <v>13511909</v>
      </c>
      <c r="I1068">
        <v>5</v>
      </c>
      <c r="J1068" s="3">
        <v>1</v>
      </c>
      <c r="K1068" s="2">
        <v>23</v>
      </c>
      <c r="L1068" s="3" t="s">
        <v>31</v>
      </c>
      <c r="M1068" s="4">
        <v>42733</v>
      </c>
      <c r="N1068" s="3">
        <v>10.32</v>
      </c>
    </row>
    <row r="1069" spans="1:14" x14ac:dyDescent="0.25">
      <c r="A1069" s="2">
        <v>1068</v>
      </c>
      <c r="B1069" s="3">
        <v>13511910</v>
      </c>
      <c r="C1069" s="2" t="s">
        <v>286</v>
      </c>
      <c r="D1069" s="3">
        <v>2</v>
      </c>
      <c r="E1069" s="2">
        <v>76</v>
      </c>
      <c r="F1069" s="2" t="str">
        <f>""</f>
        <v/>
      </c>
      <c r="G1069" s="2" t="str">
        <f>"13511910"</f>
        <v>13511910</v>
      </c>
      <c r="I1069">
        <v>5</v>
      </c>
      <c r="J1069" s="3">
        <v>1</v>
      </c>
      <c r="K1069" s="2">
        <v>23</v>
      </c>
      <c r="L1069" s="3" t="s">
        <v>31</v>
      </c>
      <c r="M1069" s="4">
        <v>42733</v>
      </c>
      <c r="N1069" s="3">
        <v>10.32</v>
      </c>
    </row>
    <row r="1070" spans="1:14" x14ac:dyDescent="0.25">
      <c r="A1070" s="2">
        <v>1069</v>
      </c>
      <c r="B1070" s="3">
        <v>13511911</v>
      </c>
      <c r="C1070" s="2" t="s">
        <v>286</v>
      </c>
      <c r="D1070" s="3">
        <v>2</v>
      </c>
      <c r="E1070" s="2">
        <v>76</v>
      </c>
      <c r="F1070" s="2" t="str">
        <f>""</f>
        <v/>
      </c>
      <c r="G1070" s="2" t="str">
        <f>"13511911"</f>
        <v>13511911</v>
      </c>
      <c r="I1070">
        <v>5</v>
      </c>
      <c r="J1070" s="3">
        <v>1</v>
      </c>
      <c r="K1070" s="2">
        <v>23</v>
      </c>
      <c r="L1070" s="3" t="s">
        <v>31</v>
      </c>
      <c r="M1070" s="4">
        <v>42733</v>
      </c>
      <c r="N1070" s="3">
        <v>10.32</v>
      </c>
    </row>
    <row r="1071" spans="1:14" x14ac:dyDescent="0.25">
      <c r="A1071" s="2">
        <v>1070</v>
      </c>
      <c r="B1071" s="3">
        <v>13511912</v>
      </c>
      <c r="C1071" s="2" t="s">
        <v>286</v>
      </c>
      <c r="D1071" s="3">
        <v>2</v>
      </c>
      <c r="E1071" s="2">
        <v>76</v>
      </c>
      <c r="F1071" s="2" t="str">
        <f>""</f>
        <v/>
      </c>
      <c r="G1071" s="2" t="str">
        <f>"13511912"</f>
        <v>13511912</v>
      </c>
      <c r="I1071">
        <v>5</v>
      </c>
      <c r="J1071" s="3">
        <v>1</v>
      </c>
      <c r="K1071" s="2">
        <v>23</v>
      </c>
      <c r="L1071" s="3" t="s">
        <v>31</v>
      </c>
      <c r="M1071" s="4">
        <v>42733</v>
      </c>
      <c r="N1071" s="3">
        <v>10.32</v>
      </c>
    </row>
    <row r="1072" spans="1:14" x14ac:dyDescent="0.25">
      <c r="A1072" s="2">
        <v>1071</v>
      </c>
      <c r="B1072" s="3">
        <v>13511913</v>
      </c>
      <c r="C1072" s="2" t="s">
        <v>286</v>
      </c>
      <c r="D1072" s="3">
        <v>2</v>
      </c>
      <c r="E1072" s="2">
        <v>76</v>
      </c>
      <c r="F1072" s="2" t="str">
        <f>""</f>
        <v/>
      </c>
      <c r="G1072" s="2" t="str">
        <f>"13511913"</f>
        <v>13511913</v>
      </c>
      <c r="I1072">
        <v>5</v>
      </c>
      <c r="J1072" s="3">
        <v>1</v>
      </c>
      <c r="K1072" s="2">
        <v>23</v>
      </c>
      <c r="L1072" s="3" t="s">
        <v>31</v>
      </c>
      <c r="M1072" s="4">
        <v>42733</v>
      </c>
      <c r="N1072" s="3">
        <v>10.32</v>
      </c>
    </row>
    <row r="1073" spans="1:14" x14ac:dyDescent="0.25">
      <c r="A1073" s="2">
        <v>1072</v>
      </c>
      <c r="B1073" s="3">
        <v>13511914</v>
      </c>
      <c r="C1073" s="2" t="s">
        <v>286</v>
      </c>
      <c r="D1073" s="3">
        <v>2</v>
      </c>
      <c r="E1073" s="2">
        <v>76</v>
      </c>
      <c r="F1073" s="2" t="str">
        <f>""</f>
        <v/>
      </c>
      <c r="G1073" s="2" t="str">
        <f>"13511914"</f>
        <v>13511914</v>
      </c>
      <c r="I1073">
        <v>5</v>
      </c>
      <c r="J1073" s="3">
        <v>1</v>
      </c>
      <c r="K1073" s="2">
        <v>23</v>
      </c>
      <c r="L1073" s="3" t="s">
        <v>31</v>
      </c>
      <c r="M1073" s="4">
        <v>42733</v>
      </c>
      <c r="N1073" s="3">
        <v>10.32</v>
      </c>
    </row>
    <row r="1074" spans="1:14" x14ac:dyDescent="0.25">
      <c r="A1074" s="2">
        <v>1073</v>
      </c>
      <c r="B1074" s="3">
        <v>13511915</v>
      </c>
      <c r="C1074" s="2" t="s">
        <v>286</v>
      </c>
      <c r="D1074" s="3">
        <v>2</v>
      </c>
      <c r="E1074" s="2">
        <v>76</v>
      </c>
      <c r="F1074" s="2" t="str">
        <f>""</f>
        <v/>
      </c>
      <c r="G1074" s="2" t="str">
        <f>"13511915"</f>
        <v>13511915</v>
      </c>
      <c r="I1074">
        <v>5</v>
      </c>
      <c r="J1074" s="3">
        <v>1</v>
      </c>
      <c r="K1074" s="2">
        <v>23</v>
      </c>
      <c r="L1074" s="3" t="s">
        <v>31</v>
      </c>
      <c r="M1074" s="4">
        <v>42733</v>
      </c>
      <c r="N1074" s="3">
        <v>10.32</v>
      </c>
    </row>
    <row r="1075" spans="1:14" x14ac:dyDescent="0.25">
      <c r="A1075" s="2">
        <v>1074</v>
      </c>
      <c r="B1075" s="3">
        <v>13511916</v>
      </c>
      <c r="C1075" s="2" t="s">
        <v>286</v>
      </c>
      <c r="D1075" s="3">
        <v>2</v>
      </c>
      <c r="E1075" s="2">
        <v>76</v>
      </c>
      <c r="F1075" s="2" t="str">
        <f>""</f>
        <v/>
      </c>
      <c r="G1075" s="2" t="str">
        <f>"13511916"</f>
        <v>13511916</v>
      </c>
      <c r="I1075">
        <v>5</v>
      </c>
      <c r="J1075" s="3">
        <v>1</v>
      </c>
      <c r="K1075" s="2">
        <v>23</v>
      </c>
      <c r="L1075" s="3" t="s">
        <v>31</v>
      </c>
      <c r="M1075" s="4">
        <v>42733</v>
      </c>
      <c r="N1075" s="3">
        <v>10.32</v>
      </c>
    </row>
    <row r="1076" spans="1:14" x14ac:dyDescent="0.25">
      <c r="A1076" s="2">
        <v>1075</v>
      </c>
      <c r="B1076" s="3">
        <v>13511917</v>
      </c>
      <c r="C1076" s="2" t="s">
        <v>286</v>
      </c>
      <c r="D1076" s="3">
        <v>2</v>
      </c>
      <c r="E1076" s="2">
        <v>76</v>
      </c>
      <c r="F1076" s="2" t="str">
        <f>""</f>
        <v/>
      </c>
      <c r="G1076" s="2" t="str">
        <f>"13511917"</f>
        <v>13511917</v>
      </c>
      <c r="I1076">
        <v>5</v>
      </c>
      <c r="J1076" s="3">
        <v>1</v>
      </c>
      <c r="K1076" s="2">
        <v>23</v>
      </c>
      <c r="L1076" s="3" t="s">
        <v>31</v>
      </c>
      <c r="M1076" s="4">
        <v>42733</v>
      </c>
      <c r="N1076" s="3">
        <v>10.32</v>
      </c>
    </row>
    <row r="1077" spans="1:14" x14ac:dyDescent="0.25">
      <c r="A1077" s="2">
        <v>1076</v>
      </c>
      <c r="B1077" s="3">
        <v>13511918</v>
      </c>
      <c r="C1077" s="2" t="s">
        <v>285</v>
      </c>
      <c r="D1077" s="3">
        <v>2</v>
      </c>
      <c r="E1077" s="2">
        <v>76</v>
      </c>
      <c r="F1077" s="2" t="str">
        <f>""</f>
        <v/>
      </c>
      <c r="G1077" s="2" t="str">
        <f>"13511918"</f>
        <v>13511918</v>
      </c>
      <c r="I1077">
        <v>5</v>
      </c>
      <c r="J1077" s="3">
        <v>1</v>
      </c>
      <c r="K1077" s="2">
        <v>23</v>
      </c>
      <c r="L1077" s="3" t="s">
        <v>31</v>
      </c>
      <c r="M1077" s="4">
        <v>42733</v>
      </c>
      <c r="N1077" s="3">
        <v>38.72</v>
      </c>
    </row>
    <row r="1078" spans="1:14" x14ac:dyDescent="0.25">
      <c r="A1078" s="2">
        <v>1077</v>
      </c>
      <c r="B1078" s="3">
        <v>13511919</v>
      </c>
      <c r="C1078" s="2" t="s">
        <v>285</v>
      </c>
      <c r="D1078" s="3">
        <v>2</v>
      </c>
      <c r="E1078" s="2">
        <v>76</v>
      </c>
      <c r="F1078" s="2" t="str">
        <f>""</f>
        <v/>
      </c>
      <c r="G1078" s="2" t="str">
        <f>"13511919"</f>
        <v>13511919</v>
      </c>
      <c r="I1078">
        <v>5</v>
      </c>
      <c r="J1078" s="3">
        <v>1</v>
      </c>
      <c r="K1078" s="2">
        <v>23</v>
      </c>
      <c r="L1078" s="3" t="s">
        <v>31</v>
      </c>
      <c r="M1078" s="4">
        <v>42733</v>
      </c>
      <c r="N1078" s="3">
        <v>38.9</v>
      </c>
    </row>
    <row r="1079" spans="1:14" x14ac:dyDescent="0.25">
      <c r="A1079" s="2">
        <v>1078</v>
      </c>
      <c r="B1079" s="3">
        <v>13511920</v>
      </c>
      <c r="C1079" s="2" t="s">
        <v>285</v>
      </c>
      <c r="D1079" s="3">
        <v>2</v>
      </c>
      <c r="E1079" s="2">
        <v>76</v>
      </c>
      <c r="F1079" s="2" t="str">
        <f>""</f>
        <v/>
      </c>
      <c r="G1079" s="2" t="str">
        <f>"13511920"</f>
        <v>13511920</v>
      </c>
      <c r="I1079">
        <v>5</v>
      </c>
      <c r="J1079" s="3">
        <v>1</v>
      </c>
      <c r="K1079" s="2">
        <v>23</v>
      </c>
      <c r="L1079" s="3" t="s">
        <v>31</v>
      </c>
      <c r="M1079" s="4">
        <v>42733</v>
      </c>
      <c r="N1079" s="3">
        <v>38.9</v>
      </c>
    </row>
    <row r="1080" spans="1:14" x14ac:dyDescent="0.25">
      <c r="A1080" s="2">
        <v>1079</v>
      </c>
      <c r="B1080" s="3">
        <v>13511921</v>
      </c>
      <c r="C1080" s="2" t="s">
        <v>285</v>
      </c>
      <c r="D1080" s="3">
        <v>2</v>
      </c>
      <c r="E1080" s="2">
        <v>76</v>
      </c>
      <c r="F1080" s="2" t="str">
        <f>""</f>
        <v/>
      </c>
      <c r="G1080" s="2" t="str">
        <f>"13511921"</f>
        <v>13511921</v>
      </c>
      <c r="I1080">
        <v>5</v>
      </c>
      <c r="J1080" s="3">
        <v>1</v>
      </c>
      <c r="K1080" s="2">
        <v>23</v>
      </c>
      <c r="L1080" s="3" t="s">
        <v>31</v>
      </c>
      <c r="M1080" s="4">
        <v>42733</v>
      </c>
      <c r="N1080" s="3">
        <v>38.9</v>
      </c>
    </row>
    <row r="1081" spans="1:14" x14ac:dyDescent="0.25">
      <c r="A1081" s="2">
        <v>1080</v>
      </c>
      <c r="B1081" s="3">
        <v>13511922</v>
      </c>
      <c r="C1081" s="2" t="s">
        <v>285</v>
      </c>
      <c r="D1081" s="3">
        <v>2</v>
      </c>
      <c r="E1081" s="2">
        <v>76</v>
      </c>
      <c r="F1081" s="2" t="str">
        <f>""</f>
        <v/>
      </c>
      <c r="G1081" s="2" t="str">
        <f>"13511922"</f>
        <v>13511922</v>
      </c>
      <c r="I1081">
        <v>5</v>
      </c>
      <c r="J1081" s="3">
        <v>1</v>
      </c>
      <c r="K1081" s="2">
        <v>23</v>
      </c>
      <c r="L1081" s="3" t="s">
        <v>31</v>
      </c>
      <c r="M1081" s="4">
        <v>42733</v>
      </c>
      <c r="N1081" s="3">
        <v>38.9</v>
      </c>
    </row>
    <row r="1082" spans="1:14" x14ac:dyDescent="0.25">
      <c r="A1082" s="2">
        <v>1081</v>
      </c>
      <c r="B1082" s="3">
        <v>13511923</v>
      </c>
      <c r="C1082" s="2" t="s">
        <v>285</v>
      </c>
      <c r="D1082" s="3">
        <v>2</v>
      </c>
      <c r="E1082" s="2">
        <v>76</v>
      </c>
      <c r="F1082" s="2" t="str">
        <f>""</f>
        <v/>
      </c>
      <c r="G1082" s="2" t="str">
        <f>"13511923"</f>
        <v>13511923</v>
      </c>
      <c r="I1082">
        <v>5</v>
      </c>
      <c r="J1082" s="3">
        <v>1</v>
      </c>
      <c r="K1082" s="2">
        <v>23</v>
      </c>
      <c r="L1082" s="3" t="s">
        <v>31</v>
      </c>
      <c r="M1082" s="4">
        <v>42733</v>
      </c>
      <c r="N1082" s="3">
        <v>38.9</v>
      </c>
    </row>
    <row r="1083" spans="1:14" x14ac:dyDescent="0.25">
      <c r="A1083" s="2">
        <v>1082</v>
      </c>
      <c r="B1083" s="3">
        <v>13511924</v>
      </c>
      <c r="C1083" s="2" t="s">
        <v>285</v>
      </c>
      <c r="D1083" s="3">
        <v>2</v>
      </c>
      <c r="E1083" s="2">
        <v>76</v>
      </c>
      <c r="F1083" s="2" t="str">
        <f>""</f>
        <v/>
      </c>
      <c r="G1083" s="2" t="str">
        <f>"13511924"</f>
        <v>13511924</v>
      </c>
      <c r="I1083">
        <v>5</v>
      </c>
      <c r="J1083" s="3">
        <v>1</v>
      </c>
      <c r="K1083" s="2">
        <v>23</v>
      </c>
      <c r="L1083" s="3" t="s">
        <v>31</v>
      </c>
      <c r="M1083" s="4">
        <v>42733</v>
      </c>
      <c r="N1083" s="3">
        <v>38.9</v>
      </c>
    </row>
    <row r="1084" spans="1:14" x14ac:dyDescent="0.25">
      <c r="A1084" s="2">
        <v>1083</v>
      </c>
      <c r="B1084" s="3">
        <v>13511925</v>
      </c>
      <c r="C1084" s="2" t="s">
        <v>285</v>
      </c>
      <c r="D1084" s="3">
        <v>2</v>
      </c>
      <c r="E1084" s="2">
        <v>76</v>
      </c>
      <c r="F1084" s="2" t="str">
        <f>""</f>
        <v/>
      </c>
      <c r="G1084" s="2" t="str">
        <f>"13511925"</f>
        <v>13511925</v>
      </c>
      <c r="I1084">
        <v>5</v>
      </c>
      <c r="J1084" s="3">
        <v>1</v>
      </c>
      <c r="K1084" s="2">
        <v>23</v>
      </c>
      <c r="L1084" s="3" t="s">
        <v>31</v>
      </c>
      <c r="M1084" s="4">
        <v>42733</v>
      </c>
      <c r="N1084" s="3">
        <v>38.9</v>
      </c>
    </row>
    <row r="1085" spans="1:14" x14ac:dyDescent="0.25">
      <c r="A1085" s="2">
        <v>1084</v>
      </c>
      <c r="B1085" s="3">
        <v>13511926</v>
      </c>
      <c r="C1085" s="2" t="s">
        <v>285</v>
      </c>
      <c r="D1085" s="3">
        <v>2</v>
      </c>
      <c r="E1085" s="2">
        <v>76</v>
      </c>
      <c r="F1085" s="2" t="str">
        <f>""</f>
        <v/>
      </c>
      <c r="G1085" s="2" t="str">
        <f>"13511926"</f>
        <v>13511926</v>
      </c>
      <c r="I1085">
        <v>5</v>
      </c>
      <c r="J1085" s="3">
        <v>1</v>
      </c>
      <c r="K1085" s="2">
        <v>23</v>
      </c>
      <c r="L1085" s="3" t="s">
        <v>31</v>
      </c>
      <c r="M1085" s="4">
        <v>42733</v>
      </c>
      <c r="N1085" s="3">
        <v>38.9</v>
      </c>
    </row>
    <row r="1086" spans="1:14" x14ac:dyDescent="0.25">
      <c r="A1086" s="2">
        <v>1085</v>
      </c>
      <c r="B1086" s="3">
        <v>13511927</v>
      </c>
      <c r="C1086" s="2" t="s">
        <v>285</v>
      </c>
      <c r="D1086" s="3">
        <v>2</v>
      </c>
      <c r="E1086" s="2">
        <v>76</v>
      </c>
      <c r="F1086" s="2" t="str">
        <f>""</f>
        <v/>
      </c>
      <c r="G1086" s="2" t="str">
        <f>"13511927"</f>
        <v>13511927</v>
      </c>
      <c r="I1086">
        <v>5</v>
      </c>
      <c r="J1086" s="3">
        <v>1</v>
      </c>
      <c r="K1086" s="2">
        <v>23</v>
      </c>
      <c r="L1086" s="3" t="s">
        <v>31</v>
      </c>
      <c r="M1086" s="4">
        <v>42733</v>
      </c>
      <c r="N1086" s="3">
        <v>38.9</v>
      </c>
    </row>
    <row r="1087" spans="1:14" x14ac:dyDescent="0.25">
      <c r="A1087" s="2">
        <v>1086</v>
      </c>
      <c r="B1087" s="3">
        <v>13511928</v>
      </c>
      <c r="C1087" s="2" t="s">
        <v>285</v>
      </c>
      <c r="D1087" s="3">
        <v>2</v>
      </c>
      <c r="E1087" s="2">
        <v>76</v>
      </c>
      <c r="F1087" s="2" t="str">
        <f>""</f>
        <v/>
      </c>
      <c r="G1087" s="2" t="str">
        <f>"13511928"</f>
        <v>13511928</v>
      </c>
      <c r="I1087">
        <v>5</v>
      </c>
      <c r="J1087" s="3">
        <v>1</v>
      </c>
      <c r="K1087" s="2">
        <v>23</v>
      </c>
      <c r="L1087" s="3" t="s">
        <v>31</v>
      </c>
      <c r="M1087" s="4">
        <v>42733</v>
      </c>
      <c r="N1087" s="3">
        <v>38.9</v>
      </c>
    </row>
    <row r="1088" spans="1:14" x14ac:dyDescent="0.25">
      <c r="A1088" s="2">
        <v>1087</v>
      </c>
      <c r="B1088" s="3">
        <v>13511929</v>
      </c>
      <c r="C1088" s="2" t="s">
        <v>285</v>
      </c>
      <c r="D1088" s="3">
        <v>2</v>
      </c>
      <c r="E1088" s="2">
        <v>76</v>
      </c>
      <c r="F1088" s="2" t="str">
        <f>""</f>
        <v/>
      </c>
      <c r="G1088" s="2" t="str">
        <f>"13511929"</f>
        <v>13511929</v>
      </c>
      <c r="I1088">
        <v>5</v>
      </c>
      <c r="J1088" s="3">
        <v>1</v>
      </c>
      <c r="K1088" s="2">
        <v>23</v>
      </c>
      <c r="L1088" s="3" t="s">
        <v>31</v>
      </c>
      <c r="M1088" s="4">
        <v>42733</v>
      </c>
      <c r="N1088" s="3">
        <v>38.9</v>
      </c>
    </row>
    <row r="1089" spans="1:14" x14ac:dyDescent="0.25">
      <c r="A1089" s="2">
        <v>1088</v>
      </c>
      <c r="B1089" s="3">
        <v>13511930</v>
      </c>
      <c r="C1089" s="2" t="s">
        <v>285</v>
      </c>
      <c r="D1089" s="3">
        <v>2</v>
      </c>
      <c r="E1089" s="2">
        <v>76</v>
      </c>
      <c r="F1089" s="2" t="str">
        <f>""</f>
        <v/>
      </c>
      <c r="G1089" s="2" t="str">
        <f>"13511930"</f>
        <v>13511930</v>
      </c>
      <c r="I1089">
        <v>5</v>
      </c>
      <c r="J1089" s="3">
        <v>1</v>
      </c>
      <c r="K1089" s="2">
        <v>23</v>
      </c>
      <c r="L1089" s="3" t="s">
        <v>31</v>
      </c>
      <c r="M1089" s="4">
        <v>42733</v>
      </c>
      <c r="N1089" s="3">
        <v>38.9</v>
      </c>
    </row>
    <row r="1090" spans="1:14" x14ac:dyDescent="0.25">
      <c r="A1090" s="2">
        <v>1089</v>
      </c>
      <c r="B1090" s="3">
        <v>13511931</v>
      </c>
      <c r="C1090" s="2" t="s">
        <v>285</v>
      </c>
      <c r="D1090" s="3">
        <v>2</v>
      </c>
      <c r="E1090" s="2">
        <v>76</v>
      </c>
      <c r="F1090" s="2" t="str">
        <f>""</f>
        <v/>
      </c>
      <c r="G1090" s="2" t="str">
        <f>"13511931"</f>
        <v>13511931</v>
      </c>
      <c r="I1090">
        <v>5</v>
      </c>
      <c r="J1090" s="3">
        <v>1</v>
      </c>
      <c r="K1090" s="2">
        <v>23</v>
      </c>
      <c r="L1090" s="3" t="s">
        <v>31</v>
      </c>
      <c r="M1090" s="4">
        <v>42733</v>
      </c>
      <c r="N1090" s="3">
        <v>38.9</v>
      </c>
    </row>
    <row r="1091" spans="1:14" x14ac:dyDescent="0.25">
      <c r="A1091" s="2">
        <v>1090</v>
      </c>
      <c r="B1091" s="3">
        <v>13511932</v>
      </c>
      <c r="C1091" s="2" t="s">
        <v>285</v>
      </c>
      <c r="D1091" s="3">
        <v>2</v>
      </c>
      <c r="E1091" s="2">
        <v>76</v>
      </c>
      <c r="F1091" s="2" t="str">
        <f>""</f>
        <v/>
      </c>
      <c r="G1091" s="2" t="str">
        <f>"13511932"</f>
        <v>13511932</v>
      </c>
      <c r="I1091">
        <v>5</v>
      </c>
      <c r="J1091" s="3">
        <v>1</v>
      </c>
      <c r="K1091" s="2">
        <v>23</v>
      </c>
      <c r="L1091" s="3" t="s">
        <v>31</v>
      </c>
      <c r="M1091" s="4">
        <v>42733</v>
      </c>
      <c r="N1091" s="3">
        <v>38.9</v>
      </c>
    </row>
    <row r="1092" spans="1:14" x14ac:dyDescent="0.25">
      <c r="A1092" s="2">
        <v>1091</v>
      </c>
      <c r="B1092" s="3">
        <v>13511934</v>
      </c>
      <c r="C1092" s="2" t="s">
        <v>285</v>
      </c>
      <c r="D1092" s="3">
        <v>2</v>
      </c>
      <c r="E1092" s="2">
        <v>76</v>
      </c>
      <c r="F1092" s="2" t="str">
        <f>""</f>
        <v/>
      </c>
      <c r="G1092" s="2" t="str">
        <f>"13511934"</f>
        <v>13511934</v>
      </c>
      <c r="I1092">
        <v>5</v>
      </c>
      <c r="J1092" s="3">
        <v>1</v>
      </c>
      <c r="K1092" s="2">
        <v>23</v>
      </c>
      <c r="L1092" s="3" t="s">
        <v>31</v>
      </c>
      <c r="M1092" s="4">
        <v>42733</v>
      </c>
      <c r="N1092" s="3">
        <v>38.9</v>
      </c>
    </row>
    <row r="1093" spans="1:14" x14ac:dyDescent="0.25">
      <c r="A1093" s="2">
        <v>1092</v>
      </c>
      <c r="B1093" s="3">
        <v>13511935</v>
      </c>
      <c r="C1093" s="2" t="s">
        <v>285</v>
      </c>
      <c r="D1093" s="3">
        <v>2</v>
      </c>
      <c r="E1093" s="2">
        <v>76</v>
      </c>
      <c r="F1093" s="2" t="str">
        <f>""</f>
        <v/>
      </c>
      <c r="G1093" s="2" t="str">
        <f>"13511935"</f>
        <v>13511935</v>
      </c>
      <c r="I1093">
        <v>5</v>
      </c>
      <c r="J1093" s="3">
        <v>1</v>
      </c>
      <c r="K1093" s="2">
        <v>23</v>
      </c>
      <c r="L1093" s="3" t="s">
        <v>31</v>
      </c>
      <c r="M1093" s="4">
        <v>42733</v>
      </c>
      <c r="N1093" s="3">
        <v>38.9</v>
      </c>
    </row>
    <row r="1094" spans="1:14" x14ac:dyDescent="0.25">
      <c r="A1094" s="2">
        <v>1093</v>
      </c>
      <c r="B1094" s="3">
        <v>13511936</v>
      </c>
      <c r="C1094" s="2" t="s">
        <v>285</v>
      </c>
      <c r="D1094" s="3">
        <v>2</v>
      </c>
      <c r="E1094" s="2">
        <v>76</v>
      </c>
      <c r="F1094" s="2" t="str">
        <f>""</f>
        <v/>
      </c>
      <c r="G1094" s="2" t="str">
        <f>"13511936"</f>
        <v>13511936</v>
      </c>
      <c r="I1094">
        <v>5</v>
      </c>
      <c r="J1094" s="3">
        <v>1</v>
      </c>
      <c r="K1094" s="2">
        <v>23</v>
      </c>
      <c r="L1094" s="3" t="s">
        <v>31</v>
      </c>
      <c r="M1094" s="4">
        <v>42733</v>
      </c>
      <c r="N1094" s="3">
        <v>38.9</v>
      </c>
    </row>
    <row r="1095" spans="1:14" x14ac:dyDescent="0.25">
      <c r="A1095" s="2">
        <v>1094</v>
      </c>
      <c r="B1095" s="3">
        <v>13511937</v>
      </c>
      <c r="C1095" s="2" t="s">
        <v>285</v>
      </c>
      <c r="D1095" s="3">
        <v>2</v>
      </c>
      <c r="E1095" s="2">
        <v>76</v>
      </c>
      <c r="F1095" s="2" t="str">
        <f>""</f>
        <v/>
      </c>
      <c r="G1095" s="2" t="str">
        <f>"13511937"</f>
        <v>13511937</v>
      </c>
      <c r="I1095">
        <v>5</v>
      </c>
      <c r="J1095" s="3">
        <v>1</v>
      </c>
      <c r="K1095" s="2">
        <v>23</v>
      </c>
      <c r="L1095" s="3" t="s">
        <v>31</v>
      </c>
      <c r="M1095" s="4">
        <v>42733</v>
      </c>
      <c r="N1095" s="3">
        <v>38.9</v>
      </c>
    </row>
    <row r="1096" spans="1:14" x14ac:dyDescent="0.25">
      <c r="A1096" s="2">
        <v>1095</v>
      </c>
      <c r="B1096" s="3">
        <v>19929790</v>
      </c>
      <c r="C1096" s="2" t="s">
        <v>196</v>
      </c>
      <c r="D1096" s="3">
        <v>1</v>
      </c>
      <c r="E1096" s="2">
        <v>42</v>
      </c>
      <c r="F1096" s="2" t="str">
        <f>"14-ac-115la"</f>
        <v>14-ac-115la</v>
      </c>
      <c r="G1096" s="2" t="str">
        <f>"5CG6267DM4"</f>
        <v>5CG6267DM4</v>
      </c>
      <c r="I1096">
        <v>20</v>
      </c>
      <c r="J1096" s="3">
        <v>1</v>
      </c>
      <c r="K1096" s="2">
        <v>39</v>
      </c>
      <c r="L1096" s="3" t="s">
        <v>33</v>
      </c>
      <c r="M1096" s="4">
        <v>43075</v>
      </c>
      <c r="N1096" s="5">
        <v>1011.18</v>
      </c>
    </row>
    <row r="1097" spans="1:14" x14ac:dyDescent="0.25">
      <c r="A1097" s="2">
        <v>1096</v>
      </c>
      <c r="B1097" s="3">
        <v>13511892</v>
      </c>
      <c r="C1097" s="2" t="s">
        <v>286</v>
      </c>
      <c r="D1097" s="3">
        <v>2</v>
      </c>
      <c r="E1097" s="2">
        <v>76</v>
      </c>
      <c r="F1097" s="2" t="str">
        <f>""</f>
        <v/>
      </c>
      <c r="G1097" s="2" t="str">
        <f>"13511892"</f>
        <v>13511892</v>
      </c>
      <c r="I1097">
        <v>5</v>
      </c>
      <c r="J1097" s="3">
        <v>1</v>
      </c>
      <c r="K1097" s="2">
        <v>23</v>
      </c>
      <c r="L1097" s="3" t="s">
        <v>31</v>
      </c>
      <c r="M1097" s="4">
        <v>42733</v>
      </c>
      <c r="N1097" s="3">
        <v>10.32</v>
      </c>
    </row>
    <row r="1098" spans="1:14" x14ac:dyDescent="0.25">
      <c r="A1098" s="2">
        <v>1097</v>
      </c>
      <c r="B1098" s="3">
        <v>19530570</v>
      </c>
      <c r="C1098" s="2" t="s">
        <v>269</v>
      </c>
      <c r="D1098" s="3">
        <v>1</v>
      </c>
      <c r="E1098" s="2">
        <v>67</v>
      </c>
      <c r="F1098" s="2" t="str">
        <f>"6KVA"</f>
        <v>6KVA</v>
      </c>
      <c r="G1098" s="2" t="str">
        <f>"10013441504"</f>
        <v>10013441504</v>
      </c>
      <c r="I1098">
        <v>5</v>
      </c>
      <c r="J1098" s="3">
        <v>1</v>
      </c>
      <c r="K1098" s="2">
        <v>4</v>
      </c>
      <c r="L1098" s="3" t="s">
        <v>33</v>
      </c>
      <c r="M1098" s="4">
        <v>43054</v>
      </c>
      <c r="N1098" s="5">
        <v>3933</v>
      </c>
    </row>
    <row r="1099" spans="1:14" x14ac:dyDescent="0.25">
      <c r="A1099" s="2">
        <v>1098</v>
      </c>
      <c r="B1099" s="3">
        <v>19530569</v>
      </c>
      <c r="C1099" s="2" t="s">
        <v>269</v>
      </c>
      <c r="D1099" s="3">
        <v>1</v>
      </c>
      <c r="E1099" s="2">
        <v>18</v>
      </c>
      <c r="F1099" s="2" t="str">
        <f>"VTN-6KVA"</f>
        <v>VTN-6KVA</v>
      </c>
      <c r="G1099" s="2" t="str">
        <f>"866021609100027"</f>
        <v>866021609100027</v>
      </c>
      <c r="I1099">
        <v>20</v>
      </c>
      <c r="J1099" s="3">
        <v>1</v>
      </c>
      <c r="K1099" s="2">
        <v>4</v>
      </c>
      <c r="L1099" s="3" t="s">
        <v>33</v>
      </c>
      <c r="M1099" s="4">
        <v>43054</v>
      </c>
      <c r="N1099" s="5">
        <v>3933</v>
      </c>
    </row>
    <row r="1100" spans="1:14" x14ac:dyDescent="0.25">
      <c r="A1100" s="2">
        <v>1099</v>
      </c>
      <c r="B1100" s="3">
        <v>19929787</v>
      </c>
      <c r="C1100" s="2" t="s">
        <v>220</v>
      </c>
      <c r="D1100" s="3">
        <v>1</v>
      </c>
      <c r="E1100" s="2">
        <v>40</v>
      </c>
      <c r="F1100" s="2" t="str">
        <f>"GXP1628"</f>
        <v>GXP1628</v>
      </c>
      <c r="G1100" s="2" t="str">
        <f>"22MT9YCG40920EA5"</f>
        <v>22MT9YCG40920EA5</v>
      </c>
      <c r="I1100">
        <v>20</v>
      </c>
      <c r="J1100" s="3">
        <v>1</v>
      </c>
      <c r="K1100" s="2">
        <v>2</v>
      </c>
      <c r="L1100" s="3" t="s">
        <v>33</v>
      </c>
      <c r="M1100" s="4">
        <v>43075</v>
      </c>
      <c r="N1100" s="3">
        <v>131.1</v>
      </c>
    </row>
    <row r="1101" spans="1:14" x14ac:dyDescent="0.25">
      <c r="A1101" s="2">
        <v>1100</v>
      </c>
      <c r="B1101" s="3">
        <v>19929788</v>
      </c>
      <c r="C1101" s="2" t="s">
        <v>220</v>
      </c>
      <c r="D1101" s="3">
        <v>1</v>
      </c>
      <c r="E1101" s="2">
        <v>40</v>
      </c>
      <c r="F1101" s="2" t="str">
        <f>"GXP1628"</f>
        <v>GXP1628</v>
      </c>
      <c r="G1101" s="2" t="str">
        <f>"22MT9YCG40920EA3"</f>
        <v>22MT9YCG40920EA3</v>
      </c>
      <c r="I1101">
        <v>20</v>
      </c>
      <c r="J1101" s="3">
        <v>1</v>
      </c>
      <c r="K1101" s="2">
        <v>39</v>
      </c>
      <c r="L1101" s="3" t="s">
        <v>33</v>
      </c>
      <c r="M1101" s="4">
        <v>43075</v>
      </c>
      <c r="N1101" s="3">
        <v>131.1</v>
      </c>
    </row>
    <row r="1102" spans="1:14" x14ac:dyDescent="0.25">
      <c r="A1102" s="2">
        <v>1101</v>
      </c>
      <c r="B1102" s="3">
        <v>19929789</v>
      </c>
      <c r="C1102" s="2" t="s">
        <v>196</v>
      </c>
      <c r="D1102" s="3">
        <v>1</v>
      </c>
      <c r="E1102" s="2">
        <v>42</v>
      </c>
      <c r="F1102" s="2" t="str">
        <f>"14-ac-115la"</f>
        <v>14-ac-115la</v>
      </c>
      <c r="G1102" s="2" t="str">
        <f>"5CG6267F08"</f>
        <v>5CG6267F08</v>
      </c>
      <c r="I1102">
        <v>20</v>
      </c>
      <c r="J1102" s="3">
        <v>1</v>
      </c>
      <c r="K1102" s="2">
        <v>23</v>
      </c>
      <c r="L1102" s="3" t="s">
        <v>33</v>
      </c>
      <c r="M1102" s="4">
        <v>43075</v>
      </c>
      <c r="N1102" s="5">
        <v>1011.18</v>
      </c>
    </row>
    <row r="1103" spans="1:14" x14ac:dyDescent="0.25">
      <c r="A1103" s="2">
        <v>1102</v>
      </c>
      <c r="B1103" s="3">
        <v>19929791</v>
      </c>
      <c r="C1103" s="2" t="s">
        <v>249</v>
      </c>
      <c r="D1103" s="3">
        <v>1</v>
      </c>
      <c r="E1103" s="2">
        <v>34</v>
      </c>
      <c r="F1103" s="2" t="str">
        <f>"fi-7160"</f>
        <v>fi-7160</v>
      </c>
      <c r="G1103" s="2" t="str">
        <f>"A36DG16758"</f>
        <v>A36DG16758</v>
      </c>
      <c r="I1103">
        <v>6</v>
      </c>
      <c r="J1103" s="3">
        <v>1</v>
      </c>
      <c r="K1103" s="2">
        <v>4</v>
      </c>
      <c r="L1103" s="3" t="s">
        <v>33</v>
      </c>
      <c r="M1103" s="4">
        <v>43075</v>
      </c>
      <c r="N1103" s="5">
        <v>2223</v>
      </c>
    </row>
    <row r="1104" spans="1:14" x14ac:dyDescent="0.25">
      <c r="A1104" s="2">
        <v>1103</v>
      </c>
      <c r="B1104" s="3">
        <v>19929792</v>
      </c>
      <c r="C1104" s="2" t="s">
        <v>249</v>
      </c>
      <c r="D1104" s="3">
        <v>1</v>
      </c>
      <c r="E1104" s="2">
        <v>34</v>
      </c>
      <c r="F1104" s="2" t="str">
        <f>"fi-7160"</f>
        <v>fi-7160</v>
      </c>
      <c r="G1104" s="2" t="str">
        <f>"A36D162708"</f>
        <v>A36D162708</v>
      </c>
      <c r="I1104">
        <v>6</v>
      </c>
      <c r="J1104" s="3">
        <v>1</v>
      </c>
      <c r="K1104" s="2">
        <v>39</v>
      </c>
      <c r="L1104" s="3" t="s">
        <v>33</v>
      </c>
      <c r="M1104" s="4">
        <v>43075</v>
      </c>
      <c r="N1104" s="5">
        <v>2223</v>
      </c>
    </row>
    <row r="1105" spans="1:14" x14ac:dyDescent="0.25">
      <c r="A1105" s="2">
        <v>1104</v>
      </c>
      <c r="B1105" s="3">
        <v>19929786</v>
      </c>
      <c r="C1105" s="2" t="s">
        <v>220</v>
      </c>
      <c r="D1105" s="3">
        <v>1</v>
      </c>
      <c r="E1105" s="2">
        <v>40</v>
      </c>
      <c r="F1105" s="2" t="str">
        <f>"GXP1628"</f>
        <v>GXP1628</v>
      </c>
      <c r="G1105" s="2" t="str">
        <f>"22MT9YCG40920EAA"</f>
        <v>22MT9YCG40920EAA</v>
      </c>
      <c r="I1105">
        <v>20</v>
      </c>
      <c r="J1105" s="3">
        <v>1</v>
      </c>
      <c r="K1105" s="2">
        <v>4</v>
      </c>
      <c r="L1105" s="3" t="s">
        <v>33</v>
      </c>
      <c r="M1105" s="4">
        <v>43075</v>
      </c>
      <c r="N1105" s="3">
        <v>131.1</v>
      </c>
    </row>
    <row r="1106" spans="1:14" x14ac:dyDescent="0.25">
      <c r="A1106" s="2">
        <v>1105</v>
      </c>
      <c r="B1106" s="3">
        <v>25776336</v>
      </c>
      <c r="C1106" s="2" t="s">
        <v>286</v>
      </c>
      <c r="D1106" s="3">
        <v>2</v>
      </c>
      <c r="E1106" s="2">
        <v>61</v>
      </c>
      <c r="F1106" s="2" t="str">
        <f>"APILABLE"</f>
        <v>APILABLE</v>
      </c>
      <c r="G1106" s="2" t="str">
        <f>"63445047"</f>
        <v>63445047</v>
      </c>
      <c r="I1106">
        <v>5</v>
      </c>
      <c r="J1106" s="3">
        <v>1</v>
      </c>
      <c r="K1106" s="2">
        <v>9</v>
      </c>
      <c r="L1106" s="3" t="s">
        <v>31</v>
      </c>
      <c r="M1106" s="4">
        <v>43423</v>
      </c>
      <c r="N1106" s="3">
        <v>9.6999999999999993</v>
      </c>
    </row>
    <row r="1107" spans="1:14" x14ac:dyDescent="0.25">
      <c r="A1107" s="2">
        <v>1106</v>
      </c>
      <c r="B1107" s="3">
        <v>25776338</v>
      </c>
      <c r="C1107" s="2" t="s">
        <v>286</v>
      </c>
      <c r="D1107" s="3">
        <v>2</v>
      </c>
      <c r="E1107" s="2">
        <v>61</v>
      </c>
      <c r="F1107" s="2" t="str">
        <f>"APILABLE"</f>
        <v>APILABLE</v>
      </c>
      <c r="G1107" s="2" t="str">
        <f>"63445049"</f>
        <v>63445049</v>
      </c>
      <c r="I1107">
        <v>5</v>
      </c>
      <c r="J1107" s="3">
        <v>1</v>
      </c>
      <c r="K1107" s="2">
        <v>9</v>
      </c>
      <c r="L1107" s="3" t="s">
        <v>31</v>
      </c>
      <c r="M1107" s="4">
        <v>43423</v>
      </c>
      <c r="N1107" s="3">
        <v>9.6999999999999993</v>
      </c>
    </row>
    <row r="1108" spans="1:14" x14ac:dyDescent="0.25">
      <c r="A1108" s="2">
        <v>1107</v>
      </c>
      <c r="B1108" s="3">
        <v>25776334</v>
      </c>
      <c r="C1108" s="2" t="s">
        <v>286</v>
      </c>
      <c r="D1108" s="3">
        <v>2</v>
      </c>
      <c r="E1108" s="2">
        <v>61</v>
      </c>
      <c r="F1108" s="2" t="str">
        <f>"APILABLE"</f>
        <v>APILABLE</v>
      </c>
      <c r="G1108" s="2" t="str">
        <f>"63445045"</f>
        <v>63445045</v>
      </c>
      <c r="I1108">
        <v>5</v>
      </c>
      <c r="J1108" s="3">
        <v>1</v>
      </c>
      <c r="K1108" s="2">
        <v>9</v>
      </c>
      <c r="L1108" s="3" t="s">
        <v>31</v>
      </c>
      <c r="M1108" s="4">
        <v>43423</v>
      </c>
      <c r="N1108" s="3">
        <v>9.6999999999999993</v>
      </c>
    </row>
    <row r="1109" spans="1:14" x14ac:dyDescent="0.25">
      <c r="A1109" s="2">
        <v>1108</v>
      </c>
      <c r="B1109" s="3">
        <v>25776335</v>
      </c>
      <c r="C1109" s="2" t="s">
        <v>286</v>
      </c>
      <c r="D1109" s="3">
        <v>2</v>
      </c>
      <c r="E1109" s="2">
        <v>61</v>
      </c>
      <c r="F1109" s="2" t="str">
        <f>"APILABLE"</f>
        <v>APILABLE</v>
      </c>
      <c r="G1109" s="2" t="str">
        <f>"63445046"</f>
        <v>63445046</v>
      </c>
      <c r="I1109">
        <v>5</v>
      </c>
      <c r="J1109" s="3">
        <v>1</v>
      </c>
      <c r="K1109" s="2">
        <v>9</v>
      </c>
      <c r="L1109" s="3" t="s">
        <v>31</v>
      </c>
      <c r="M1109" s="4">
        <v>43423</v>
      </c>
      <c r="N1109" s="3">
        <v>9.6999999999999993</v>
      </c>
    </row>
    <row r="1110" spans="1:14" x14ac:dyDescent="0.25">
      <c r="A1110" s="2">
        <v>1109</v>
      </c>
      <c r="B1110" s="3">
        <v>21069538</v>
      </c>
      <c r="C1110" s="2" t="s">
        <v>270</v>
      </c>
      <c r="D1110" s="3">
        <v>1</v>
      </c>
      <c r="E1110" s="2">
        <v>29</v>
      </c>
      <c r="F1110" s="2" t="str">
        <f>"EASC18A2MBCMW"</f>
        <v>EASC18A2MBCMW</v>
      </c>
      <c r="G1110" s="2" t="str">
        <f>"42600071 40302860"</f>
        <v>42600071 40302860</v>
      </c>
      <c r="I1110">
        <v>5</v>
      </c>
      <c r="J1110" s="3">
        <v>1</v>
      </c>
      <c r="K1110" s="2">
        <v>4</v>
      </c>
      <c r="L1110" s="3" t="s">
        <v>33</v>
      </c>
      <c r="M1110" s="4">
        <v>43159</v>
      </c>
      <c r="N1110" s="3">
        <v>777.48</v>
      </c>
    </row>
    <row r="1111" spans="1:14" x14ac:dyDescent="0.25">
      <c r="A1111" s="2">
        <v>1110</v>
      </c>
      <c r="B1111" s="3">
        <v>21069537</v>
      </c>
      <c r="C1111" s="2" t="s">
        <v>270</v>
      </c>
      <c r="D1111" s="3">
        <v>1</v>
      </c>
      <c r="E1111" s="2">
        <v>29</v>
      </c>
      <c r="F1111" s="2" t="str">
        <f>"EASE18A2MBCMW"</f>
        <v>EASE18A2MBCMW</v>
      </c>
      <c r="G1111" s="2" t="str">
        <f>"54003424 51000944"</f>
        <v>54003424 51000944</v>
      </c>
      <c r="I1111">
        <v>5</v>
      </c>
      <c r="J1111" s="3">
        <v>1</v>
      </c>
      <c r="K1111" s="2">
        <v>4</v>
      </c>
      <c r="L1111" s="3" t="s">
        <v>33</v>
      </c>
      <c r="M1111" s="4">
        <v>43159</v>
      </c>
      <c r="N1111" s="3">
        <v>777.48</v>
      </c>
    </row>
    <row r="1112" spans="1:14" x14ac:dyDescent="0.25">
      <c r="A1112" s="2">
        <v>1111</v>
      </c>
      <c r="B1112" s="3">
        <v>25776337</v>
      </c>
      <c r="C1112" s="2" t="s">
        <v>286</v>
      </c>
      <c r="D1112" s="3">
        <v>2</v>
      </c>
      <c r="E1112" s="2">
        <v>61</v>
      </c>
      <c r="F1112" s="2" t="str">
        <f t="shared" ref="F1112:F1175" si="40">"APILABLE"</f>
        <v>APILABLE</v>
      </c>
      <c r="G1112" s="2" t="str">
        <f>"63445048"</f>
        <v>63445048</v>
      </c>
      <c r="I1112">
        <v>5</v>
      </c>
      <c r="J1112" s="3">
        <v>1</v>
      </c>
      <c r="K1112" s="2">
        <v>9</v>
      </c>
      <c r="L1112" s="3" t="s">
        <v>31</v>
      </c>
      <c r="M1112" s="4">
        <v>43423</v>
      </c>
      <c r="N1112" s="3">
        <v>9.6999999999999993</v>
      </c>
    </row>
    <row r="1113" spans="1:14" x14ac:dyDescent="0.25">
      <c r="A1113" s="2">
        <v>1112</v>
      </c>
      <c r="B1113" s="3">
        <v>25776339</v>
      </c>
      <c r="C1113" s="2" t="s">
        <v>286</v>
      </c>
      <c r="D1113" s="3">
        <v>2</v>
      </c>
      <c r="E1113" s="2">
        <v>61</v>
      </c>
      <c r="F1113" s="2" t="str">
        <f t="shared" si="40"/>
        <v>APILABLE</v>
      </c>
      <c r="G1113" s="2" t="str">
        <f>"63445050"</f>
        <v>63445050</v>
      </c>
      <c r="I1113">
        <v>5</v>
      </c>
      <c r="J1113" s="3">
        <v>1</v>
      </c>
      <c r="K1113" s="2">
        <v>9</v>
      </c>
      <c r="L1113" s="3" t="s">
        <v>31</v>
      </c>
      <c r="M1113" s="4">
        <v>43423</v>
      </c>
      <c r="N1113" s="3">
        <v>9.6999999999999993</v>
      </c>
    </row>
    <row r="1114" spans="1:14" x14ac:dyDescent="0.25">
      <c r="A1114" s="2">
        <v>1113</v>
      </c>
      <c r="B1114" s="3">
        <v>25776340</v>
      </c>
      <c r="C1114" s="2" t="s">
        <v>286</v>
      </c>
      <c r="D1114" s="3">
        <v>2</v>
      </c>
      <c r="E1114" s="2">
        <v>61</v>
      </c>
      <c r="F1114" s="2" t="str">
        <f t="shared" si="40"/>
        <v>APILABLE</v>
      </c>
      <c r="G1114" s="2" t="str">
        <f>"63445051"</f>
        <v>63445051</v>
      </c>
      <c r="I1114">
        <v>5</v>
      </c>
      <c r="J1114" s="3">
        <v>1</v>
      </c>
      <c r="K1114" s="2">
        <v>9</v>
      </c>
      <c r="L1114" s="3" t="s">
        <v>31</v>
      </c>
      <c r="M1114" s="4">
        <v>43423</v>
      </c>
      <c r="N1114" s="3">
        <v>9.6999999999999993</v>
      </c>
    </row>
    <row r="1115" spans="1:14" x14ac:dyDescent="0.25">
      <c r="A1115" s="2">
        <v>1114</v>
      </c>
      <c r="B1115" s="3">
        <v>25776341</v>
      </c>
      <c r="C1115" s="2" t="s">
        <v>286</v>
      </c>
      <c r="D1115" s="3">
        <v>2</v>
      </c>
      <c r="E1115" s="2">
        <v>61</v>
      </c>
      <c r="F1115" s="2" t="str">
        <f t="shared" si="40"/>
        <v>APILABLE</v>
      </c>
      <c r="G1115" s="2" t="str">
        <f>"63445052"</f>
        <v>63445052</v>
      </c>
      <c r="I1115">
        <v>5</v>
      </c>
      <c r="J1115" s="3">
        <v>1</v>
      </c>
      <c r="K1115" s="2">
        <v>9</v>
      </c>
      <c r="L1115" s="3" t="s">
        <v>31</v>
      </c>
      <c r="M1115" s="4">
        <v>43423</v>
      </c>
      <c r="N1115" s="3">
        <v>9.6999999999999993</v>
      </c>
    </row>
    <row r="1116" spans="1:14" x14ac:dyDescent="0.25">
      <c r="A1116" s="2">
        <v>1115</v>
      </c>
      <c r="B1116" s="3">
        <v>25776342</v>
      </c>
      <c r="C1116" s="2" t="s">
        <v>286</v>
      </c>
      <c r="D1116" s="3">
        <v>2</v>
      </c>
      <c r="E1116" s="2">
        <v>61</v>
      </c>
      <c r="F1116" s="2" t="str">
        <f t="shared" si="40"/>
        <v>APILABLE</v>
      </c>
      <c r="G1116" s="2" t="str">
        <f>"63445053"</f>
        <v>63445053</v>
      </c>
      <c r="I1116">
        <v>5</v>
      </c>
      <c r="J1116" s="3">
        <v>1</v>
      </c>
      <c r="K1116" s="2">
        <v>9</v>
      </c>
      <c r="L1116" s="3" t="s">
        <v>31</v>
      </c>
      <c r="M1116" s="4">
        <v>43423</v>
      </c>
      <c r="N1116" s="3">
        <v>9.6999999999999993</v>
      </c>
    </row>
    <row r="1117" spans="1:14" x14ac:dyDescent="0.25">
      <c r="A1117" s="2">
        <v>1116</v>
      </c>
      <c r="B1117" s="3">
        <v>25776343</v>
      </c>
      <c r="C1117" s="2" t="s">
        <v>286</v>
      </c>
      <c r="D1117" s="3">
        <v>2</v>
      </c>
      <c r="E1117" s="2">
        <v>61</v>
      </c>
      <c r="F1117" s="2" t="str">
        <f t="shared" si="40"/>
        <v>APILABLE</v>
      </c>
      <c r="G1117" s="2" t="str">
        <f>"63445054"</f>
        <v>63445054</v>
      </c>
      <c r="I1117">
        <v>5</v>
      </c>
      <c r="J1117" s="3">
        <v>1</v>
      </c>
      <c r="K1117" s="2">
        <v>9</v>
      </c>
      <c r="L1117" s="3" t="s">
        <v>31</v>
      </c>
      <c r="M1117" s="4">
        <v>43423</v>
      </c>
      <c r="N1117" s="3">
        <v>9.6999999999999993</v>
      </c>
    </row>
    <row r="1118" spans="1:14" x14ac:dyDescent="0.25">
      <c r="A1118" s="2">
        <v>1117</v>
      </c>
      <c r="B1118" s="3">
        <v>25776344</v>
      </c>
      <c r="C1118" s="2" t="s">
        <v>286</v>
      </c>
      <c r="D1118" s="3">
        <v>2</v>
      </c>
      <c r="E1118" s="2">
        <v>61</v>
      </c>
      <c r="F1118" s="2" t="str">
        <f t="shared" si="40"/>
        <v>APILABLE</v>
      </c>
      <c r="G1118" s="2" t="str">
        <f>"63445055"</f>
        <v>63445055</v>
      </c>
      <c r="I1118">
        <v>5</v>
      </c>
      <c r="J1118" s="3">
        <v>1</v>
      </c>
      <c r="K1118" s="2">
        <v>9</v>
      </c>
      <c r="L1118" s="3" t="s">
        <v>31</v>
      </c>
      <c r="M1118" s="4">
        <v>43423</v>
      </c>
      <c r="N1118" s="3">
        <v>9.6999999999999993</v>
      </c>
    </row>
    <row r="1119" spans="1:14" x14ac:dyDescent="0.25">
      <c r="A1119" s="2">
        <v>1118</v>
      </c>
      <c r="B1119" s="3">
        <v>25776345</v>
      </c>
      <c r="C1119" s="2" t="s">
        <v>286</v>
      </c>
      <c r="D1119" s="3">
        <v>2</v>
      </c>
      <c r="E1119" s="2">
        <v>61</v>
      </c>
      <c r="F1119" s="2" t="str">
        <f t="shared" si="40"/>
        <v>APILABLE</v>
      </c>
      <c r="G1119" s="2" t="str">
        <f>"63445056"</f>
        <v>63445056</v>
      </c>
      <c r="I1119">
        <v>5</v>
      </c>
      <c r="J1119" s="3">
        <v>1</v>
      </c>
      <c r="K1119" s="2">
        <v>9</v>
      </c>
      <c r="L1119" s="3" t="s">
        <v>31</v>
      </c>
      <c r="M1119" s="4">
        <v>43423</v>
      </c>
      <c r="N1119" s="3">
        <v>9.6999999999999993</v>
      </c>
    </row>
    <row r="1120" spans="1:14" x14ac:dyDescent="0.25">
      <c r="A1120" s="2">
        <v>1119</v>
      </c>
      <c r="B1120" s="3">
        <v>25776346</v>
      </c>
      <c r="C1120" s="2" t="s">
        <v>286</v>
      </c>
      <c r="D1120" s="3">
        <v>2</v>
      </c>
      <c r="E1120" s="2">
        <v>61</v>
      </c>
      <c r="F1120" s="2" t="str">
        <f t="shared" si="40"/>
        <v>APILABLE</v>
      </c>
      <c r="G1120" s="2" t="str">
        <f>"63445057"</f>
        <v>63445057</v>
      </c>
      <c r="I1120">
        <v>5</v>
      </c>
      <c r="J1120" s="3">
        <v>1</v>
      </c>
      <c r="K1120" s="2">
        <v>9</v>
      </c>
      <c r="L1120" s="3" t="s">
        <v>31</v>
      </c>
      <c r="M1120" s="4">
        <v>43423</v>
      </c>
      <c r="N1120" s="3">
        <v>9.6999999999999993</v>
      </c>
    </row>
    <row r="1121" spans="1:14" x14ac:dyDescent="0.25">
      <c r="A1121" s="2">
        <v>1120</v>
      </c>
      <c r="B1121" s="3">
        <v>25776347</v>
      </c>
      <c r="C1121" s="2" t="s">
        <v>286</v>
      </c>
      <c r="D1121" s="3">
        <v>2</v>
      </c>
      <c r="E1121" s="2">
        <v>61</v>
      </c>
      <c r="F1121" s="2" t="str">
        <f t="shared" si="40"/>
        <v>APILABLE</v>
      </c>
      <c r="G1121" s="2" t="str">
        <f>"63445058"</f>
        <v>63445058</v>
      </c>
      <c r="I1121">
        <v>5</v>
      </c>
      <c r="J1121" s="3">
        <v>1</v>
      </c>
      <c r="K1121" s="2">
        <v>9</v>
      </c>
      <c r="L1121" s="3" t="s">
        <v>31</v>
      </c>
      <c r="M1121" s="4">
        <v>43423</v>
      </c>
      <c r="N1121" s="3">
        <v>9.6999999999999993</v>
      </c>
    </row>
    <row r="1122" spans="1:14" x14ac:dyDescent="0.25">
      <c r="A1122" s="2">
        <v>1121</v>
      </c>
      <c r="B1122" s="3">
        <v>25776348</v>
      </c>
      <c r="C1122" s="2" t="s">
        <v>286</v>
      </c>
      <c r="D1122" s="3">
        <v>2</v>
      </c>
      <c r="E1122" s="2">
        <v>61</v>
      </c>
      <c r="F1122" s="2" t="str">
        <f t="shared" si="40"/>
        <v>APILABLE</v>
      </c>
      <c r="G1122" s="2" t="str">
        <f>"63445059"</f>
        <v>63445059</v>
      </c>
      <c r="I1122">
        <v>5</v>
      </c>
      <c r="J1122" s="3">
        <v>1</v>
      </c>
      <c r="K1122" s="2">
        <v>9</v>
      </c>
      <c r="L1122" s="3" t="s">
        <v>31</v>
      </c>
      <c r="M1122" s="4">
        <v>43423</v>
      </c>
      <c r="N1122" s="3">
        <v>9.6999999999999993</v>
      </c>
    </row>
    <row r="1123" spans="1:14" x14ac:dyDescent="0.25">
      <c r="A1123" s="2">
        <v>1122</v>
      </c>
      <c r="B1123" s="3">
        <v>25776349</v>
      </c>
      <c r="C1123" s="2" t="s">
        <v>286</v>
      </c>
      <c r="D1123" s="3">
        <v>2</v>
      </c>
      <c r="E1123" s="2">
        <v>61</v>
      </c>
      <c r="F1123" s="2" t="str">
        <f t="shared" si="40"/>
        <v>APILABLE</v>
      </c>
      <c r="G1123" s="2" t="str">
        <f>"63445060"</f>
        <v>63445060</v>
      </c>
      <c r="I1123">
        <v>5</v>
      </c>
      <c r="J1123" s="3">
        <v>1</v>
      </c>
      <c r="K1123" s="2">
        <v>9</v>
      </c>
      <c r="L1123" s="3" t="s">
        <v>31</v>
      </c>
      <c r="M1123" s="4">
        <v>43423</v>
      </c>
      <c r="N1123" s="3">
        <v>9.6999999999999993</v>
      </c>
    </row>
    <row r="1124" spans="1:14" x14ac:dyDescent="0.25">
      <c r="A1124" s="2">
        <v>1123</v>
      </c>
      <c r="B1124" s="3">
        <v>25776350</v>
      </c>
      <c r="C1124" s="2" t="s">
        <v>286</v>
      </c>
      <c r="D1124" s="3">
        <v>2</v>
      </c>
      <c r="E1124" s="2">
        <v>61</v>
      </c>
      <c r="F1124" s="2" t="str">
        <f t="shared" si="40"/>
        <v>APILABLE</v>
      </c>
      <c r="G1124" s="2" t="str">
        <f>"63445061"</f>
        <v>63445061</v>
      </c>
      <c r="I1124">
        <v>5</v>
      </c>
      <c r="J1124" s="3">
        <v>1</v>
      </c>
      <c r="K1124" s="2">
        <v>9</v>
      </c>
      <c r="L1124" s="3" t="s">
        <v>31</v>
      </c>
      <c r="M1124" s="4">
        <v>43423</v>
      </c>
      <c r="N1124" s="3">
        <v>9.6999999999999993</v>
      </c>
    </row>
    <row r="1125" spans="1:14" x14ac:dyDescent="0.25">
      <c r="A1125" s="2">
        <v>1124</v>
      </c>
      <c r="B1125" s="3">
        <v>25776351</v>
      </c>
      <c r="C1125" s="2" t="s">
        <v>286</v>
      </c>
      <c r="D1125" s="3">
        <v>2</v>
      </c>
      <c r="E1125" s="2">
        <v>61</v>
      </c>
      <c r="F1125" s="2" t="str">
        <f t="shared" si="40"/>
        <v>APILABLE</v>
      </c>
      <c r="G1125" s="2" t="str">
        <f>"63445062"</f>
        <v>63445062</v>
      </c>
      <c r="I1125">
        <v>5</v>
      </c>
      <c r="J1125" s="3">
        <v>1</v>
      </c>
      <c r="K1125" s="2">
        <v>9</v>
      </c>
      <c r="L1125" s="3" t="s">
        <v>31</v>
      </c>
      <c r="M1125" s="4">
        <v>43423</v>
      </c>
      <c r="N1125" s="3">
        <v>9.6999999999999993</v>
      </c>
    </row>
    <row r="1126" spans="1:14" x14ac:dyDescent="0.25">
      <c r="A1126" s="2">
        <v>1125</v>
      </c>
      <c r="B1126" s="3">
        <v>25776293</v>
      </c>
      <c r="C1126" s="2" t="s">
        <v>286</v>
      </c>
      <c r="D1126" s="3">
        <v>2</v>
      </c>
      <c r="E1126" s="2">
        <v>61</v>
      </c>
      <c r="F1126" s="2" t="str">
        <f t="shared" si="40"/>
        <v>APILABLE</v>
      </c>
      <c r="G1126" s="2" t="str">
        <f>"63445004"</f>
        <v>63445004</v>
      </c>
      <c r="I1126">
        <v>5</v>
      </c>
      <c r="J1126" s="3">
        <v>1</v>
      </c>
      <c r="K1126" s="2">
        <v>9</v>
      </c>
      <c r="L1126" s="3" t="s">
        <v>31</v>
      </c>
      <c r="M1126" s="4">
        <v>43423</v>
      </c>
      <c r="N1126" s="3">
        <v>9.6999999999999993</v>
      </c>
    </row>
    <row r="1127" spans="1:14" x14ac:dyDescent="0.25">
      <c r="A1127" s="2">
        <v>1126</v>
      </c>
      <c r="B1127" s="3">
        <v>25776290</v>
      </c>
      <c r="C1127" s="2" t="s">
        <v>286</v>
      </c>
      <c r="D1127" s="3">
        <v>2</v>
      </c>
      <c r="E1127" s="2">
        <v>61</v>
      </c>
      <c r="F1127" s="2" t="str">
        <f t="shared" si="40"/>
        <v>APILABLE</v>
      </c>
      <c r="G1127" s="2" t="str">
        <f>"63445001"</f>
        <v>63445001</v>
      </c>
      <c r="I1127">
        <v>5</v>
      </c>
      <c r="J1127" s="3">
        <v>1</v>
      </c>
      <c r="K1127" s="2">
        <v>9</v>
      </c>
      <c r="L1127" s="3" t="s">
        <v>31</v>
      </c>
      <c r="M1127" s="4">
        <v>43423</v>
      </c>
      <c r="N1127" s="3">
        <v>9.6</v>
      </c>
    </row>
    <row r="1128" spans="1:14" x14ac:dyDescent="0.25">
      <c r="A1128" s="2">
        <v>1127</v>
      </c>
      <c r="B1128" s="3">
        <v>25776291</v>
      </c>
      <c r="C1128" s="2" t="s">
        <v>286</v>
      </c>
      <c r="D1128" s="3">
        <v>2</v>
      </c>
      <c r="E1128" s="2">
        <v>61</v>
      </c>
      <c r="F1128" s="2" t="str">
        <f t="shared" si="40"/>
        <v>APILABLE</v>
      </c>
      <c r="G1128" s="2" t="str">
        <f>"63445002"</f>
        <v>63445002</v>
      </c>
      <c r="I1128">
        <v>5</v>
      </c>
      <c r="J1128" s="3">
        <v>1</v>
      </c>
      <c r="K1128" s="2">
        <v>9</v>
      </c>
      <c r="L1128" s="3" t="s">
        <v>31</v>
      </c>
      <c r="M1128" s="4">
        <v>43423</v>
      </c>
      <c r="N1128" s="3">
        <v>9.6999999999999993</v>
      </c>
    </row>
    <row r="1129" spans="1:14" x14ac:dyDescent="0.25">
      <c r="A1129" s="2">
        <v>1128</v>
      </c>
      <c r="B1129" s="3">
        <v>25776292</v>
      </c>
      <c r="C1129" s="2" t="s">
        <v>286</v>
      </c>
      <c r="D1129" s="3">
        <v>2</v>
      </c>
      <c r="E1129" s="2">
        <v>61</v>
      </c>
      <c r="F1129" s="2" t="str">
        <f t="shared" si="40"/>
        <v>APILABLE</v>
      </c>
      <c r="G1129" s="2" t="str">
        <f>"63445003"</f>
        <v>63445003</v>
      </c>
      <c r="I1129">
        <v>5</v>
      </c>
      <c r="J1129" s="3">
        <v>1</v>
      </c>
      <c r="K1129" s="2">
        <v>9</v>
      </c>
      <c r="L1129" s="3" t="s">
        <v>31</v>
      </c>
      <c r="M1129" s="4">
        <v>43423</v>
      </c>
      <c r="N1129" s="3">
        <v>9.6999999999999993</v>
      </c>
    </row>
    <row r="1130" spans="1:14" x14ac:dyDescent="0.25">
      <c r="A1130" s="2">
        <v>1129</v>
      </c>
      <c r="B1130" s="3">
        <v>25776294</v>
      </c>
      <c r="C1130" s="2" t="s">
        <v>286</v>
      </c>
      <c r="D1130" s="3">
        <v>2</v>
      </c>
      <c r="E1130" s="2">
        <v>61</v>
      </c>
      <c r="F1130" s="2" t="str">
        <f t="shared" si="40"/>
        <v>APILABLE</v>
      </c>
      <c r="G1130" s="2" t="str">
        <f>"63445005"</f>
        <v>63445005</v>
      </c>
      <c r="I1130">
        <v>5</v>
      </c>
      <c r="J1130" s="3">
        <v>1</v>
      </c>
      <c r="K1130" s="2">
        <v>9</v>
      </c>
      <c r="L1130" s="3" t="s">
        <v>31</v>
      </c>
      <c r="M1130" s="4">
        <v>43423</v>
      </c>
      <c r="N1130" s="3">
        <v>9.6999999999999993</v>
      </c>
    </row>
    <row r="1131" spans="1:14" x14ac:dyDescent="0.25">
      <c r="A1131" s="2">
        <v>1130</v>
      </c>
      <c r="B1131" s="3">
        <v>25776298</v>
      </c>
      <c r="C1131" s="2" t="s">
        <v>286</v>
      </c>
      <c r="D1131" s="3">
        <v>2</v>
      </c>
      <c r="E1131" s="2">
        <v>61</v>
      </c>
      <c r="F1131" s="2" t="str">
        <f t="shared" si="40"/>
        <v>APILABLE</v>
      </c>
      <c r="G1131" s="2" t="str">
        <f>"63445009"</f>
        <v>63445009</v>
      </c>
      <c r="I1131">
        <v>5</v>
      </c>
      <c r="J1131" s="3">
        <v>1</v>
      </c>
      <c r="K1131" s="2">
        <v>9</v>
      </c>
      <c r="L1131" s="3" t="s">
        <v>31</v>
      </c>
      <c r="M1131" s="4">
        <v>43423</v>
      </c>
      <c r="N1131" s="3">
        <v>9.6999999999999993</v>
      </c>
    </row>
    <row r="1132" spans="1:14" x14ac:dyDescent="0.25">
      <c r="A1132" s="2">
        <v>1131</v>
      </c>
      <c r="B1132" s="3">
        <v>25776295</v>
      </c>
      <c r="C1132" s="2" t="s">
        <v>286</v>
      </c>
      <c r="D1132" s="3">
        <v>2</v>
      </c>
      <c r="E1132" s="2">
        <v>61</v>
      </c>
      <c r="F1132" s="2" t="str">
        <f t="shared" si="40"/>
        <v>APILABLE</v>
      </c>
      <c r="G1132" s="2" t="str">
        <f>"63445006"</f>
        <v>63445006</v>
      </c>
      <c r="I1132">
        <v>5</v>
      </c>
      <c r="J1132" s="3">
        <v>1</v>
      </c>
      <c r="K1132" s="2">
        <v>9</v>
      </c>
      <c r="L1132" s="3" t="s">
        <v>31</v>
      </c>
      <c r="M1132" s="4">
        <v>43423</v>
      </c>
      <c r="N1132" s="3">
        <v>9.6999999999999993</v>
      </c>
    </row>
    <row r="1133" spans="1:14" x14ac:dyDescent="0.25">
      <c r="A1133" s="2">
        <v>1132</v>
      </c>
      <c r="B1133" s="3">
        <v>25776296</v>
      </c>
      <c r="C1133" s="2" t="s">
        <v>286</v>
      </c>
      <c r="D1133" s="3">
        <v>2</v>
      </c>
      <c r="E1133" s="2">
        <v>61</v>
      </c>
      <c r="F1133" s="2" t="str">
        <f t="shared" si="40"/>
        <v>APILABLE</v>
      </c>
      <c r="G1133" s="2" t="str">
        <f>"63445007"</f>
        <v>63445007</v>
      </c>
      <c r="I1133">
        <v>5</v>
      </c>
      <c r="J1133" s="3">
        <v>1</v>
      </c>
      <c r="K1133" s="2">
        <v>9</v>
      </c>
      <c r="L1133" s="3" t="s">
        <v>31</v>
      </c>
      <c r="M1133" s="4">
        <v>43423</v>
      </c>
      <c r="N1133" s="3">
        <v>9.6999999999999993</v>
      </c>
    </row>
    <row r="1134" spans="1:14" x14ac:dyDescent="0.25">
      <c r="A1134" s="2">
        <v>1133</v>
      </c>
      <c r="B1134" s="3">
        <v>25776297</v>
      </c>
      <c r="C1134" s="2" t="s">
        <v>286</v>
      </c>
      <c r="D1134" s="3">
        <v>2</v>
      </c>
      <c r="E1134" s="2">
        <v>61</v>
      </c>
      <c r="F1134" s="2" t="str">
        <f t="shared" si="40"/>
        <v>APILABLE</v>
      </c>
      <c r="G1134" s="2" t="str">
        <f>"63445008"</f>
        <v>63445008</v>
      </c>
      <c r="I1134">
        <v>5</v>
      </c>
      <c r="J1134" s="3">
        <v>1</v>
      </c>
      <c r="K1134" s="2">
        <v>9</v>
      </c>
      <c r="L1134" s="3" t="s">
        <v>31</v>
      </c>
      <c r="M1134" s="4">
        <v>43423</v>
      </c>
      <c r="N1134" s="3">
        <v>9.6999999999999993</v>
      </c>
    </row>
    <row r="1135" spans="1:14" x14ac:dyDescent="0.25">
      <c r="A1135" s="2">
        <v>1134</v>
      </c>
      <c r="B1135" s="3">
        <v>25776299</v>
      </c>
      <c r="C1135" s="2" t="s">
        <v>286</v>
      </c>
      <c r="D1135" s="3">
        <v>2</v>
      </c>
      <c r="E1135" s="2">
        <v>61</v>
      </c>
      <c r="F1135" s="2" t="str">
        <f t="shared" si="40"/>
        <v>APILABLE</v>
      </c>
      <c r="G1135" s="2" t="str">
        <f>"63445010"</f>
        <v>63445010</v>
      </c>
      <c r="I1135">
        <v>5</v>
      </c>
      <c r="J1135" s="3">
        <v>1</v>
      </c>
      <c r="K1135" s="2">
        <v>9</v>
      </c>
      <c r="L1135" s="3" t="s">
        <v>31</v>
      </c>
      <c r="M1135" s="4">
        <v>43423</v>
      </c>
      <c r="N1135" s="3">
        <v>9.6999999999999993</v>
      </c>
    </row>
    <row r="1136" spans="1:14" x14ac:dyDescent="0.25">
      <c r="A1136" s="2">
        <v>1135</v>
      </c>
      <c r="B1136" s="3">
        <v>25776300</v>
      </c>
      <c r="C1136" s="2" t="s">
        <v>286</v>
      </c>
      <c r="D1136" s="3">
        <v>2</v>
      </c>
      <c r="E1136" s="2">
        <v>61</v>
      </c>
      <c r="F1136" s="2" t="str">
        <f t="shared" si="40"/>
        <v>APILABLE</v>
      </c>
      <c r="G1136" s="2" t="str">
        <f>"63445011"</f>
        <v>63445011</v>
      </c>
      <c r="I1136">
        <v>5</v>
      </c>
      <c r="J1136" s="3">
        <v>1</v>
      </c>
      <c r="K1136" s="2">
        <v>9</v>
      </c>
      <c r="L1136" s="3" t="s">
        <v>31</v>
      </c>
      <c r="M1136" s="4">
        <v>43423</v>
      </c>
      <c r="N1136" s="3">
        <v>9.6999999999999993</v>
      </c>
    </row>
    <row r="1137" spans="1:14" x14ac:dyDescent="0.25">
      <c r="A1137" s="2">
        <v>1136</v>
      </c>
      <c r="B1137" s="3">
        <v>25776352</v>
      </c>
      <c r="C1137" s="2" t="s">
        <v>286</v>
      </c>
      <c r="D1137" s="3">
        <v>2</v>
      </c>
      <c r="E1137" s="2">
        <v>61</v>
      </c>
      <c r="F1137" s="2" t="str">
        <f t="shared" si="40"/>
        <v>APILABLE</v>
      </c>
      <c r="G1137" s="2" t="str">
        <f>"63445063"</f>
        <v>63445063</v>
      </c>
      <c r="I1137">
        <v>5</v>
      </c>
      <c r="J1137" s="3">
        <v>1</v>
      </c>
      <c r="K1137" s="2">
        <v>9</v>
      </c>
      <c r="L1137" s="3" t="s">
        <v>31</v>
      </c>
      <c r="M1137" s="4">
        <v>43423</v>
      </c>
      <c r="N1137" s="3">
        <v>9.6999999999999993</v>
      </c>
    </row>
    <row r="1138" spans="1:14" x14ac:dyDescent="0.25">
      <c r="A1138" s="2">
        <v>1137</v>
      </c>
      <c r="B1138" s="3">
        <v>25776353</v>
      </c>
      <c r="C1138" s="2" t="s">
        <v>286</v>
      </c>
      <c r="D1138" s="3">
        <v>2</v>
      </c>
      <c r="E1138" s="2">
        <v>61</v>
      </c>
      <c r="F1138" s="2" t="str">
        <f t="shared" si="40"/>
        <v>APILABLE</v>
      </c>
      <c r="G1138" s="2" t="str">
        <f>"63445064"</f>
        <v>63445064</v>
      </c>
      <c r="I1138">
        <v>5</v>
      </c>
      <c r="J1138" s="3">
        <v>1</v>
      </c>
      <c r="K1138" s="2">
        <v>9</v>
      </c>
      <c r="L1138" s="3" t="s">
        <v>31</v>
      </c>
      <c r="M1138" s="4">
        <v>43423</v>
      </c>
      <c r="N1138" s="3">
        <v>9.6999999999999993</v>
      </c>
    </row>
    <row r="1139" spans="1:14" x14ac:dyDescent="0.25">
      <c r="A1139" s="2">
        <v>1138</v>
      </c>
      <c r="B1139" s="3">
        <v>25776354</v>
      </c>
      <c r="C1139" s="2" t="s">
        <v>286</v>
      </c>
      <c r="D1139" s="3">
        <v>2</v>
      </c>
      <c r="E1139" s="2">
        <v>61</v>
      </c>
      <c r="F1139" s="2" t="str">
        <f t="shared" si="40"/>
        <v>APILABLE</v>
      </c>
      <c r="G1139" s="2" t="str">
        <f>"63445065"</f>
        <v>63445065</v>
      </c>
      <c r="I1139">
        <v>5</v>
      </c>
      <c r="J1139" s="3">
        <v>1</v>
      </c>
      <c r="K1139" s="2">
        <v>9</v>
      </c>
      <c r="L1139" s="3" t="s">
        <v>31</v>
      </c>
      <c r="M1139" s="4">
        <v>43423</v>
      </c>
      <c r="N1139" s="3">
        <v>9.6999999999999993</v>
      </c>
    </row>
    <row r="1140" spans="1:14" x14ac:dyDescent="0.25">
      <c r="A1140" s="2">
        <v>1139</v>
      </c>
      <c r="B1140" s="3">
        <v>25776355</v>
      </c>
      <c r="C1140" s="2" t="s">
        <v>286</v>
      </c>
      <c r="D1140" s="3">
        <v>2</v>
      </c>
      <c r="E1140" s="2">
        <v>61</v>
      </c>
      <c r="F1140" s="2" t="str">
        <f t="shared" si="40"/>
        <v>APILABLE</v>
      </c>
      <c r="G1140" s="2" t="str">
        <f>"63445066"</f>
        <v>63445066</v>
      </c>
      <c r="I1140">
        <v>5</v>
      </c>
      <c r="J1140" s="3">
        <v>1</v>
      </c>
      <c r="K1140" s="2">
        <v>9</v>
      </c>
      <c r="L1140" s="3" t="s">
        <v>31</v>
      </c>
      <c r="M1140" s="4">
        <v>43423</v>
      </c>
      <c r="N1140" s="3">
        <v>9.6999999999999993</v>
      </c>
    </row>
    <row r="1141" spans="1:14" x14ac:dyDescent="0.25">
      <c r="A1141" s="2">
        <v>1140</v>
      </c>
      <c r="B1141" s="3">
        <v>25776356</v>
      </c>
      <c r="C1141" s="2" t="s">
        <v>286</v>
      </c>
      <c r="D1141" s="3">
        <v>2</v>
      </c>
      <c r="E1141" s="2">
        <v>61</v>
      </c>
      <c r="F1141" s="2" t="str">
        <f t="shared" si="40"/>
        <v>APILABLE</v>
      </c>
      <c r="G1141" s="2" t="str">
        <f>"63445067"</f>
        <v>63445067</v>
      </c>
      <c r="I1141">
        <v>5</v>
      </c>
      <c r="J1141" s="3">
        <v>1</v>
      </c>
      <c r="K1141" s="2">
        <v>9</v>
      </c>
      <c r="L1141" s="3" t="s">
        <v>31</v>
      </c>
      <c r="M1141" s="4">
        <v>43423</v>
      </c>
      <c r="N1141" s="3">
        <v>9.6999999999999993</v>
      </c>
    </row>
    <row r="1142" spans="1:14" x14ac:dyDescent="0.25">
      <c r="A1142" s="2">
        <v>1141</v>
      </c>
      <c r="B1142" s="3">
        <v>25776301</v>
      </c>
      <c r="C1142" s="2" t="s">
        <v>286</v>
      </c>
      <c r="D1142" s="3">
        <v>2</v>
      </c>
      <c r="E1142" s="2">
        <v>61</v>
      </c>
      <c r="F1142" s="2" t="str">
        <f t="shared" si="40"/>
        <v>APILABLE</v>
      </c>
      <c r="G1142" s="2" t="str">
        <f>"63445012"</f>
        <v>63445012</v>
      </c>
      <c r="I1142">
        <v>5</v>
      </c>
      <c r="J1142" s="3">
        <v>1</v>
      </c>
      <c r="K1142" s="2">
        <v>9</v>
      </c>
      <c r="L1142" s="3" t="s">
        <v>31</v>
      </c>
      <c r="M1142" s="4">
        <v>43423</v>
      </c>
      <c r="N1142" s="3">
        <v>9.6999999999999993</v>
      </c>
    </row>
    <row r="1143" spans="1:14" x14ac:dyDescent="0.25">
      <c r="A1143" s="2">
        <v>1142</v>
      </c>
      <c r="B1143" s="3">
        <v>25776302</v>
      </c>
      <c r="C1143" s="2" t="s">
        <v>286</v>
      </c>
      <c r="D1143" s="3">
        <v>2</v>
      </c>
      <c r="E1143" s="2">
        <v>61</v>
      </c>
      <c r="F1143" s="2" t="str">
        <f t="shared" si="40"/>
        <v>APILABLE</v>
      </c>
      <c r="G1143" s="2" t="str">
        <f>"63445013"</f>
        <v>63445013</v>
      </c>
      <c r="I1143">
        <v>5</v>
      </c>
      <c r="J1143" s="3">
        <v>1</v>
      </c>
      <c r="K1143" s="2">
        <v>9</v>
      </c>
      <c r="L1143" s="3" t="s">
        <v>31</v>
      </c>
      <c r="M1143" s="4">
        <v>43423</v>
      </c>
      <c r="N1143" s="3">
        <v>9.6999999999999993</v>
      </c>
    </row>
    <row r="1144" spans="1:14" x14ac:dyDescent="0.25">
      <c r="A1144" s="2">
        <v>1143</v>
      </c>
      <c r="B1144" s="3">
        <v>25776303</v>
      </c>
      <c r="C1144" s="2" t="s">
        <v>286</v>
      </c>
      <c r="D1144" s="3">
        <v>2</v>
      </c>
      <c r="E1144" s="2">
        <v>61</v>
      </c>
      <c r="F1144" s="2" t="str">
        <f t="shared" si="40"/>
        <v>APILABLE</v>
      </c>
      <c r="G1144" s="2" t="str">
        <f>"63445014"</f>
        <v>63445014</v>
      </c>
      <c r="I1144">
        <v>5</v>
      </c>
      <c r="J1144" s="3">
        <v>1</v>
      </c>
      <c r="K1144" s="2">
        <v>9</v>
      </c>
      <c r="L1144" s="3" t="s">
        <v>31</v>
      </c>
      <c r="M1144" s="4">
        <v>43423</v>
      </c>
      <c r="N1144" s="3">
        <v>9.6999999999999993</v>
      </c>
    </row>
    <row r="1145" spans="1:14" x14ac:dyDescent="0.25">
      <c r="A1145" s="2">
        <v>1144</v>
      </c>
      <c r="B1145" s="3">
        <v>25776304</v>
      </c>
      <c r="C1145" s="2" t="s">
        <v>286</v>
      </c>
      <c r="D1145" s="3">
        <v>2</v>
      </c>
      <c r="E1145" s="2">
        <v>61</v>
      </c>
      <c r="F1145" s="2" t="str">
        <f t="shared" si="40"/>
        <v>APILABLE</v>
      </c>
      <c r="G1145" s="2" t="str">
        <f>"63445015"</f>
        <v>63445015</v>
      </c>
      <c r="I1145">
        <v>5</v>
      </c>
      <c r="J1145" s="3">
        <v>1</v>
      </c>
      <c r="K1145" s="2">
        <v>9</v>
      </c>
      <c r="L1145" s="3" t="s">
        <v>31</v>
      </c>
      <c r="M1145" s="4">
        <v>43423</v>
      </c>
      <c r="N1145" s="3">
        <v>9.6999999999999993</v>
      </c>
    </row>
    <row r="1146" spans="1:14" x14ac:dyDescent="0.25">
      <c r="A1146" s="2">
        <v>1145</v>
      </c>
      <c r="B1146" s="3">
        <v>25776305</v>
      </c>
      <c r="C1146" s="2" t="s">
        <v>286</v>
      </c>
      <c r="D1146" s="3">
        <v>2</v>
      </c>
      <c r="E1146" s="2">
        <v>61</v>
      </c>
      <c r="F1146" s="2" t="str">
        <f t="shared" si="40"/>
        <v>APILABLE</v>
      </c>
      <c r="G1146" s="2" t="str">
        <f>"63445016"</f>
        <v>63445016</v>
      </c>
      <c r="I1146">
        <v>5</v>
      </c>
      <c r="J1146" s="3">
        <v>1</v>
      </c>
      <c r="K1146" s="2">
        <v>9</v>
      </c>
      <c r="L1146" s="3" t="s">
        <v>31</v>
      </c>
      <c r="M1146" s="4">
        <v>43423</v>
      </c>
      <c r="N1146" s="3">
        <v>9.6999999999999993</v>
      </c>
    </row>
    <row r="1147" spans="1:14" x14ac:dyDescent="0.25">
      <c r="A1147" s="2">
        <v>1146</v>
      </c>
      <c r="B1147" s="3">
        <v>25776306</v>
      </c>
      <c r="C1147" s="2" t="s">
        <v>286</v>
      </c>
      <c r="D1147" s="3">
        <v>2</v>
      </c>
      <c r="E1147" s="2">
        <v>61</v>
      </c>
      <c r="F1147" s="2" t="str">
        <f t="shared" si="40"/>
        <v>APILABLE</v>
      </c>
      <c r="G1147" s="2" t="str">
        <f>"63445017"</f>
        <v>63445017</v>
      </c>
      <c r="I1147">
        <v>5</v>
      </c>
      <c r="J1147" s="3">
        <v>1</v>
      </c>
      <c r="K1147" s="2">
        <v>9</v>
      </c>
      <c r="L1147" s="3" t="s">
        <v>31</v>
      </c>
      <c r="M1147" s="4">
        <v>43423</v>
      </c>
      <c r="N1147" s="3">
        <v>9.6999999999999993</v>
      </c>
    </row>
    <row r="1148" spans="1:14" x14ac:dyDescent="0.25">
      <c r="A1148" s="2">
        <v>1147</v>
      </c>
      <c r="B1148" s="3">
        <v>25776307</v>
      </c>
      <c r="C1148" s="2" t="s">
        <v>286</v>
      </c>
      <c r="D1148" s="3">
        <v>2</v>
      </c>
      <c r="E1148" s="2">
        <v>61</v>
      </c>
      <c r="F1148" s="2" t="str">
        <f t="shared" si="40"/>
        <v>APILABLE</v>
      </c>
      <c r="G1148" s="2" t="str">
        <f>"63445018"</f>
        <v>63445018</v>
      </c>
      <c r="I1148">
        <v>5</v>
      </c>
      <c r="J1148" s="3">
        <v>1</v>
      </c>
      <c r="K1148" s="2">
        <v>9</v>
      </c>
      <c r="L1148" s="3" t="s">
        <v>31</v>
      </c>
      <c r="M1148" s="4">
        <v>43423</v>
      </c>
      <c r="N1148" s="3">
        <v>9.6999999999999993</v>
      </c>
    </row>
    <row r="1149" spans="1:14" x14ac:dyDescent="0.25">
      <c r="A1149" s="2">
        <v>1148</v>
      </c>
      <c r="B1149" s="3">
        <v>25776308</v>
      </c>
      <c r="C1149" s="2" t="s">
        <v>286</v>
      </c>
      <c r="D1149" s="3">
        <v>2</v>
      </c>
      <c r="E1149" s="2">
        <v>61</v>
      </c>
      <c r="F1149" s="2" t="str">
        <f t="shared" si="40"/>
        <v>APILABLE</v>
      </c>
      <c r="G1149" s="2" t="str">
        <f>"63445019"</f>
        <v>63445019</v>
      </c>
      <c r="I1149">
        <v>5</v>
      </c>
      <c r="J1149" s="3">
        <v>1</v>
      </c>
      <c r="K1149" s="2">
        <v>9</v>
      </c>
      <c r="L1149" s="3" t="s">
        <v>31</v>
      </c>
      <c r="M1149" s="4">
        <v>43423</v>
      </c>
      <c r="N1149" s="3">
        <v>9.6999999999999993</v>
      </c>
    </row>
    <row r="1150" spans="1:14" x14ac:dyDescent="0.25">
      <c r="A1150" s="2">
        <v>1149</v>
      </c>
      <c r="B1150" s="3">
        <v>25776309</v>
      </c>
      <c r="C1150" s="2" t="s">
        <v>286</v>
      </c>
      <c r="D1150" s="3">
        <v>2</v>
      </c>
      <c r="E1150" s="2">
        <v>61</v>
      </c>
      <c r="F1150" s="2" t="str">
        <f t="shared" si="40"/>
        <v>APILABLE</v>
      </c>
      <c r="G1150" s="2" t="str">
        <f>"63445020"</f>
        <v>63445020</v>
      </c>
      <c r="I1150">
        <v>5</v>
      </c>
      <c r="J1150" s="3">
        <v>1</v>
      </c>
      <c r="K1150" s="2">
        <v>9</v>
      </c>
      <c r="L1150" s="3" t="s">
        <v>31</v>
      </c>
      <c r="M1150" s="4">
        <v>43423</v>
      </c>
      <c r="N1150" s="3">
        <v>9.6999999999999993</v>
      </c>
    </row>
    <row r="1151" spans="1:14" x14ac:dyDescent="0.25">
      <c r="A1151" s="2">
        <v>1150</v>
      </c>
      <c r="B1151" s="3">
        <v>25776310</v>
      </c>
      <c r="C1151" s="2" t="s">
        <v>286</v>
      </c>
      <c r="D1151" s="3">
        <v>2</v>
      </c>
      <c r="E1151" s="2">
        <v>61</v>
      </c>
      <c r="F1151" s="2" t="str">
        <f t="shared" si="40"/>
        <v>APILABLE</v>
      </c>
      <c r="G1151" s="2" t="str">
        <f>"63445021"</f>
        <v>63445021</v>
      </c>
      <c r="I1151">
        <v>5</v>
      </c>
      <c r="J1151" s="3">
        <v>1</v>
      </c>
      <c r="K1151" s="2">
        <v>9</v>
      </c>
      <c r="L1151" s="3" t="s">
        <v>31</v>
      </c>
      <c r="M1151" s="4">
        <v>43423</v>
      </c>
      <c r="N1151" s="3">
        <v>9.6999999999999993</v>
      </c>
    </row>
    <row r="1152" spans="1:14" x14ac:dyDescent="0.25">
      <c r="A1152" s="2">
        <v>1151</v>
      </c>
      <c r="B1152" s="3">
        <v>25776311</v>
      </c>
      <c r="C1152" s="2" t="s">
        <v>286</v>
      </c>
      <c r="D1152" s="3">
        <v>2</v>
      </c>
      <c r="E1152" s="2">
        <v>61</v>
      </c>
      <c r="F1152" s="2" t="str">
        <f t="shared" si="40"/>
        <v>APILABLE</v>
      </c>
      <c r="G1152" s="2" t="str">
        <f>"63445022"</f>
        <v>63445022</v>
      </c>
      <c r="I1152">
        <v>5</v>
      </c>
      <c r="J1152" s="3">
        <v>1</v>
      </c>
      <c r="K1152" s="2">
        <v>9</v>
      </c>
      <c r="L1152" s="3" t="s">
        <v>31</v>
      </c>
      <c r="M1152" s="4">
        <v>43423</v>
      </c>
      <c r="N1152" s="3">
        <v>9.6999999999999993</v>
      </c>
    </row>
    <row r="1153" spans="1:14" x14ac:dyDescent="0.25">
      <c r="A1153" s="2">
        <v>1152</v>
      </c>
      <c r="B1153" s="3">
        <v>25776312</v>
      </c>
      <c r="C1153" s="2" t="s">
        <v>286</v>
      </c>
      <c r="D1153" s="3">
        <v>2</v>
      </c>
      <c r="E1153" s="2">
        <v>61</v>
      </c>
      <c r="F1153" s="2" t="str">
        <f t="shared" si="40"/>
        <v>APILABLE</v>
      </c>
      <c r="G1153" s="2" t="str">
        <f>"63445023"</f>
        <v>63445023</v>
      </c>
      <c r="I1153">
        <v>5</v>
      </c>
      <c r="J1153" s="3">
        <v>1</v>
      </c>
      <c r="K1153" s="2">
        <v>9</v>
      </c>
      <c r="L1153" s="3" t="s">
        <v>31</v>
      </c>
      <c r="M1153" s="4">
        <v>43423</v>
      </c>
      <c r="N1153" s="3">
        <v>9.6999999999999993</v>
      </c>
    </row>
    <row r="1154" spans="1:14" x14ac:dyDescent="0.25">
      <c r="A1154" s="2">
        <v>1153</v>
      </c>
      <c r="B1154" s="3">
        <v>25776313</v>
      </c>
      <c r="C1154" s="2" t="s">
        <v>286</v>
      </c>
      <c r="D1154" s="3">
        <v>2</v>
      </c>
      <c r="E1154" s="2">
        <v>61</v>
      </c>
      <c r="F1154" s="2" t="str">
        <f t="shared" si="40"/>
        <v>APILABLE</v>
      </c>
      <c r="G1154" s="2" t="str">
        <f>"63445024"</f>
        <v>63445024</v>
      </c>
      <c r="I1154">
        <v>5</v>
      </c>
      <c r="J1154" s="3">
        <v>1</v>
      </c>
      <c r="K1154" s="2">
        <v>9</v>
      </c>
      <c r="L1154" s="3" t="s">
        <v>31</v>
      </c>
      <c r="M1154" s="4">
        <v>43423</v>
      </c>
      <c r="N1154" s="3">
        <v>9.6999999999999993</v>
      </c>
    </row>
    <row r="1155" spans="1:14" x14ac:dyDescent="0.25">
      <c r="A1155" s="2">
        <v>1154</v>
      </c>
      <c r="B1155" s="3">
        <v>25776314</v>
      </c>
      <c r="C1155" s="2" t="s">
        <v>286</v>
      </c>
      <c r="D1155" s="3">
        <v>2</v>
      </c>
      <c r="E1155" s="2">
        <v>61</v>
      </c>
      <c r="F1155" s="2" t="str">
        <f t="shared" si="40"/>
        <v>APILABLE</v>
      </c>
      <c r="G1155" s="2" t="str">
        <f>"63445025"</f>
        <v>63445025</v>
      </c>
      <c r="I1155">
        <v>5</v>
      </c>
      <c r="J1155" s="3">
        <v>1</v>
      </c>
      <c r="K1155" s="2">
        <v>9</v>
      </c>
      <c r="L1155" s="3" t="s">
        <v>31</v>
      </c>
      <c r="M1155" s="4">
        <v>43423</v>
      </c>
      <c r="N1155" s="3">
        <v>9.6999999999999993</v>
      </c>
    </row>
    <row r="1156" spans="1:14" x14ac:dyDescent="0.25">
      <c r="A1156" s="2">
        <v>1155</v>
      </c>
      <c r="B1156" s="3">
        <v>25776315</v>
      </c>
      <c r="C1156" s="2" t="s">
        <v>286</v>
      </c>
      <c r="D1156" s="3">
        <v>2</v>
      </c>
      <c r="E1156" s="2">
        <v>61</v>
      </c>
      <c r="F1156" s="2" t="str">
        <f t="shared" si="40"/>
        <v>APILABLE</v>
      </c>
      <c r="G1156" s="2" t="str">
        <f>"63445026"</f>
        <v>63445026</v>
      </c>
      <c r="I1156">
        <v>5</v>
      </c>
      <c r="J1156" s="3">
        <v>1</v>
      </c>
      <c r="K1156" s="2">
        <v>9</v>
      </c>
      <c r="L1156" s="3" t="s">
        <v>31</v>
      </c>
      <c r="M1156" s="4">
        <v>43423</v>
      </c>
      <c r="N1156" s="3">
        <v>9.6999999999999993</v>
      </c>
    </row>
    <row r="1157" spans="1:14" x14ac:dyDescent="0.25">
      <c r="A1157" s="2">
        <v>1156</v>
      </c>
      <c r="B1157" s="3">
        <v>25776316</v>
      </c>
      <c r="C1157" s="2" t="s">
        <v>286</v>
      </c>
      <c r="D1157" s="3">
        <v>2</v>
      </c>
      <c r="E1157" s="2">
        <v>61</v>
      </c>
      <c r="F1157" s="2" t="str">
        <f t="shared" si="40"/>
        <v>APILABLE</v>
      </c>
      <c r="G1157" s="2" t="str">
        <f>"63445027"</f>
        <v>63445027</v>
      </c>
      <c r="I1157">
        <v>5</v>
      </c>
      <c r="J1157" s="3">
        <v>1</v>
      </c>
      <c r="K1157" s="2">
        <v>9</v>
      </c>
      <c r="L1157" s="3" t="s">
        <v>31</v>
      </c>
      <c r="M1157" s="4">
        <v>43423</v>
      </c>
      <c r="N1157" s="3">
        <v>9.6999999999999993</v>
      </c>
    </row>
    <row r="1158" spans="1:14" x14ac:dyDescent="0.25">
      <c r="A1158" s="2">
        <v>1157</v>
      </c>
      <c r="B1158" s="3">
        <v>25776317</v>
      </c>
      <c r="C1158" s="2" t="s">
        <v>286</v>
      </c>
      <c r="D1158" s="3">
        <v>2</v>
      </c>
      <c r="E1158" s="2">
        <v>61</v>
      </c>
      <c r="F1158" s="2" t="str">
        <f t="shared" si="40"/>
        <v>APILABLE</v>
      </c>
      <c r="G1158" s="2" t="str">
        <f>"63445028"</f>
        <v>63445028</v>
      </c>
      <c r="I1158">
        <v>5</v>
      </c>
      <c r="J1158" s="3">
        <v>1</v>
      </c>
      <c r="K1158" s="2">
        <v>9</v>
      </c>
      <c r="L1158" s="3" t="s">
        <v>31</v>
      </c>
      <c r="M1158" s="4">
        <v>43423</v>
      </c>
      <c r="N1158" s="3">
        <v>9.6999999999999993</v>
      </c>
    </row>
    <row r="1159" spans="1:14" x14ac:dyDescent="0.25">
      <c r="A1159" s="2">
        <v>1158</v>
      </c>
      <c r="B1159" s="3">
        <v>25776318</v>
      </c>
      <c r="C1159" s="2" t="s">
        <v>286</v>
      </c>
      <c r="D1159" s="3">
        <v>2</v>
      </c>
      <c r="E1159" s="2">
        <v>61</v>
      </c>
      <c r="F1159" s="2" t="str">
        <f t="shared" si="40"/>
        <v>APILABLE</v>
      </c>
      <c r="G1159" s="2" t="str">
        <f>"63445029"</f>
        <v>63445029</v>
      </c>
      <c r="I1159">
        <v>5</v>
      </c>
      <c r="J1159" s="3">
        <v>1</v>
      </c>
      <c r="K1159" s="2">
        <v>9</v>
      </c>
      <c r="L1159" s="3" t="s">
        <v>31</v>
      </c>
      <c r="M1159" s="4">
        <v>43423</v>
      </c>
      <c r="N1159" s="3">
        <v>9.6999999999999993</v>
      </c>
    </row>
    <row r="1160" spans="1:14" x14ac:dyDescent="0.25">
      <c r="A1160" s="2">
        <v>1159</v>
      </c>
      <c r="B1160" s="3">
        <v>25776319</v>
      </c>
      <c r="C1160" s="2" t="s">
        <v>286</v>
      </c>
      <c r="D1160" s="3">
        <v>2</v>
      </c>
      <c r="E1160" s="2">
        <v>61</v>
      </c>
      <c r="F1160" s="2" t="str">
        <f t="shared" si="40"/>
        <v>APILABLE</v>
      </c>
      <c r="G1160" s="2" t="str">
        <f>"63445030"</f>
        <v>63445030</v>
      </c>
      <c r="I1160">
        <v>5</v>
      </c>
      <c r="J1160" s="3">
        <v>1</v>
      </c>
      <c r="K1160" s="2">
        <v>9</v>
      </c>
      <c r="L1160" s="3" t="s">
        <v>31</v>
      </c>
      <c r="M1160" s="4">
        <v>43423</v>
      </c>
      <c r="N1160" s="3">
        <v>9.6999999999999993</v>
      </c>
    </row>
    <row r="1161" spans="1:14" x14ac:dyDescent="0.25">
      <c r="A1161" s="2">
        <v>1160</v>
      </c>
      <c r="B1161" s="3">
        <v>25776320</v>
      </c>
      <c r="C1161" s="2" t="s">
        <v>286</v>
      </c>
      <c r="D1161" s="3">
        <v>2</v>
      </c>
      <c r="E1161" s="2">
        <v>61</v>
      </c>
      <c r="F1161" s="2" t="str">
        <f t="shared" si="40"/>
        <v>APILABLE</v>
      </c>
      <c r="G1161" s="2" t="str">
        <f>"63445031"</f>
        <v>63445031</v>
      </c>
      <c r="I1161">
        <v>5</v>
      </c>
      <c r="J1161" s="3">
        <v>1</v>
      </c>
      <c r="K1161" s="2">
        <v>9</v>
      </c>
      <c r="L1161" s="3" t="s">
        <v>31</v>
      </c>
      <c r="M1161" s="4">
        <v>43423</v>
      </c>
      <c r="N1161" s="3">
        <v>9.6999999999999993</v>
      </c>
    </row>
    <row r="1162" spans="1:14" x14ac:dyDescent="0.25">
      <c r="A1162" s="2">
        <v>1161</v>
      </c>
      <c r="B1162" s="3">
        <v>25776321</v>
      </c>
      <c r="C1162" s="2" t="s">
        <v>286</v>
      </c>
      <c r="D1162" s="3">
        <v>2</v>
      </c>
      <c r="E1162" s="2">
        <v>61</v>
      </c>
      <c r="F1162" s="2" t="str">
        <f t="shared" si="40"/>
        <v>APILABLE</v>
      </c>
      <c r="G1162" s="2" t="str">
        <f>"63445032"</f>
        <v>63445032</v>
      </c>
      <c r="I1162">
        <v>5</v>
      </c>
      <c r="J1162" s="3">
        <v>1</v>
      </c>
      <c r="K1162" s="2">
        <v>9</v>
      </c>
      <c r="L1162" s="3" t="s">
        <v>31</v>
      </c>
      <c r="M1162" s="4">
        <v>43423</v>
      </c>
      <c r="N1162" s="3">
        <v>9.6999999999999993</v>
      </c>
    </row>
    <row r="1163" spans="1:14" x14ac:dyDescent="0.25">
      <c r="A1163" s="2">
        <v>1162</v>
      </c>
      <c r="B1163" s="3">
        <v>25776322</v>
      </c>
      <c r="C1163" s="2" t="s">
        <v>286</v>
      </c>
      <c r="D1163" s="3">
        <v>2</v>
      </c>
      <c r="E1163" s="2">
        <v>61</v>
      </c>
      <c r="F1163" s="2" t="str">
        <f t="shared" si="40"/>
        <v>APILABLE</v>
      </c>
      <c r="G1163" s="2" t="str">
        <f>"63445033"</f>
        <v>63445033</v>
      </c>
      <c r="I1163">
        <v>5</v>
      </c>
      <c r="J1163" s="3">
        <v>1</v>
      </c>
      <c r="K1163" s="2">
        <v>9</v>
      </c>
      <c r="L1163" s="3" t="s">
        <v>31</v>
      </c>
      <c r="M1163" s="4">
        <v>43423</v>
      </c>
      <c r="N1163" s="3">
        <v>9.6999999999999993</v>
      </c>
    </row>
    <row r="1164" spans="1:14" x14ac:dyDescent="0.25">
      <c r="A1164" s="2">
        <v>1163</v>
      </c>
      <c r="B1164" s="3">
        <v>25776323</v>
      </c>
      <c r="C1164" s="2" t="s">
        <v>286</v>
      </c>
      <c r="D1164" s="3">
        <v>2</v>
      </c>
      <c r="E1164" s="2">
        <v>61</v>
      </c>
      <c r="F1164" s="2" t="str">
        <f t="shared" si="40"/>
        <v>APILABLE</v>
      </c>
      <c r="G1164" s="2" t="str">
        <f>"63445034"</f>
        <v>63445034</v>
      </c>
      <c r="I1164">
        <v>5</v>
      </c>
      <c r="J1164" s="3">
        <v>1</v>
      </c>
      <c r="K1164" s="2">
        <v>9</v>
      </c>
      <c r="L1164" s="3" t="s">
        <v>31</v>
      </c>
      <c r="M1164" s="4">
        <v>43423</v>
      </c>
      <c r="N1164" s="3">
        <v>9.6999999999999993</v>
      </c>
    </row>
    <row r="1165" spans="1:14" x14ac:dyDescent="0.25">
      <c r="A1165" s="2">
        <v>1164</v>
      </c>
      <c r="B1165" s="3">
        <v>25776324</v>
      </c>
      <c r="C1165" s="2" t="s">
        <v>286</v>
      </c>
      <c r="D1165" s="3">
        <v>2</v>
      </c>
      <c r="E1165" s="2">
        <v>61</v>
      </c>
      <c r="F1165" s="2" t="str">
        <f t="shared" si="40"/>
        <v>APILABLE</v>
      </c>
      <c r="G1165" s="2" t="str">
        <f>"63445035"</f>
        <v>63445035</v>
      </c>
      <c r="I1165">
        <v>5</v>
      </c>
      <c r="J1165" s="3">
        <v>1</v>
      </c>
      <c r="K1165" s="2">
        <v>9</v>
      </c>
      <c r="L1165" s="3" t="s">
        <v>31</v>
      </c>
      <c r="M1165" s="4">
        <v>43423</v>
      </c>
      <c r="N1165" s="3">
        <v>9.6999999999999993</v>
      </c>
    </row>
    <row r="1166" spans="1:14" x14ac:dyDescent="0.25">
      <c r="A1166" s="2">
        <v>1165</v>
      </c>
      <c r="B1166" s="3">
        <v>25776325</v>
      </c>
      <c r="C1166" s="2" t="s">
        <v>286</v>
      </c>
      <c r="D1166" s="3">
        <v>2</v>
      </c>
      <c r="E1166" s="2">
        <v>61</v>
      </c>
      <c r="F1166" s="2" t="str">
        <f t="shared" si="40"/>
        <v>APILABLE</v>
      </c>
      <c r="G1166" s="2" t="str">
        <f>"63445036"</f>
        <v>63445036</v>
      </c>
      <c r="I1166">
        <v>5</v>
      </c>
      <c r="J1166" s="3">
        <v>1</v>
      </c>
      <c r="K1166" s="2">
        <v>9</v>
      </c>
      <c r="L1166" s="3" t="s">
        <v>31</v>
      </c>
      <c r="M1166" s="4">
        <v>43423</v>
      </c>
      <c r="N1166" s="3">
        <v>9.6999999999999993</v>
      </c>
    </row>
    <row r="1167" spans="1:14" x14ac:dyDescent="0.25">
      <c r="A1167" s="2">
        <v>1166</v>
      </c>
      <c r="B1167" s="3">
        <v>25776326</v>
      </c>
      <c r="C1167" s="2" t="s">
        <v>286</v>
      </c>
      <c r="D1167" s="3">
        <v>2</v>
      </c>
      <c r="E1167" s="2">
        <v>61</v>
      </c>
      <c r="F1167" s="2" t="str">
        <f t="shared" si="40"/>
        <v>APILABLE</v>
      </c>
      <c r="G1167" s="2" t="str">
        <f>"63445037"</f>
        <v>63445037</v>
      </c>
      <c r="I1167">
        <v>5</v>
      </c>
      <c r="J1167" s="3">
        <v>1</v>
      </c>
      <c r="K1167" s="2">
        <v>9</v>
      </c>
      <c r="L1167" s="3" t="s">
        <v>31</v>
      </c>
      <c r="M1167" s="4">
        <v>43423</v>
      </c>
      <c r="N1167" s="3">
        <v>9.6999999999999993</v>
      </c>
    </row>
    <row r="1168" spans="1:14" x14ac:dyDescent="0.25">
      <c r="A1168" s="2">
        <v>1167</v>
      </c>
      <c r="B1168" s="3">
        <v>25776327</v>
      </c>
      <c r="C1168" s="2" t="s">
        <v>286</v>
      </c>
      <c r="D1168" s="3">
        <v>2</v>
      </c>
      <c r="E1168" s="2">
        <v>61</v>
      </c>
      <c r="F1168" s="2" t="str">
        <f t="shared" si="40"/>
        <v>APILABLE</v>
      </c>
      <c r="G1168" s="2" t="str">
        <f>"63445038"</f>
        <v>63445038</v>
      </c>
      <c r="I1168">
        <v>5</v>
      </c>
      <c r="J1168" s="3">
        <v>1</v>
      </c>
      <c r="K1168" s="2">
        <v>9</v>
      </c>
      <c r="L1168" s="3" t="s">
        <v>31</v>
      </c>
      <c r="M1168" s="4">
        <v>43423</v>
      </c>
      <c r="N1168" s="3">
        <v>9.6999999999999993</v>
      </c>
    </row>
    <row r="1169" spans="1:14" x14ac:dyDescent="0.25">
      <c r="A1169" s="2">
        <v>1168</v>
      </c>
      <c r="B1169" s="3">
        <v>25776328</v>
      </c>
      <c r="C1169" s="2" t="s">
        <v>286</v>
      </c>
      <c r="D1169" s="3">
        <v>2</v>
      </c>
      <c r="E1169" s="2">
        <v>61</v>
      </c>
      <c r="F1169" s="2" t="str">
        <f t="shared" si="40"/>
        <v>APILABLE</v>
      </c>
      <c r="G1169" s="2" t="str">
        <f>"63445039"</f>
        <v>63445039</v>
      </c>
      <c r="I1169">
        <v>5</v>
      </c>
      <c r="J1169" s="3">
        <v>1</v>
      </c>
      <c r="K1169" s="2">
        <v>9</v>
      </c>
      <c r="L1169" s="3" t="s">
        <v>31</v>
      </c>
      <c r="M1169" s="4">
        <v>43423</v>
      </c>
      <c r="N1169" s="3">
        <v>9.6999999999999993</v>
      </c>
    </row>
    <row r="1170" spans="1:14" x14ac:dyDescent="0.25">
      <c r="A1170" s="2">
        <v>1169</v>
      </c>
      <c r="B1170" s="3">
        <v>25776329</v>
      </c>
      <c r="C1170" s="2" t="s">
        <v>286</v>
      </c>
      <c r="D1170" s="3">
        <v>2</v>
      </c>
      <c r="E1170" s="2">
        <v>61</v>
      </c>
      <c r="F1170" s="2" t="str">
        <f t="shared" si="40"/>
        <v>APILABLE</v>
      </c>
      <c r="G1170" s="2" t="str">
        <f>"63445040"</f>
        <v>63445040</v>
      </c>
      <c r="I1170">
        <v>5</v>
      </c>
      <c r="J1170" s="3">
        <v>1</v>
      </c>
      <c r="K1170" s="2">
        <v>9</v>
      </c>
      <c r="L1170" s="3" t="s">
        <v>31</v>
      </c>
      <c r="M1170" s="4">
        <v>43423</v>
      </c>
      <c r="N1170" s="3">
        <v>9.6999999999999993</v>
      </c>
    </row>
    <row r="1171" spans="1:14" x14ac:dyDescent="0.25">
      <c r="A1171" s="2">
        <v>1170</v>
      </c>
      <c r="B1171" s="3">
        <v>25776330</v>
      </c>
      <c r="C1171" s="2" t="s">
        <v>286</v>
      </c>
      <c r="D1171" s="3">
        <v>2</v>
      </c>
      <c r="E1171" s="2">
        <v>61</v>
      </c>
      <c r="F1171" s="2" t="str">
        <f t="shared" si="40"/>
        <v>APILABLE</v>
      </c>
      <c r="G1171" s="2" t="str">
        <f>"63445041"</f>
        <v>63445041</v>
      </c>
      <c r="I1171">
        <v>5</v>
      </c>
      <c r="J1171" s="3">
        <v>1</v>
      </c>
      <c r="K1171" s="2">
        <v>9</v>
      </c>
      <c r="L1171" s="3" t="s">
        <v>31</v>
      </c>
      <c r="M1171" s="4">
        <v>43423</v>
      </c>
      <c r="N1171" s="3">
        <v>9.6999999999999993</v>
      </c>
    </row>
    <row r="1172" spans="1:14" x14ac:dyDescent="0.25">
      <c r="A1172" s="2">
        <v>1171</v>
      </c>
      <c r="B1172" s="3">
        <v>25776331</v>
      </c>
      <c r="C1172" s="2" t="s">
        <v>286</v>
      </c>
      <c r="D1172" s="3">
        <v>2</v>
      </c>
      <c r="E1172" s="2">
        <v>61</v>
      </c>
      <c r="F1172" s="2" t="str">
        <f t="shared" si="40"/>
        <v>APILABLE</v>
      </c>
      <c r="G1172" s="2" t="str">
        <f>"63445042"</f>
        <v>63445042</v>
      </c>
      <c r="I1172">
        <v>5</v>
      </c>
      <c r="J1172" s="3">
        <v>1</v>
      </c>
      <c r="K1172" s="2">
        <v>9</v>
      </c>
      <c r="L1172" s="3" t="s">
        <v>31</v>
      </c>
      <c r="M1172" s="4">
        <v>43423</v>
      </c>
      <c r="N1172" s="3">
        <v>9.6999999999999993</v>
      </c>
    </row>
    <row r="1173" spans="1:14" x14ac:dyDescent="0.25">
      <c r="A1173" s="2">
        <v>1172</v>
      </c>
      <c r="B1173" s="3">
        <v>25776332</v>
      </c>
      <c r="C1173" s="2" t="s">
        <v>286</v>
      </c>
      <c r="D1173" s="3">
        <v>2</v>
      </c>
      <c r="E1173" s="2">
        <v>61</v>
      </c>
      <c r="F1173" s="2" t="str">
        <f t="shared" si="40"/>
        <v>APILABLE</v>
      </c>
      <c r="G1173" s="2" t="str">
        <f>"63445043"</f>
        <v>63445043</v>
      </c>
      <c r="I1173">
        <v>5</v>
      </c>
      <c r="J1173" s="3">
        <v>1</v>
      </c>
      <c r="K1173" s="2">
        <v>9</v>
      </c>
      <c r="L1173" s="3" t="s">
        <v>31</v>
      </c>
      <c r="M1173" s="4">
        <v>43423</v>
      </c>
      <c r="N1173" s="3">
        <v>9.6999999999999993</v>
      </c>
    </row>
    <row r="1174" spans="1:14" x14ac:dyDescent="0.25">
      <c r="A1174" s="2">
        <v>1173</v>
      </c>
      <c r="B1174" s="3">
        <v>25776333</v>
      </c>
      <c r="C1174" s="2" t="s">
        <v>286</v>
      </c>
      <c r="D1174" s="3">
        <v>2</v>
      </c>
      <c r="E1174" s="2">
        <v>61</v>
      </c>
      <c r="F1174" s="2" t="str">
        <f t="shared" si="40"/>
        <v>APILABLE</v>
      </c>
      <c r="G1174" s="2" t="str">
        <f>"63445044"</f>
        <v>63445044</v>
      </c>
      <c r="I1174">
        <v>5</v>
      </c>
      <c r="J1174" s="3">
        <v>1</v>
      </c>
      <c r="K1174" s="2">
        <v>9</v>
      </c>
      <c r="L1174" s="3" t="s">
        <v>31</v>
      </c>
      <c r="M1174" s="4">
        <v>43423</v>
      </c>
      <c r="N1174" s="3">
        <v>9.6999999999999993</v>
      </c>
    </row>
    <row r="1175" spans="1:14" x14ac:dyDescent="0.25">
      <c r="A1175" s="2">
        <v>1174</v>
      </c>
      <c r="B1175" s="3">
        <v>25776375</v>
      </c>
      <c r="C1175" s="2" t="s">
        <v>286</v>
      </c>
      <c r="D1175" s="3">
        <v>2</v>
      </c>
      <c r="E1175" s="2">
        <v>61</v>
      </c>
      <c r="F1175" s="2" t="str">
        <f t="shared" si="40"/>
        <v>APILABLE</v>
      </c>
      <c r="G1175" s="2" t="str">
        <f>"63445086"</f>
        <v>63445086</v>
      </c>
      <c r="I1175">
        <v>5</v>
      </c>
      <c r="J1175" s="3">
        <v>1</v>
      </c>
      <c r="K1175" s="2">
        <v>9</v>
      </c>
      <c r="L1175" s="3" t="s">
        <v>31</v>
      </c>
      <c r="M1175" s="4">
        <v>43423</v>
      </c>
      <c r="N1175" s="3">
        <v>9.6999999999999993</v>
      </c>
    </row>
    <row r="1176" spans="1:14" x14ac:dyDescent="0.25">
      <c r="A1176" s="2">
        <v>1175</v>
      </c>
      <c r="B1176" s="3">
        <v>25776372</v>
      </c>
      <c r="C1176" s="2" t="s">
        <v>286</v>
      </c>
      <c r="D1176" s="3">
        <v>2</v>
      </c>
      <c r="E1176" s="2">
        <v>61</v>
      </c>
      <c r="F1176" s="2" t="str">
        <f t="shared" ref="F1176:F1192" si="41">"APILABLE"</f>
        <v>APILABLE</v>
      </c>
      <c r="G1176" s="2" t="str">
        <f>"63445083"</f>
        <v>63445083</v>
      </c>
      <c r="I1176">
        <v>5</v>
      </c>
      <c r="J1176" s="3">
        <v>1</v>
      </c>
      <c r="K1176" s="2">
        <v>9</v>
      </c>
      <c r="L1176" s="3" t="s">
        <v>31</v>
      </c>
      <c r="M1176" s="4">
        <v>43423</v>
      </c>
      <c r="N1176" s="3">
        <v>9.6999999999999993</v>
      </c>
    </row>
    <row r="1177" spans="1:14" x14ac:dyDescent="0.25">
      <c r="A1177" s="2">
        <v>1176</v>
      </c>
      <c r="B1177" s="3">
        <v>25776373</v>
      </c>
      <c r="C1177" s="2" t="s">
        <v>286</v>
      </c>
      <c r="D1177" s="3">
        <v>2</v>
      </c>
      <c r="E1177" s="2">
        <v>61</v>
      </c>
      <c r="F1177" s="2" t="str">
        <f t="shared" si="41"/>
        <v>APILABLE</v>
      </c>
      <c r="G1177" s="2" t="str">
        <f>"63445084"</f>
        <v>63445084</v>
      </c>
      <c r="I1177">
        <v>5</v>
      </c>
      <c r="J1177" s="3">
        <v>1</v>
      </c>
      <c r="K1177" s="2">
        <v>9</v>
      </c>
      <c r="L1177" s="3" t="s">
        <v>31</v>
      </c>
      <c r="M1177" s="4">
        <v>43423</v>
      </c>
      <c r="N1177" s="3">
        <v>9.6999999999999993</v>
      </c>
    </row>
    <row r="1178" spans="1:14" x14ac:dyDescent="0.25">
      <c r="A1178" s="2">
        <v>1177</v>
      </c>
      <c r="B1178" s="3">
        <v>25776374</v>
      </c>
      <c r="C1178" s="2" t="s">
        <v>286</v>
      </c>
      <c r="D1178" s="3">
        <v>2</v>
      </c>
      <c r="E1178" s="2">
        <v>61</v>
      </c>
      <c r="F1178" s="2" t="str">
        <f t="shared" si="41"/>
        <v>APILABLE</v>
      </c>
      <c r="G1178" s="2" t="str">
        <f>"63445085"</f>
        <v>63445085</v>
      </c>
      <c r="I1178">
        <v>5</v>
      </c>
      <c r="J1178" s="3">
        <v>1</v>
      </c>
      <c r="K1178" s="2">
        <v>9</v>
      </c>
      <c r="L1178" s="3" t="s">
        <v>31</v>
      </c>
      <c r="M1178" s="4">
        <v>43423</v>
      </c>
      <c r="N1178" s="3">
        <v>9.6999999999999993</v>
      </c>
    </row>
    <row r="1179" spans="1:14" x14ac:dyDescent="0.25">
      <c r="A1179" s="2">
        <v>1178</v>
      </c>
      <c r="B1179" s="3">
        <v>25776376</v>
      </c>
      <c r="C1179" s="2" t="s">
        <v>286</v>
      </c>
      <c r="D1179" s="3">
        <v>2</v>
      </c>
      <c r="E1179" s="2">
        <v>61</v>
      </c>
      <c r="F1179" s="2" t="str">
        <f t="shared" si="41"/>
        <v>APILABLE</v>
      </c>
      <c r="G1179" s="2" t="str">
        <f>"63445087"</f>
        <v>63445087</v>
      </c>
      <c r="I1179">
        <v>5</v>
      </c>
      <c r="J1179" s="3">
        <v>1</v>
      </c>
      <c r="K1179" s="2">
        <v>9</v>
      </c>
      <c r="L1179" s="3" t="s">
        <v>31</v>
      </c>
      <c r="M1179" s="4">
        <v>43423</v>
      </c>
      <c r="N1179" s="3">
        <v>9.6999999999999993</v>
      </c>
    </row>
    <row r="1180" spans="1:14" x14ac:dyDescent="0.25">
      <c r="A1180" s="2">
        <v>1179</v>
      </c>
      <c r="B1180" s="3">
        <v>25776377</v>
      </c>
      <c r="C1180" s="2" t="s">
        <v>286</v>
      </c>
      <c r="D1180" s="3">
        <v>2</v>
      </c>
      <c r="E1180" s="2">
        <v>61</v>
      </c>
      <c r="F1180" s="2" t="str">
        <f t="shared" si="41"/>
        <v>APILABLE</v>
      </c>
      <c r="G1180" s="2" t="str">
        <f>"63445088"</f>
        <v>63445088</v>
      </c>
      <c r="I1180">
        <v>5</v>
      </c>
      <c r="J1180" s="3">
        <v>1</v>
      </c>
      <c r="K1180" s="2">
        <v>9</v>
      </c>
      <c r="L1180" s="3" t="s">
        <v>31</v>
      </c>
      <c r="M1180" s="4">
        <v>43423</v>
      </c>
      <c r="N1180" s="3">
        <v>9.6999999999999993</v>
      </c>
    </row>
    <row r="1181" spans="1:14" x14ac:dyDescent="0.25">
      <c r="A1181" s="2">
        <v>1180</v>
      </c>
      <c r="B1181" s="3">
        <v>25776378</v>
      </c>
      <c r="C1181" s="2" t="s">
        <v>286</v>
      </c>
      <c r="D1181" s="3">
        <v>2</v>
      </c>
      <c r="E1181" s="2">
        <v>61</v>
      </c>
      <c r="F1181" s="2" t="str">
        <f t="shared" si="41"/>
        <v>APILABLE</v>
      </c>
      <c r="G1181" s="2" t="str">
        <f>"63445089"</f>
        <v>63445089</v>
      </c>
      <c r="I1181">
        <v>5</v>
      </c>
      <c r="J1181" s="3">
        <v>1</v>
      </c>
      <c r="K1181" s="2">
        <v>9</v>
      </c>
      <c r="L1181" s="3" t="s">
        <v>31</v>
      </c>
      <c r="M1181" s="4">
        <v>43423</v>
      </c>
      <c r="N1181" s="3">
        <v>9.6999999999999993</v>
      </c>
    </row>
    <row r="1182" spans="1:14" x14ac:dyDescent="0.25">
      <c r="A1182" s="2">
        <v>1181</v>
      </c>
      <c r="B1182" s="3">
        <v>25776379</v>
      </c>
      <c r="C1182" s="2" t="s">
        <v>286</v>
      </c>
      <c r="D1182" s="3">
        <v>2</v>
      </c>
      <c r="E1182" s="2">
        <v>61</v>
      </c>
      <c r="F1182" s="2" t="str">
        <f t="shared" si="41"/>
        <v>APILABLE</v>
      </c>
      <c r="G1182" s="2" t="str">
        <f>"63445090"</f>
        <v>63445090</v>
      </c>
      <c r="I1182">
        <v>5</v>
      </c>
      <c r="J1182" s="3">
        <v>1</v>
      </c>
      <c r="K1182" s="2">
        <v>9</v>
      </c>
      <c r="L1182" s="3" t="s">
        <v>31</v>
      </c>
      <c r="M1182" s="4">
        <v>43423</v>
      </c>
      <c r="N1182" s="3">
        <v>9.6999999999999993</v>
      </c>
    </row>
    <row r="1183" spans="1:14" x14ac:dyDescent="0.25">
      <c r="A1183" s="2">
        <v>1182</v>
      </c>
      <c r="B1183" s="3">
        <v>25776380</v>
      </c>
      <c r="C1183" s="2" t="s">
        <v>286</v>
      </c>
      <c r="D1183" s="3">
        <v>2</v>
      </c>
      <c r="E1183" s="2">
        <v>61</v>
      </c>
      <c r="F1183" s="2" t="str">
        <f t="shared" si="41"/>
        <v>APILABLE</v>
      </c>
      <c r="G1183" s="2" t="str">
        <f>"63445091"</f>
        <v>63445091</v>
      </c>
      <c r="I1183">
        <v>5</v>
      </c>
      <c r="J1183" s="3">
        <v>1</v>
      </c>
      <c r="K1183" s="2">
        <v>9</v>
      </c>
      <c r="L1183" s="3" t="s">
        <v>31</v>
      </c>
      <c r="M1183" s="4">
        <v>43423</v>
      </c>
      <c r="N1183" s="3">
        <v>9.6999999999999993</v>
      </c>
    </row>
    <row r="1184" spans="1:14" x14ac:dyDescent="0.25">
      <c r="A1184" s="2">
        <v>1183</v>
      </c>
      <c r="B1184" s="3">
        <v>25776381</v>
      </c>
      <c r="C1184" s="2" t="s">
        <v>286</v>
      </c>
      <c r="D1184" s="3">
        <v>2</v>
      </c>
      <c r="E1184" s="2">
        <v>61</v>
      </c>
      <c r="F1184" s="2" t="str">
        <f t="shared" si="41"/>
        <v>APILABLE</v>
      </c>
      <c r="G1184" s="2" t="str">
        <f>"63445092"</f>
        <v>63445092</v>
      </c>
      <c r="I1184">
        <v>5</v>
      </c>
      <c r="J1184" s="3">
        <v>1</v>
      </c>
      <c r="K1184" s="2">
        <v>9</v>
      </c>
      <c r="L1184" s="3" t="s">
        <v>31</v>
      </c>
      <c r="M1184" s="4">
        <v>43423</v>
      </c>
      <c r="N1184" s="3">
        <v>9.6999999999999993</v>
      </c>
    </row>
    <row r="1185" spans="1:14" x14ac:dyDescent="0.25">
      <c r="A1185" s="2">
        <v>1184</v>
      </c>
      <c r="B1185" s="3">
        <v>25776382</v>
      </c>
      <c r="C1185" s="2" t="s">
        <v>286</v>
      </c>
      <c r="D1185" s="3">
        <v>2</v>
      </c>
      <c r="E1185" s="2">
        <v>61</v>
      </c>
      <c r="F1185" s="2" t="str">
        <f t="shared" si="41"/>
        <v>APILABLE</v>
      </c>
      <c r="G1185" s="2" t="str">
        <f>"63445093"</f>
        <v>63445093</v>
      </c>
      <c r="I1185">
        <v>5</v>
      </c>
      <c r="J1185" s="3">
        <v>1</v>
      </c>
      <c r="K1185" s="2">
        <v>9</v>
      </c>
      <c r="L1185" s="3" t="s">
        <v>31</v>
      </c>
      <c r="M1185" s="4">
        <v>43423</v>
      </c>
      <c r="N1185" s="3">
        <v>9.6999999999999993</v>
      </c>
    </row>
    <row r="1186" spans="1:14" x14ac:dyDescent="0.25">
      <c r="A1186" s="2">
        <v>1185</v>
      </c>
      <c r="B1186" s="3">
        <v>25776383</v>
      </c>
      <c r="C1186" s="2" t="s">
        <v>286</v>
      </c>
      <c r="D1186" s="3">
        <v>2</v>
      </c>
      <c r="E1186" s="2">
        <v>61</v>
      </c>
      <c r="F1186" s="2" t="str">
        <f t="shared" si="41"/>
        <v>APILABLE</v>
      </c>
      <c r="G1186" s="2" t="str">
        <f>"63445094"</f>
        <v>63445094</v>
      </c>
      <c r="I1186">
        <v>5</v>
      </c>
      <c r="J1186" s="3">
        <v>1</v>
      </c>
      <c r="K1186" s="2">
        <v>9</v>
      </c>
      <c r="L1186" s="3" t="s">
        <v>31</v>
      </c>
      <c r="M1186" s="4">
        <v>43423</v>
      </c>
      <c r="N1186" s="3">
        <v>9.6999999999999993</v>
      </c>
    </row>
    <row r="1187" spans="1:14" x14ac:dyDescent="0.25">
      <c r="A1187" s="2">
        <v>1186</v>
      </c>
      <c r="B1187" s="3">
        <v>25776384</v>
      </c>
      <c r="C1187" s="2" t="s">
        <v>286</v>
      </c>
      <c r="D1187" s="3">
        <v>2</v>
      </c>
      <c r="E1187" s="2">
        <v>61</v>
      </c>
      <c r="F1187" s="2" t="str">
        <f t="shared" si="41"/>
        <v>APILABLE</v>
      </c>
      <c r="G1187" s="2" t="str">
        <f>"63445095"</f>
        <v>63445095</v>
      </c>
      <c r="I1187">
        <v>5</v>
      </c>
      <c r="J1187" s="3">
        <v>1</v>
      </c>
      <c r="K1187" s="2">
        <v>9</v>
      </c>
      <c r="L1187" s="3" t="s">
        <v>31</v>
      </c>
      <c r="M1187" s="4">
        <v>43423</v>
      </c>
      <c r="N1187" s="3">
        <v>9.6999999999999993</v>
      </c>
    </row>
    <row r="1188" spans="1:14" x14ac:dyDescent="0.25">
      <c r="A1188" s="2">
        <v>1187</v>
      </c>
      <c r="B1188" s="3">
        <v>25776385</v>
      </c>
      <c r="C1188" s="2" t="s">
        <v>286</v>
      </c>
      <c r="D1188" s="3">
        <v>2</v>
      </c>
      <c r="E1188" s="2">
        <v>61</v>
      </c>
      <c r="F1188" s="2" t="str">
        <f t="shared" si="41"/>
        <v>APILABLE</v>
      </c>
      <c r="G1188" s="2" t="str">
        <f>"63445096"</f>
        <v>63445096</v>
      </c>
      <c r="I1188">
        <v>5</v>
      </c>
      <c r="J1188" s="3">
        <v>1</v>
      </c>
      <c r="K1188" s="2">
        <v>9</v>
      </c>
      <c r="L1188" s="3" t="s">
        <v>31</v>
      </c>
      <c r="M1188" s="4">
        <v>43423</v>
      </c>
      <c r="N1188" s="3">
        <v>9.6999999999999993</v>
      </c>
    </row>
    <row r="1189" spans="1:14" x14ac:dyDescent="0.25">
      <c r="A1189" s="2">
        <v>1188</v>
      </c>
      <c r="B1189" s="3">
        <v>25776386</v>
      </c>
      <c r="C1189" s="2" t="s">
        <v>286</v>
      </c>
      <c r="D1189" s="3">
        <v>2</v>
      </c>
      <c r="E1189" s="2">
        <v>61</v>
      </c>
      <c r="F1189" s="2" t="str">
        <f t="shared" si="41"/>
        <v>APILABLE</v>
      </c>
      <c r="G1189" s="2" t="str">
        <f>"63445097"</f>
        <v>63445097</v>
      </c>
      <c r="I1189">
        <v>5</v>
      </c>
      <c r="J1189" s="3">
        <v>1</v>
      </c>
      <c r="K1189" s="2">
        <v>9</v>
      </c>
      <c r="L1189" s="3" t="s">
        <v>31</v>
      </c>
      <c r="M1189" s="4">
        <v>43423</v>
      </c>
      <c r="N1189" s="3">
        <v>9.6999999999999993</v>
      </c>
    </row>
    <row r="1190" spans="1:14" x14ac:dyDescent="0.25">
      <c r="A1190" s="2">
        <v>1189</v>
      </c>
      <c r="B1190" s="3">
        <v>25776387</v>
      </c>
      <c r="C1190" s="2" t="s">
        <v>286</v>
      </c>
      <c r="D1190" s="3">
        <v>2</v>
      </c>
      <c r="E1190" s="2">
        <v>61</v>
      </c>
      <c r="F1190" s="2" t="str">
        <f t="shared" si="41"/>
        <v>APILABLE</v>
      </c>
      <c r="G1190" s="2" t="str">
        <f>"63445098"</f>
        <v>63445098</v>
      </c>
      <c r="I1190">
        <v>5</v>
      </c>
      <c r="J1190" s="3">
        <v>1</v>
      </c>
      <c r="K1190" s="2">
        <v>9</v>
      </c>
      <c r="L1190" s="3" t="s">
        <v>31</v>
      </c>
      <c r="M1190" s="4">
        <v>43423</v>
      </c>
      <c r="N1190" s="3">
        <v>9.6999999999999993</v>
      </c>
    </row>
    <row r="1191" spans="1:14" x14ac:dyDescent="0.25">
      <c r="A1191" s="2">
        <v>1190</v>
      </c>
      <c r="B1191" s="3">
        <v>25776388</v>
      </c>
      <c r="C1191" s="2" t="s">
        <v>286</v>
      </c>
      <c r="D1191" s="3">
        <v>2</v>
      </c>
      <c r="E1191" s="2">
        <v>61</v>
      </c>
      <c r="F1191" s="2" t="str">
        <f t="shared" si="41"/>
        <v>APILABLE</v>
      </c>
      <c r="G1191" s="2" t="str">
        <f>"63445099"</f>
        <v>63445099</v>
      </c>
      <c r="I1191">
        <v>5</v>
      </c>
      <c r="J1191" s="3">
        <v>1</v>
      </c>
      <c r="K1191" s="2">
        <v>9</v>
      </c>
      <c r="L1191" s="3" t="s">
        <v>31</v>
      </c>
      <c r="M1191" s="4">
        <v>43423</v>
      </c>
      <c r="N1191" s="3">
        <v>9.6999999999999993</v>
      </c>
    </row>
    <row r="1192" spans="1:14" x14ac:dyDescent="0.25">
      <c r="A1192" s="2">
        <v>1191</v>
      </c>
      <c r="B1192" s="3">
        <v>25776389</v>
      </c>
      <c r="C1192" s="2" t="s">
        <v>286</v>
      </c>
      <c r="D1192" s="3">
        <v>2</v>
      </c>
      <c r="E1192" s="2">
        <v>61</v>
      </c>
      <c r="F1192" s="2" t="str">
        <f t="shared" si="41"/>
        <v>APILABLE</v>
      </c>
      <c r="G1192" s="2" t="str">
        <f>"63445100"</f>
        <v>63445100</v>
      </c>
      <c r="I1192">
        <v>5</v>
      </c>
      <c r="J1192" s="3">
        <v>1</v>
      </c>
      <c r="K1192" s="2">
        <v>9</v>
      </c>
      <c r="L1192" s="3" t="s">
        <v>31</v>
      </c>
      <c r="M1192" s="4">
        <v>43423</v>
      </c>
      <c r="N1192" s="3">
        <v>9.6999999999999993</v>
      </c>
    </row>
    <row r="1193" spans="1:14" x14ac:dyDescent="0.25">
      <c r="A1193" s="2">
        <v>1192</v>
      </c>
      <c r="B1193" s="3">
        <v>25776390</v>
      </c>
      <c r="C1193" s="2" t="s">
        <v>287</v>
      </c>
      <c r="D1193" s="3">
        <v>2</v>
      </c>
      <c r="E1193" s="2">
        <v>61</v>
      </c>
      <c r="F1193" s="2" t="str">
        <f t="shared" ref="F1193:F1199" si="42">"RECTANGULAR"</f>
        <v>RECTANGULAR</v>
      </c>
      <c r="G1193" s="2" t="str">
        <f>"63445101"</f>
        <v>63445101</v>
      </c>
      <c r="I1193">
        <v>7</v>
      </c>
      <c r="J1193" s="3">
        <v>1</v>
      </c>
      <c r="K1193" s="2">
        <v>9</v>
      </c>
      <c r="L1193" s="3" t="s">
        <v>31</v>
      </c>
      <c r="M1193" s="4">
        <v>43423</v>
      </c>
      <c r="N1193" s="3">
        <v>86.96</v>
      </c>
    </row>
    <row r="1194" spans="1:14" x14ac:dyDescent="0.25">
      <c r="A1194" s="2">
        <v>1193</v>
      </c>
      <c r="B1194" s="3">
        <v>25776391</v>
      </c>
      <c r="C1194" s="2" t="s">
        <v>287</v>
      </c>
      <c r="D1194" s="3">
        <v>2</v>
      </c>
      <c r="E1194" s="2">
        <v>61</v>
      </c>
      <c r="F1194" s="2" t="str">
        <f t="shared" si="42"/>
        <v>RECTANGULAR</v>
      </c>
      <c r="G1194" s="2" t="str">
        <f>"63445102"</f>
        <v>63445102</v>
      </c>
      <c r="I1194">
        <v>7</v>
      </c>
      <c r="J1194" s="3">
        <v>1</v>
      </c>
      <c r="K1194" s="2">
        <v>9</v>
      </c>
      <c r="L1194" s="3" t="s">
        <v>31</v>
      </c>
      <c r="M1194" s="4">
        <v>43423</v>
      </c>
      <c r="N1194" s="3">
        <v>86.96</v>
      </c>
    </row>
    <row r="1195" spans="1:14" x14ac:dyDescent="0.25">
      <c r="A1195" s="2">
        <v>1194</v>
      </c>
      <c r="B1195" s="3">
        <v>25776392</v>
      </c>
      <c r="C1195" s="2" t="s">
        <v>287</v>
      </c>
      <c r="D1195" s="3">
        <v>2</v>
      </c>
      <c r="E1195" s="2">
        <v>61</v>
      </c>
      <c r="F1195" s="2" t="str">
        <f t="shared" si="42"/>
        <v>RECTANGULAR</v>
      </c>
      <c r="G1195" s="2" t="str">
        <f>"63445103"</f>
        <v>63445103</v>
      </c>
      <c r="I1195">
        <v>7</v>
      </c>
      <c r="J1195" s="3">
        <v>1</v>
      </c>
      <c r="K1195" s="2">
        <v>9</v>
      </c>
      <c r="L1195" s="3" t="s">
        <v>31</v>
      </c>
      <c r="M1195" s="4">
        <v>43423</v>
      </c>
      <c r="N1195" s="3">
        <v>86.96</v>
      </c>
    </row>
    <row r="1196" spans="1:14" x14ac:dyDescent="0.25">
      <c r="A1196" s="2">
        <v>1195</v>
      </c>
      <c r="B1196" s="3">
        <v>25776393</v>
      </c>
      <c r="C1196" s="2" t="s">
        <v>287</v>
      </c>
      <c r="D1196" s="3">
        <v>2</v>
      </c>
      <c r="E1196" s="2">
        <v>61</v>
      </c>
      <c r="F1196" s="2" t="str">
        <f t="shared" si="42"/>
        <v>RECTANGULAR</v>
      </c>
      <c r="G1196" s="2" t="str">
        <f>"63445104"</f>
        <v>63445104</v>
      </c>
      <c r="I1196">
        <v>7</v>
      </c>
      <c r="J1196" s="3">
        <v>1</v>
      </c>
      <c r="K1196" s="2">
        <v>9</v>
      </c>
      <c r="L1196" s="3" t="s">
        <v>31</v>
      </c>
      <c r="M1196" s="4">
        <v>43423</v>
      </c>
      <c r="N1196" s="3">
        <v>86.96</v>
      </c>
    </row>
    <row r="1197" spans="1:14" x14ac:dyDescent="0.25">
      <c r="A1197" s="2">
        <v>1196</v>
      </c>
      <c r="B1197" s="3">
        <v>25776394</v>
      </c>
      <c r="C1197" s="2" t="s">
        <v>287</v>
      </c>
      <c r="D1197" s="3">
        <v>2</v>
      </c>
      <c r="E1197" s="2">
        <v>61</v>
      </c>
      <c r="F1197" s="2" t="str">
        <f t="shared" si="42"/>
        <v>RECTANGULAR</v>
      </c>
      <c r="G1197" s="2" t="str">
        <f>"63445105"</f>
        <v>63445105</v>
      </c>
      <c r="I1197">
        <v>7</v>
      </c>
      <c r="J1197" s="3">
        <v>1</v>
      </c>
      <c r="K1197" s="2">
        <v>9</v>
      </c>
      <c r="L1197" s="3" t="s">
        <v>31</v>
      </c>
      <c r="M1197" s="4">
        <v>43423</v>
      </c>
      <c r="N1197" s="3">
        <v>86.96</v>
      </c>
    </row>
    <row r="1198" spans="1:14" x14ac:dyDescent="0.25">
      <c r="A1198" s="2">
        <v>1197</v>
      </c>
      <c r="B1198" s="3">
        <v>25776395</v>
      </c>
      <c r="C1198" s="2" t="s">
        <v>287</v>
      </c>
      <c r="D1198" s="3">
        <v>2</v>
      </c>
      <c r="E1198" s="2">
        <v>61</v>
      </c>
      <c r="F1198" s="2" t="str">
        <f t="shared" si="42"/>
        <v>RECTANGULAR</v>
      </c>
      <c r="G1198" s="2" t="str">
        <f>"63445106"</f>
        <v>63445106</v>
      </c>
      <c r="I1198">
        <v>7</v>
      </c>
      <c r="J1198" s="3">
        <v>1</v>
      </c>
      <c r="K1198" s="2">
        <v>9</v>
      </c>
      <c r="L1198" s="3" t="s">
        <v>31</v>
      </c>
      <c r="M1198" s="4">
        <v>43423</v>
      </c>
      <c r="N1198" s="3">
        <v>86.96</v>
      </c>
    </row>
    <row r="1199" spans="1:14" x14ac:dyDescent="0.25">
      <c r="A1199" s="2">
        <v>1198</v>
      </c>
      <c r="B1199" s="3">
        <v>25776396</v>
      </c>
      <c r="C1199" s="2" t="s">
        <v>287</v>
      </c>
      <c r="D1199" s="3">
        <v>2</v>
      </c>
      <c r="E1199" s="2">
        <v>61</v>
      </c>
      <c r="F1199" s="2" t="str">
        <f t="shared" si="42"/>
        <v>RECTANGULAR</v>
      </c>
      <c r="G1199" s="2" t="str">
        <f>"63445107"</f>
        <v>63445107</v>
      </c>
      <c r="I1199">
        <v>7</v>
      </c>
      <c r="J1199" s="3">
        <v>1</v>
      </c>
      <c r="K1199" s="2">
        <v>9</v>
      </c>
      <c r="L1199" s="3" t="s">
        <v>31</v>
      </c>
      <c r="M1199" s="4">
        <v>43423</v>
      </c>
      <c r="N1199" s="3">
        <v>86.96</v>
      </c>
    </row>
    <row r="1200" spans="1:14" x14ac:dyDescent="0.25">
      <c r="A1200" s="2">
        <v>1199</v>
      </c>
      <c r="B1200" s="3">
        <v>25776357</v>
      </c>
      <c r="C1200" s="2" t="s">
        <v>286</v>
      </c>
      <c r="D1200" s="3">
        <v>2</v>
      </c>
      <c r="E1200" s="2">
        <v>61</v>
      </c>
      <c r="F1200" s="2" t="str">
        <f t="shared" ref="F1200:F1214" si="43">"APILABLE"</f>
        <v>APILABLE</v>
      </c>
      <c r="G1200" s="2" t="str">
        <f>"63445068"</f>
        <v>63445068</v>
      </c>
      <c r="I1200">
        <v>5</v>
      </c>
      <c r="J1200" s="3">
        <v>1</v>
      </c>
      <c r="K1200" s="2">
        <v>9</v>
      </c>
      <c r="L1200" s="3" t="s">
        <v>31</v>
      </c>
      <c r="M1200" s="4">
        <v>43423</v>
      </c>
      <c r="N1200" s="3">
        <v>9.6999999999999993</v>
      </c>
    </row>
    <row r="1201" spans="1:14" x14ac:dyDescent="0.25">
      <c r="A1201" s="2">
        <v>1200</v>
      </c>
      <c r="B1201" s="3">
        <v>25776358</v>
      </c>
      <c r="C1201" s="2" t="s">
        <v>286</v>
      </c>
      <c r="D1201" s="3">
        <v>2</v>
      </c>
      <c r="E1201" s="2">
        <v>61</v>
      </c>
      <c r="F1201" s="2" t="str">
        <f t="shared" si="43"/>
        <v>APILABLE</v>
      </c>
      <c r="G1201" s="2" t="str">
        <f>"63445069"</f>
        <v>63445069</v>
      </c>
      <c r="I1201">
        <v>5</v>
      </c>
      <c r="J1201" s="3">
        <v>1</v>
      </c>
      <c r="K1201" s="2">
        <v>9</v>
      </c>
      <c r="L1201" s="3" t="s">
        <v>31</v>
      </c>
      <c r="M1201" s="4">
        <v>43423</v>
      </c>
      <c r="N1201" s="3">
        <v>9.6999999999999993</v>
      </c>
    </row>
    <row r="1202" spans="1:14" x14ac:dyDescent="0.25">
      <c r="A1202" s="2">
        <v>1201</v>
      </c>
      <c r="B1202" s="3">
        <v>25776359</v>
      </c>
      <c r="C1202" s="2" t="s">
        <v>286</v>
      </c>
      <c r="D1202" s="3">
        <v>2</v>
      </c>
      <c r="E1202" s="2">
        <v>61</v>
      </c>
      <c r="F1202" s="2" t="str">
        <f t="shared" si="43"/>
        <v>APILABLE</v>
      </c>
      <c r="G1202" s="2" t="str">
        <f>"63445070"</f>
        <v>63445070</v>
      </c>
      <c r="I1202">
        <v>5</v>
      </c>
      <c r="J1202" s="3">
        <v>1</v>
      </c>
      <c r="K1202" s="2">
        <v>9</v>
      </c>
      <c r="L1202" s="3" t="s">
        <v>31</v>
      </c>
      <c r="M1202" s="4">
        <v>43423</v>
      </c>
      <c r="N1202" s="3">
        <v>9.6999999999999993</v>
      </c>
    </row>
    <row r="1203" spans="1:14" x14ac:dyDescent="0.25">
      <c r="A1203" s="2">
        <v>1202</v>
      </c>
      <c r="B1203" s="3">
        <v>25776360</v>
      </c>
      <c r="C1203" s="2" t="s">
        <v>286</v>
      </c>
      <c r="D1203" s="3">
        <v>2</v>
      </c>
      <c r="E1203" s="2">
        <v>61</v>
      </c>
      <c r="F1203" s="2" t="str">
        <f t="shared" si="43"/>
        <v>APILABLE</v>
      </c>
      <c r="G1203" s="2" t="str">
        <f>"63445071"</f>
        <v>63445071</v>
      </c>
      <c r="I1203">
        <v>5</v>
      </c>
      <c r="J1203" s="3">
        <v>1</v>
      </c>
      <c r="K1203" s="2">
        <v>9</v>
      </c>
      <c r="L1203" s="3" t="s">
        <v>31</v>
      </c>
      <c r="M1203" s="4">
        <v>43423</v>
      </c>
      <c r="N1203" s="3">
        <v>9.6999999999999993</v>
      </c>
    </row>
    <row r="1204" spans="1:14" x14ac:dyDescent="0.25">
      <c r="A1204" s="2">
        <v>1203</v>
      </c>
      <c r="B1204" s="3">
        <v>25776361</v>
      </c>
      <c r="C1204" s="2" t="s">
        <v>286</v>
      </c>
      <c r="D1204" s="3">
        <v>2</v>
      </c>
      <c r="E1204" s="2">
        <v>61</v>
      </c>
      <c r="F1204" s="2" t="str">
        <f t="shared" si="43"/>
        <v>APILABLE</v>
      </c>
      <c r="G1204" s="2" t="str">
        <f>"63445072"</f>
        <v>63445072</v>
      </c>
      <c r="I1204">
        <v>5</v>
      </c>
      <c r="J1204" s="3">
        <v>1</v>
      </c>
      <c r="K1204" s="2">
        <v>9</v>
      </c>
      <c r="L1204" s="3" t="s">
        <v>31</v>
      </c>
      <c r="M1204" s="4">
        <v>43423</v>
      </c>
      <c r="N1204" s="3">
        <v>9.6999999999999993</v>
      </c>
    </row>
    <row r="1205" spans="1:14" x14ac:dyDescent="0.25">
      <c r="A1205" s="2">
        <v>1204</v>
      </c>
      <c r="B1205" s="3">
        <v>25776362</v>
      </c>
      <c r="C1205" s="2" t="s">
        <v>286</v>
      </c>
      <c r="D1205" s="3">
        <v>2</v>
      </c>
      <c r="E1205" s="2">
        <v>61</v>
      </c>
      <c r="F1205" s="2" t="str">
        <f t="shared" si="43"/>
        <v>APILABLE</v>
      </c>
      <c r="G1205" s="2" t="str">
        <f>"63445073"</f>
        <v>63445073</v>
      </c>
      <c r="I1205">
        <v>5</v>
      </c>
      <c r="J1205" s="3">
        <v>1</v>
      </c>
      <c r="K1205" s="2">
        <v>9</v>
      </c>
      <c r="L1205" s="3" t="s">
        <v>31</v>
      </c>
      <c r="M1205" s="4">
        <v>43423</v>
      </c>
      <c r="N1205" s="3">
        <v>9.6999999999999993</v>
      </c>
    </row>
    <row r="1206" spans="1:14" x14ac:dyDescent="0.25">
      <c r="A1206" s="2">
        <v>1205</v>
      </c>
      <c r="B1206" s="3">
        <v>25776363</v>
      </c>
      <c r="C1206" s="2" t="s">
        <v>286</v>
      </c>
      <c r="D1206" s="3">
        <v>2</v>
      </c>
      <c r="E1206" s="2">
        <v>61</v>
      </c>
      <c r="F1206" s="2" t="str">
        <f t="shared" si="43"/>
        <v>APILABLE</v>
      </c>
      <c r="G1206" s="2" t="str">
        <f>"63445074"</f>
        <v>63445074</v>
      </c>
      <c r="I1206">
        <v>5</v>
      </c>
      <c r="J1206" s="3">
        <v>1</v>
      </c>
      <c r="K1206" s="2">
        <v>9</v>
      </c>
      <c r="L1206" s="3" t="s">
        <v>31</v>
      </c>
      <c r="M1206" s="4">
        <v>43423</v>
      </c>
      <c r="N1206" s="3">
        <v>9.6999999999999993</v>
      </c>
    </row>
    <row r="1207" spans="1:14" x14ac:dyDescent="0.25">
      <c r="A1207" s="2">
        <v>1206</v>
      </c>
      <c r="B1207" s="3">
        <v>25776364</v>
      </c>
      <c r="C1207" s="2" t="s">
        <v>286</v>
      </c>
      <c r="D1207" s="3">
        <v>2</v>
      </c>
      <c r="E1207" s="2">
        <v>61</v>
      </c>
      <c r="F1207" s="2" t="str">
        <f t="shared" si="43"/>
        <v>APILABLE</v>
      </c>
      <c r="G1207" s="2" t="str">
        <f>"63445075"</f>
        <v>63445075</v>
      </c>
      <c r="I1207">
        <v>5</v>
      </c>
      <c r="J1207" s="3">
        <v>1</v>
      </c>
      <c r="K1207" s="2">
        <v>9</v>
      </c>
      <c r="L1207" s="3" t="s">
        <v>31</v>
      </c>
      <c r="M1207" s="4">
        <v>43423</v>
      </c>
      <c r="N1207" s="3">
        <v>9.6999999999999993</v>
      </c>
    </row>
    <row r="1208" spans="1:14" x14ac:dyDescent="0.25">
      <c r="A1208" s="2">
        <v>1207</v>
      </c>
      <c r="B1208" s="3">
        <v>25776365</v>
      </c>
      <c r="C1208" s="2" t="s">
        <v>286</v>
      </c>
      <c r="D1208" s="3">
        <v>2</v>
      </c>
      <c r="E1208" s="2">
        <v>61</v>
      </c>
      <c r="F1208" s="2" t="str">
        <f t="shared" si="43"/>
        <v>APILABLE</v>
      </c>
      <c r="G1208" s="2" t="str">
        <f>"63445076"</f>
        <v>63445076</v>
      </c>
      <c r="I1208">
        <v>5</v>
      </c>
      <c r="J1208" s="3">
        <v>1</v>
      </c>
      <c r="K1208" s="2">
        <v>9</v>
      </c>
      <c r="L1208" s="3" t="s">
        <v>31</v>
      </c>
      <c r="M1208" s="4">
        <v>43423</v>
      </c>
      <c r="N1208" s="3">
        <v>9.6999999999999993</v>
      </c>
    </row>
    <row r="1209" spans="1:14" x14ac:dyDescent="0.25">
      <c r="A1209" s="2">
        <v>1208</v>
      </c>
      <c r="B1209" s="3">
        <v>25776366</v>
      </c>
      <c r="C1209" s="2" t="s">
        <v>286</v>
      </c>
      <c r="D1209" s="3">
        <v>2</v>
      </c>
      <c r="E1209" s="2">
        <v>61</v>
      </c>
      <c r="F1209" s="2" t="str">
        <f t="shared" si="43"/>
        <v>APILABLE</v>
      </c>
      <c r="G1209" s="2" t="str">
        <f>"63445077"</f>
        <v>63445077</v>
      </c>
      <c r="I1209">
        <v>5</v>
      </c>
      <c r="J1209" s="3">
        <v>1</v>
      </c>
      <c r="K1209" s="2">
        <v>9</v>
      </c>
      <c r="L1209" s="3" t="s">
        <v>31</v>
      </c>
      <c r="M1209" s="4">
        <v>43423</v>
      </c>
      <c r="N1209" s="3">
        <v>9.6999999999999993</v>
      </c>
    </row>
    <row r="1210" spans="1:14" x14ac:dyDescent="0.25">
      <c r="A1210" s="2">
        <v>1209</v>
      </c>
      <c r="B1210" s="3">
        <v>25776367</v>
      </c>
      <c r="C1210" s="2" t="s">
        <v>286</v>
      </c>
      <c r="D1210" s="3">
        <v>2</v>
      </c>
      <c r="E1210" s="2">
        <v>61</v>
      </c>
      <c r="F1210" s="2" t="str">
        <f t="shared" si="43"/>
        <v>APILABLE</v>
      </c>
      <c r="G1210" s="2" t="str">
        <f>"63445078"</f>
        <v>63445078</v>
      </c>
      <c r="I1210">
        <v>5</v>
      </c>
      <c r="J1210" s="3">
        <v>1</v>
      </c>
      <c r="K1210" s="2">
        <v>9</v>
      </c>
      <c r="L1210" s="3" t="s">
        <v>31</v>
      </c>
      <c r="M1210" s="4">
        <v>43423</v>
      </c>
      <c r="N1210" s="3">
        <v>9.6999999999999993</v>
      </c>
    </row>
    <row r="1211" spans="1:14" x14ac:dyDescent="0.25">
      <c r="A1211" s="2">
        <v>1210</v>
      </c>
      <c r="B1211" s="3">
        <v>25776368</v>
      </c>
      <c r="C1211" s="2" t="s">
        <v>286</v>
      </c>
      <c r="D1211" s="3">
        <v>2</v>
      </c>
      <c r="E1211" s="2">
        <v>61</v>
      </c>
      <c r="F1211" s="2" t="str">
        <f t="shared" si="43"/>
        <v>APILABLE</v>
      </c>
      <c r="G1211" s="2" t="str">
        <f>"63445079"</f>
        <v>63445079</v>
      </c>
      <c r="I1211">
        <v>5</v>
      </c>
      <c r="J1211" s="3">
        <v>1</v>
      </c>
      <c r="K1211" s="2">
        <v>9</v>
      </c>
      <c r="L1211" s="3" t="s">
        <v>31</v>
      </c>
      <c r="M1211" s="4">
        <v>43423</v>
      </c>
      <c r="N1211" s="3">
        <v>9.6999999999999993</v>
      </c>
    </row>
    <row r="1212" spans="1:14" x14ac:dyDescent="0.25">
      <c r="A1212" s="2">
        <v>1211</v>
      </c>
      <c r="B1212" s="3">
        <v>25776369</v>
      </c>
      <c r="C1212" s="2" t="s">
        <v>286</v>
      </c>
      <c r="D1212" s="3">
        <v>2</v>
      </c>
      <c r="E1212" s="2">
        <v>61</v>
      </c>
      <c r="F1212" s="2" t="str">
        <f t="shared" si="43"/>
        <v>APILABLE</v>
      </c>
      <c r="G1212" s="2" t="str">
        <f>"63445080"</f>
        <v>63445080</v>
      </c>
      <c r="I1212">
        <v>5</v>
      </c>
      <c r="J1212" s="3">
        <v>1</v>
      </c>
      <c r="K1212" s="2">
        <v>9</v>
      </c>
      <c r="L1212" s="3" t="s">
        <v>31</v>
      </c>
      <c r="M1212" s="4">
        <v>43423</v>
      </c>
      <c r="N1212" s="3">
        <v>9.6999999999999993</v>
      </c>
    </row>
    <row r="1213" spans="1:14" x14ac:dyDescent="0.25">
      <c r="A1213" s="2">
        <v>1212</v>
      </c>
      <c r="B1213" s="3">
        <v>25776370</v>
      </c>
      <c r="C1213" s="2" t="s">
        <v>286</v>
      </c>
      <c r="D1213" s="3">
        <v>2</v>
      </c>
      <c r="E1213" s="2">
        <v>61</v>
      </c>
      <c r="F1213" s="2" t="str">
        <f t="shared" si="43"/>
        <v>APILABLE</v>
      </c>
      <c r="G1213" s="2" t="str">
        <f>"63445081"</f>
        <v>63445081</v>
      </c>
      <c r="I1213">
        <v>5</v>
      </c>
      <c r="J1213" s="3">
        <v>1</v>
      </c>
      <c r="K1213" s="2">
        <v>9</v>
      </c>
      <c r="L1213" s="3" t="s">
        <v>31</v>
      </c>
      <c r="M1213" s="4">
        <v>43423</v>
      </c>
      <c r="N1213" s="3">
        <v>9.6999999999999993</v>
      </c>
    </row>
    <row r="1214" spans="1:14" x14ac:dyDescent="0.25">
      <c r="A1214" s="2">
        <v>1213</v>
      </c>
      <c r="B1214" s="3">
        <v>25776371</v>
      </c>
      <c r="C1214" s="2" t="s">
        <v>286</v>
      </c>
      <c r="D1214" s="3">
        <v>2</v>
      </c>
      <c r="E1214" s="2">
        <v>61</v>
      </c>
      <c r="F1214" s="2" t="str">
        <f t="shared" si="43"/>
        <v>APILABLE</v>
      </c>
      <c r="G1214" s="2" t="str">
        <f>"63445082"</f>
        <v>63445082</v>
      </c>
      <c r="I1214">
        <v>5</v>
      </c>
      <c r="J1214" s="3">
        <v>1</v>
      </c>
      <c r="K1214" s="2">
        <v>9</v>
      </c>
      <c r="L1214" s="3" t="s">
        <v>31</v>
      </c>
      <c r="M1214" s="4">
        <v>43423</v>
      </c>
      <c r="N1214" s="3">
        <v>9.6999999999999993</v>
      </c>
    </row>
    <row r="1215" spans="1:14" x14ac:dyDescent="0.25">
      <c r="A1215" s="2">
        <v>1214</v>
      </c>
      <c r="B1215" s="3">
        <v>26296107</v>
      </c>
      <c r="C1215" s="2" t="s">
        <v>283</v>
      </c>
      <c r="D1215" s="3">
        <v>2</v>
      </c>
      <c r="E1215" s="2">
        <v>76</v>
      </c>
      <c r="F1215" s="2" t="str">
        <f t="shared" ref="F1215:F1272" si="44">"SIN MODELO"</f>
        <v>SIN MODELO</v>
      </c>
      <c r="G1215" s="2" t="str">
        <f>"141010303"</f>
        <v>141010303</v>
      </c>
      <c r="I1215">
        <v>13</v>
      </c>
      <c r="J1215" s="3">
        <v>1</v>
      </c>
      <c r="K1215" s="2">
        <v>23</v>
      </c>
      <c r="L1215" s="3" t="s">
        <v>31</v>
      </c>
      <c r="M1215" s="4">
        <v>43446</v>
      </c>
      <c r="N1215" s="3">
        <v>152.28</v>
      </c>
    </row>
    <row r="1216" spans="1:14" x14ac:dyDescent="0.25">
      <c r="A1216" s="2">
        <v>1215</v>
      </c>
      <c r="B1216" s="3">
        <v>26296108</v>
      </c>
      <c r="C1216" s="2" t="s">
        <v>283</v>
      </c>
      <c r="D1216" s="3">
        <v>2</v>
      </c>
      <c r="E1216" s="2">
        <v>76</v>
      </c>
      <c r="F1216" s="2" t="str">
        <f t="shared" si="44"/>
        <v>SIN MODELO</v>
      </c>
      <c r="G1216" s="2" t="str">
        <f>"141010304"</f>
        <v>141010304</v>
      </c>
      <c r="I1216">
        <v>13</v>
      </c>
      <c r="J1216" s="3">
        <v>1</v>
      </c>
      <c r="K1216" s="2">
        <v>23</v>
      </c>
      <c r="L1216" s="3" t="s">
        <v>31</v>
      </c>
      <c r="M1216" s="4">
        <v>43446</v>
      </c>
      <c r="N1216" s="3">
        <v>152.28</v>
      </c>
    </row>
    <row r="1217" spans="1:14" x14ac:dyDescent="0.25">
      <c r="A1217" s="2">
        <v>1216</v>
      </c>
      <c r="B1217" s="3">
        <v>26296105</v>
      </c>
      <c r="C1217" s="2" t="s">
        <v>283</v>
      </c>
      <c r="D1217" s="3">
        <v>2</v>
      </c>
      <c r="E1217" s="2">
        <v>76</v>
      </c>
      <c r="F1217" s="2" t="str">
        <f t="shared" si="44"/>
        <v>SIN MODELO</v>
      </c>
      <c r="G1217" s="2" t="str">
        <f>"141010301"</f>
        <v>141010301</v>
      </c>
      <c r="I1217">
        <v>13</v>
      </c>
      <c r="J1217" s="3">
        <v>1</v>
      </c>
      <c r="K1217" s="2">
        <v>23</v>
      </c>
      <c r="L1217" s="3" t="s">
        <v>31</v>
      </c>
      <c r="M1217" s="4">
        <v>43446</v>
      </c>
      <c r="N1217" s="3">
        <v>152.11000000000001</v>
      </c>
    </row>
    <row r="1218" spans="1:14" x14ac:dyDescent="0.25">
      <c r="A1218" s="2">
        <v>1217</v>
      </c>
      <c r="B1218" s="3">
        <v>26296106</v>
      </c>
      <c r="C1218" s="2" t="s">
        <v>283</v>
      </c>
      <c r="D1218" s="3">
        <v>2</v>
      </c>
      <c r="E1218" s="2">
        <v>76</v>
      </c>
      <c r="F1218" s="2" t="str">
        <f t="shared" si="44"/>
        <v>SIN MODELO</v>
      </c>
      <c r="G1218" s="2" t="str">
        <f>"141010302"</f>
        <v>141010302</v>
      </c>
      <c r="I1218">
        <v>13</v>
      </c>
      <c r="J1218" s="3">
        <v>1</v>
      </c>
      <c r="K1218" s="2">
        <v>23</v>
      </c>
      <c r="L1218" s="3" t="s">
        <v>31</v>
      </c>
      <c r="M1218" s="4">
        <v>43446</v>
      </c>
      <c r="N1218" s="3">
        <v>152.28</v>
      </c>
    </row>
    <row r="1219" spans="1:14" x14ac:dyDescent="0.25">
      <c r="A1219" s="2">
        <v>1218</v>
      </c>
      <c r="B1219" s="3">
        <v>26296109</v>
      </c>
      <c r="C1219" s="2" t="s">
        <v>283</v>
      </c>
      <c r="D1219" s="3">
        <v>2</v>
      </c>
      <c r="E1219" s="2">
        <v>76</v>
      </c>
      <c r="F1219" s="2" t="str">
        <f t="shared" si="44"/>
        <v>SIN MODELO</v>
      </c>
      <c r="G1219" s="2" t="str">
        <f>"141010305"</f>
        <v>141010305</v>
      </c>
      <c r="I1219">
        <v>13</v>
      </c>
      <c r="J1219" s="3">
        <v>1</v>
      </c>
      <c r="K1219" s="2">
        <v>23</v>
      </c>
      <c r="L1219" s="3" t="s">
        <v>31</v>
      </c>
      <c r="M1219" s="4">
        <v>43446</v>
      </c>
      <c r="N1219" s="3">
        <v>152.28</v>
      </c>
    </row>
    <row r="1220" spans="1:14" x14ac:dyDescent="0.25">
      <c r="A1220" s="2">
        <v>1219</v>
      </c>
      <c r="B1220" s="3">
        <v>26296110</v>
      </c>
      <c r="C1220" s="2" t="s">
        <v>283</v>
      </c>
      <c r="D1220" s="3">
        <v>2</v>
      </c>
      <c r="E1220" s="2">
        <v>76</v>
      </c>
      <c r="F1220" s="2" t="str">
        <f t="shared" si="44"/>
        <v>SIN MODELO</v>
      </c>
      <c r="G1220" s="2" t="str">
        <f>"141010306"</f>
        <v>141010306</v>
      </c>
      <c r="I1220">
        <v>13</v>
      </c>
      <c r="J1220" s="3">
        <v>1</v>
      </c>
      <c r="K1220" s="2">
        <v>23</v>
      </c>
      <c r="L1220" s="3" t="s">
        <v>31</v>
      </c>
      <c r="M1220" s="4">
        <v>43446</v>
      </c>
      <c r="N1220" s="3">
        <v>152.28</v>
      </c>
    </row>
    <row r="1221" spans="1:14" x14ac:dyDescent="0.25">
      <c r="A1221" s="2">
        <v>1220</v>
      </c>
      <c r="B1221" s="3">
        <v>26296111</v>
      </c>
      <c r="C1221" s="2" t="s">
        <v>283</v>
      </c>
      <c r="D1221" s="3">
        <v>2</v>
      </c>
      <c r="E1221" s="2">
        <v>76</v>
      </c>
      <c r="F1221" s="2" t="str">
        <f t="shared" si="44"/>
        <v>SIN MODELO</v>
      </c>
      <c r="G1221" s="2" t="str">
        <f>"141010307"</f>
        <v>141010307</v>
      </c>
      <c r="I1221">
        <v>13</v>
      </c>
      <c r="J1221" s="3">
        <v>1</v>
      </c>
      <c r="K1221" s="2">
        <v>23</v>
      </c>
      <c r="L1221" s="3" t="s">
        <v>31</v>
      </c>
      <c r="M1221" s="4">
        <v>43446</v>
      </c>
      <c r="N1221" s="3">
        <v>152.28</v>
      </c>
    </row>
    <row r="1222" spans="1:14" x14ac:dyDescent="0.25">
      <c r="A1222" s="2">
        <v>1221</v>
      </c>
      <c r="B1222" s="3">
        <v>26296112</v>
      </c>
      <c r="C1222" s="2" t="s">
        <v>283</v>
      </c>
      <c r="D1222" s="3">
        <v>2</v>
      </c>
      <c r="E1222" s="2">
        <v>76</v>
      </c>
      <c r="F1222" s="2" t="str">
        <f t="shared" si="44"/>
        <v>SIN MODELO</v>
      </c>
      <c r="G1222" s="2" t="str">
        <f>"141010308"</f>
        <v>141010308</v>
      </c>
      <c r="I1222">
        <v>13</v>
      </c>
      <c r="J1222" s="3">
        <v>1</v>
      </c>
      <c r="K1222" s="2">
        <v>23</v>
      </c>
      <c r="L1222" s="3" t="s">
        <v>31</v>
      </c>
      <c r="M1222" s="4">
        <v>43446</v>
      </c>
      <c r="N1222" s="3">
        <v>152.28</v>
      </c>
    </row>
    <row r="1223" spans="1:14" x14ac:dyDescent="0.25">
      <c r="A1223" s="2">
        <v>1222</v>
      </c>
      <c r="B1223" s="3">
        <v>26296113</v>
      </c>
      <c r="C1223" s="2" t="s">
        <v>283</v>
      </c>
      <c r="D1223" s="3">
        <v>2</v>
      </c>
      <c r="E1223" s="2">
        <v>76</v>
      </c>
      <c r="F1223" s="2" t="str">
        <f t="shared" si="44"/>
        <v>SIN MODELO</v>
      </c>
      <c r="G1223" s="2" t="str">
        <f>"141010309"</f>
        <v>141010309</v>
      </c>
      <c r="I1223">
        <v>13</v>
      </c>
      <c r="J1223" s="3">
        <v>1</v>
      </c>
      <c r="K1223" s="2">
        <v>23</v>
      </c>
      <c r="L1223" s="3" t="s">
        <v>31</v>
      </c>
      <c r="M1223" s="4">
        <v>43446</v>
      </c>
      <c r="N1223" s="3">
        <v>152.28</v>
      </c>
    </row>
    <row r="1224" spans="1:14" x14ac:dyDescent="0.25">
      <c r="A1224" s="2">
        <v>1223</v>
      </c>
      <c r="B1224" s="3">
        <v>26296114</v>
      </c>
      <c r="C1224" s="2" t="s">
        <v>283</v>
      </c>
      <c r="D1224" s="3">
        <v>2</v>
      </c>
      <c r="E1224" s="2">
        <v>76</v>
      </c>
      <c r="F1224" s="2" t="str">
        <f t="shared" si="44"/>
        <v>SIN MODELO</v>
      </c>
      <c r="G1224" s="2" t="str">
        <f>"141010310"</f>
        <v>141010310</v>
      </c>
      <c r="I1224">
        <v>13</v>
      </c>
      <c r="J1224" s="3">
        <v>1</v>
      </c>
      <c r="K1224" s="2">
        <v>23</v>
      </c>
      <c r="L1224" s="3" t="s">
        <v>31</v>
      </c>
      <c r="M1224" s="4">
        <v>43446</v>
      </c>
      <c r="N1224" s="3">
        <v>152.28</v>
      </c>
    </row>
    <row r="1225" spans="1:14" x14ac:dyDescent="0.25">
      <c r="A1225" s="2">
        <v>1224</v>
      </c>
      <c r="B1225" s="3">
        <v>26296115</v>
      </c>
      <c r="C1225" s="2" t="s">
        <v>283</v>
      </c>
      <c r="D1225" s="3">
        <v>2</v>
      </c>
      <c r="E1225" s="2">
        <v>76</v>
      </c>
      <c r="F1225" s="2" t="str">
        <f t="shared" si="44"/>
        <v>SIN MODELO</v>
      </c>
      <c r="G1225" s="2" t="str">
        <f>"141010311"</f>
        <v>141010311</v>
      </c>
      <c r="I1225">
        <v>13</v>
      </c>
      <c r="J1225" s="3">
        <v>1</v>
      </c>
      <c r="K1225" s="2">
        <v>23</v>
      </c>
      <c r="L1225" s="3" t="s">
        <v>31</v>
      </c>
      <c r="M1225" s="4">
        <v>43446</v>
      </c>
      <c r="N1225" s="3">
        <v>152.28</v>
      </c>
    </row>
    <row r="1226" spans="1:14" x14ac:dyDescent="0.25">
      <c r="A1226" s="2">
        <v>1225</v>
      </c>
      <c r="B1226" s="3">
        <v>26296116</v>
      </c>
      <c r="C1226" s="2" t="s">
        <v>283</v>
      </c>
      <c r="D1226" s="3">
        <v>2</v>
      </c>
      <c r="E1226" s="2">
        <v>76</v>
      </c>
      <c r="F1226" s="2" t="str">
        <f t="shared" si="44"/>
        <v>SIN MODELO</v>
      </c>
      <c r="G1226" s="2" t="str">
        <f>"141010312"</f>
        <v>141010312</v>
      </c>
      <c r="I1226">
        <v>13</v>
      </c>
      <c r="J1226" s="3">
        <v>1</v>
      </c>
      <c r="K1226" s="2">
        <v>23</v>
      </c>
      <c r="L1226" s="3" t="s">
        <v>31</v>
      </c>
      <c r="M1226" s="4">
        <v>43446</v>
      </c>
      <c r="N1226" s="3">
        <v>152.28</v>
      </c>
    </row>
    <row r="1227" spans="1:14" x14ac:dyDescent="0.25">
      <c r="A1227" s="2">
        <v>1226</v>
      </c>
      <c r="B1227" s="3">
        <v>26296117</v>
      </c>
      <c r="C1227" s="2" t="s">
        <v>283</v>
      </c>
      <c r="D1227" s="3">
        <v>2</v>
      </c>
      <c r="E1227" s="2">
        <v>76</v>
      </c>
      <c r="F1227" s="2" t="str">
        <f t="shared" si="44"/>
        <v>SIN MODELO</v>
      </c>
      <c r="G1227" s="2" t="str">
        <f>"141010313"</f>
        <v>141010313</v>
      </c>
      <c r="I1227">
        <v>13</v>
      </c>
      <c r="J1227" s="3">
        <v>1</v>
      </c>
      <c r="K1227" s="2">
        <v>23</v>
      </c>
      <c r="L1227" s="3" t="s">
        <v>31</v>
      </c>
      <c r="M1227" s="4">
        <v>43446</v>
      </c>
      <c r="N1227" s="3">
        <v>152.28</v>
      </c>
    </row>
    <row r="1228" spans="1:14" x14ac:dyDescent="0.25">
      <c r="A1228" s="2">
        <v>1227</v>
      </c>
      <c r="B1228" s="3">
        <v>26296118</v>
      </c>
      <c r="C1228" s="2" t="s">
        <v>283</v>
      </c>
      <c r="D1228" s="3">
        <v>2</v>
      </c>
      <c r="E1228" s="2">
        <v>76</v>
      </c>
      <c r="F1228" s="2" t="str">
        <f t="shared" si="44"/>
        <v>SIN MODELO</v>
      </c>
      <c r="G1228" s="2" t="str">
        <f>"141010314"</f>
        <v>141010314</v>
      </c>
      <c r="I1228">
        <v>13</v>
      </c>
      <c r="J1228" s="3">
        <v>1</v>
      </c>
      <c r="K1228" s="2">
        <v>23</v>
      </c>
      <c r="L1228" s="3" t="s">
        <v>31</v>
      </c>
      <c r="M1228" s="4">
        <v>43446</v>
      </c>
      <c r="N1228" s="3">
        <v>152.28</v>
      </c>
    </row>
    <row r="1229" spans="1:14" x14ac:dyDescent="0.25">
      <c r="A1229" s="2">
        <v>1228</v>
      </c>
      <c r="B1229" s="3">
        <v>26296119</v>
      </c>
      <c r="C1229" s="2" t="s">
        <v>283</v>
      </c>
      <c r="D1229" s="3">
        <v>2</v>
      </c>
      <c r="E1229" s="2">
        <v>76</v>
      </c>
      <c r="F1229" s="2" t="str">
        <f t="shared" si="44"/>
        <v>SIN MODELO</v>
      </c>
      <c r="G1229" s="2" t="str">
        <f>"141010315"</f>
        <v>141010315</v>
      </c>
      <c r="I1229">
        <v>13</v>
      </c>
      <c r="J1229" s="3">
        <v>1</v>
      </c>
      <c r="K1229" s="2">
        <v>23</v>
      </c>
      <c r="L1229" s="3" t="s">
        <v>31</v>
      </c>
      <c r="M1229" s="4">
        <v>43446</v>
      </c>
      <c r="N1229" s="3">
        <v>152.28</v>
      </c>
    </row>
    <row r="1230" spans="1:14" x14ac:dyDescent="0.25">
      <c r="A1230" s="2">
        <v>1229</v>
      </c>
      <c r="B1230" s="3">
        <v>26296120</v>
      </c>
      <c r="C1230" s="2" t="s">
        <v>283</v>
      </c>
      <c r="D1230" s="3">
        <v>2</v>
      </c>
      <c r="E1230" s="2">
        <v>76</v>
      </c>
      <c r="F1230" s="2" t="str">
        <f t="shared" si="44"/>
        <v>SIN MODELO</v>
      </c>
      <c r="G1230" s="2" t="str">
        <f>"141010316"</f>
        <v>141010316</v>
      </c>
      <c r="I1230">
        <v>13</v>
      </c>
      <c r="J1230" s="3">
        <v>1</v>
      </c>
      <c r="K1230" s="2">
        <v>23</v>
      </c>
      <c r="L1230" s="3" t="s">
        <v>31</v>
      </c>
      <c r="M1230" s="4">
        <v>43446</v>
      </c>
      <c r="N1230" s="3">
        <v>152.28</v>
      </c>
    </row>
    <row r="1231" spans="1:14" x14ac:dyDescent="0.25">
      <c r="A1231" s="2">
        <v>1230</v>
      </c>
      <c r="B1231" s="3">
        <v>26296121</v>
      </c>
      <c r="C1231" s="2" t="s">
        <v>283</v>
      </c>
      <c r="D1231" s="3">
        <v>2</v>
      </c>
      <c r="E1231" s="2">
        <v>76</v>
      </c>
      <c r="F1231" s="2" t="str">
        <f t="shared" si="44"/>
        <v>SIN MODELO</v>
      </c>
      <c r="G1231" s="2" t="str">
        <f>"141010317"</f>
        <v>141010317</v>
      </c>
      <c r="I1231">
        <v>13</v>
      </c>
      <c r="J1231" s="3">
        <v>1</v>
      </c>
      <c r="K1231" s="2">
        <v>23</v>
      </c>
      <c r="L1231" s="3" t="s">
        <v>31</v>
      </c>
      <c r="M1231" s="4">
        <v>43446</v>
      </c>
      <c r="N1231" s="3">
        <v>152.28</v>
      </c>
    </row>
    <row r="1232" spans="1:14" x14ac:dyDescent="0.25">
      <c r="A1232" s="2">
        <v>1231</v>
      </c>
      <c r="B1232" s="3">
        <v>26296122</v>
      </c>
      <c r="C1232" s="2" t="s">
        <v>283</v>
      </c>
      <c r="D1232" s="3">
        <v>2</v>
      </c>
      <c r="E1232" s="2">
        <v>76</v>
      </c>
      <c r="F1232" s="2" t="str">
        <f t="shared" si="44"/>
        <v>SIN MODELO</v>
      </c>
      <c r="G1232" s="2" t="str">
        <f>"141010318"</f>
        <v>141010318</v>
      </c>
      <c r="I1232">
        <v>13</v>
      </c>
      <c r="J1232" s="3">
        <v>1</v>
      </c>
      <c r="K1232" s="2">
        <v>23</v>
      </c>
      <c r="L1232" s="3" t="s">
        <v>31</v>
      </c>
      <c r="M1232" s="4">
        <v>43446</v>
      </c>
      <c r="N1232" s="3">
        <v>152.28</v>
      </c>
    </row>
    <row r="1233" spans="1:14" x14ac:dyDescent="0.25">
      <c r="A1233" s="2">
        <v>1232</v>
      </c>
      <c r="B1233" s="3">
        <v>26296123</v>
      </c>
      <c r="C1233" s="2" t="s">
        <v>283</v>
      </c>
      <c r="D1233" s="3">
        <v>2</v>
      </c>
      <c r="E1233" s="2">
        <v>76</v>
      </c>
      <c r="F1233" s="2" t="str">
        <f t="shared" si="44"/>
        <v>SIN MODELO</v>
      </c>
      <c r="G1233" s="2" t="str">
        <f>"141010319"</f>
        <v>141010319</v>
      </c>
      <c r="I1233">
        <v>13</v>
      </c>
      <c r="J1233" s="3">
        <v>1</v>
      </c>
      <c r="K1233" s="2">
        <v>23</v>
      </c>
      <c r="L1233" s="3" t="s">
        <v>31</v>
      </c>
      <c r="M1233" s="4">
        <v>43446</v>
      </c>
      <c r="N1233" s="3">
        <v>152.28</v>
      </c>
    </row>
    <row r="1234" spans="1:14" x14ac:dyDescent="0.25">
      <c r="A1234" s="2">
        <v>1233</v>
      </c>
      <c r="B1234" s="3">
        <v>26296124</v>
      </c>
      <c r="C1234" s="2" t="s">
        <v>283</v>
      </c>
      <c r="D1234" s="3">
        <v>2</v>
      </c>
      <c r="E1234" s="2">
        <v>76</v>
      </c>
      <c r="F1234" s="2" t="str">
        <f t="shared" si="44"/>
        <v>SIN MODELO</v>
      </c>
      <c r="G1234" s="2" t="str">
        <f>"141010320"</f>
        <v>141010320</v>
      </c>
      <c r="I1234">
        <v>13</v>
      </c>
      <c r="J1234" s="3">
        <v>1</v>
      </c>
      <c r="K1234" s="2">
        <v>23</v>
      </c>
      <c r="L1234" s="3" t="s">
        <v>31</v>
      </c>
      <c r="M1234" s="4">
        <v>43446</v>
      </c>
      <c r="N1234" s="3">
        <v>152.28</v>
      </c>
    </row>
    <row r="1235" spans="1:14" x14ac:dyDescent="0.25">
      <c r="A1235" s="2">
        <v>1234</v>
      </c>
      <c r="B1235" s="3">
        <v>26296125</v>
      </c>
      <c r="C1235" s="2" t="s">
        <v>283</v>
      </c>
      <c r="D1235" s="3">
        <v>2</v>
      </c>
      <c r="E1235" s="2">
        <v>76</v>
      </c>
      <c r="F1235" s="2" t="str">
        <f t="shared" si="44"/>
        <v>SIN MODELO</v>
      </c>
      <c r="G1235" s="2" t="str">
        <f>"141010321"</f>
        <v>141010321</v>
      </c>
      <c r="I1235">
        <v>13</v>
      </c>
      <c r="J1235" s="3">
        <v>1</v>
      </c>
      <c r="K1235" s="2">
        <v>23</v>
      </c>
      <c r="L1235" s="3" t="s">
        <v>31</v>
      </c>
      <c r="M1235" s="4">
        <v>43446</v>
      </c>
      <c r="N1235" s="3">
        <v>152.28</v>
      </c>
    </row>
    <row r="1236" spans="1:14" x14ac:dyDescent="0.25">
      <c r="A1236" s="2">
        <v>1235</v>
      </c>
      <c r="B1236" s="3">
        <v>26296126</v>
      </c>
      <c r="C1236" s="2" t="s">
        <v>283</v>
      </c>
      <c r="D1236" s="3">
        <v>2</v>
      </c>
      <c r="E1236" s="2">
        <v>76</v>
      </c>
      <c r="F1236" s="2" t="str">
        <f t="shared" si="44"/>
        <v>SIN MODELO</v>
      </c>
      <c r="G1236" s="2" t="str">
        <f>"141010322"</f>
        <v>141010322</v>
      </c>
      <c r="I1236">
        <v>13</v>
      </c>
      <c r="J1236" s="3">
        <v>1</v>
      </c>
      <c r="K1236" s="2">
        <v>23</v>
      </c>
      <c r="L1236" s="3" t="s">
        <v>31</v>
      </c>
      <c r="M1236" s="4">
        <v>43446</v>
      </c>
      <c r="N1236" s="3">
        <v>152.28</v>
      </c>
    </row>
    <row r="1237" spans="1:14" x14ac:dyDescent="0.25">
      <c r="A1237" s="2">
        <v>1236</v>
      </c>
      <c r="B1237" s="3">
        <v>26296127</v>
      </c>
      <c r="C1237" s="2" t="s">
        <v>283</v>
      </c>
      <c r="D1237" s="3">
        <v>2</v>
      </c>
      <c r="E1237" s="2">
        <v>76</v>
      </c>
      <c r="F1237" s="2" t="str">
        <f t="shared" si="44"/>
        <v>SIN MODELO</v>
      </c>
      <c r="G1237" s="2" t="str">
        <f>"141010323"</f>
        <v>141010323</v>
      </c>
      <c r="I1237">
        <v>13</v>
      </c>
      <c r="J1237" s="3">
        <v>1</v>
      </c>
      <c r="K1237" s="2">
        <v>23</v>
      </c>
      <c r="L1237" s="3" t="s">
        <v>31</v>
      </c>
      <c r="M1237" s="4">
        <v>43446</v>
      </c>
      <c r="N1237" s="3">
        <v>152.28</v>
      </c>
    </row>
    <row r="1238" spans="1:14" x14ac:dyDescent="0.25">
      <c r="A1238" s="2">
        <v>1237</v>
      </c>
      <c r="B1238" s="3">
        <v>26296128</v>
      </c>
      <c r="C1238" s="2" t="s">
        <v>283</v>
      </c>
      <c r="D1238" s="3">
        <v>2</v>
      </c>
      <c r="E1238" s="2">
        <v>76</v>
      </c>
      <c r="F1238" s="2" t="str">
        <f t="shared" si="44"/>
        <v>SIN MODELO</v>
      </c>
      <c r="G1238" s="2" t="str">
        <f>"141010324"</f>
        <v>141010324</v>
      </c>
      <c r="I1238">
        <v>13</v>
      </c>
      <c r="J1238" s="3">
        <v>1</v>
      </c>
      <c r="K1238" s="2">
        <v>23</v>
      </c>
      <c r="L1238" s="3" t="s">
        <v>31</v>
      </c>
      <c r="M1238" s="4">
        <v>43446</v>
      </c>
      <c r="N1238" s="3">
        <v>152.28</v>
      </c>
    </row>
    <row r="1239" spans="1:14" x14ac:dyDescent="0.25">
      <c r="A1239" s="2">
        <v>1238</v>
      </c>
      <c r="B1239" s="3">
        <v>26296129</v>
      </c>
      <c r="C1239" s="2" t="s">
        <v>283</v>
      </c>
      <c r="D1239" s="3">
        <v>2</v>
      </c>
      <c r="E1239" s="2">
        <v>76</v>
      </c>
      <c r="F1239" s="2" t="str">
        <f t="shared" si="44"/>
        <v>SIN MODELO</v>
      </c>
      <c r="G1239" s="2" t="str">
        <f>"141010325"</f>
        <v>141010325</v>
      </c>
      <c r="I1239">
        <v>13</v>
      </c>
      <c r="J1239" s="3">
        <v>1</v>
      </c>
      <c r="K1239" s="2">
        <v>23</v>
      </c>
      <c r="L1239" s="3" t="s">
        <v>31</v>
      </c>
      <c r="M1239" s="4">
        <v>43446</v>
      </c>
      <c r="N1239" s="3">
        <v>152.28</v>
      </c>
    </row>
    <row r="1240" spans="1:14" x14ac:dyDescent="0.25">
      <c r="A1240" s="2">
        <v>1239</v>
      </c>
      <c r="B1240" s="3">
        <v>26296130</v>
      </c>
      <c r="C1240" s="2" t="s">
        <v>283</v>
      </c>
      <c r="D1240" s="3">
        <v>2</v>
      </c>
      <c r="E1240" s="2">
        <v>76</v>
      </c>
      <c r="F1240" s="2" t="str">
        <f t="shared" si="44"/>
        <v>SIN MODELO</v>
      </c>
      <c r="G1240" s="2" t="str">
        <f>"141010326"</f>
        <v>141010326</v>
      </c>
      <c r="I1240">
        <v>13</v>
      </c>
      <c r="J1240" s="3">
        <v>1</v>
      </c>
      <c r="K1240" s="2">
        <v>23</v>
      </c>
      <c r="L1240" s="3" t="s">
        <v>31</v>
      </c>
      <c r="M1240" s="4">
        <v>43446</v>
      </c>
      <c r="N1240" s="3">
        <v>152.28</v>
      </c>
    </row>
    <row r="1241" spans="1:14" x14ac:dyDescent="0.25">
      <c r="A1241" s="2">
        <v>1240</v>
      </c>
      <c r="B1241" s="3">
        <v>26296131</v>
      </c>
      <c r="C1241" s="2" t="s">
        <v>283</v>
      </c>
      <c r="D1241" s="3">
        <v>2</v>
      </c>
      <c r="E1241" s="2">
        <v>76</v>
      </c>
      <c r="F1241" s="2" t="str">
        <f t="shared" si="44"/>
        <v>SIN MODELO</v>
      </c>
      <c r="G1241" s="2" t="str">
        <f>"141010327"</f>
        <v>141010327</v>
      </c>
      <c r="I1241">
        <v>13</v>
      </c>
      <c r="J1241" s="3">
        <v>1</v>
      </c>
      <c r="K1241" s="2">
        <v>23</v>
      </c>
      <c r="L1241" s="3" t="s">
        <v>31</v>
      </c>
      <c r="M1241" s="4">
        <v>43446</v>
      </c>
      <c r="N1241" s="3">
        <v>152.28</v>
      </c>
    </row>
    <row r="1242" spans="1:14" x14ac:dyDescent="0.25">
      <c r="A1242" s="2">
        <v>1241</v>
      </c>
      <c r="B1242" s="3">
        <v>26296132</v>
      </c>
      <c r="C1242" s="2" t="s">
        <v>283</v>
      </c>
      <c r="D1242" s="3">
        <v>2</v>
      </c>
      <c r="E1242" s="2">
        <v>76</v>
      </c>
      <c r="F1242" s="2" t="str">
        <f t="shared" si="44"/>
        <v>SIN MODELO</v>
      </c>
      <c r="G1242" s="2" t="str">
        <f>"141010328"</f>
        <v>141010328</v>
      </c>
      <c r="I1242">
        <v>13</v>
      </c>
      <c r="J1242" s="3">
        <v>1</v>
      </c>
      <c r="K1242" s="2">
        <v>23</v>
      </c>
      <c r="L1242" s="3" t="s">
        <v>31</v>
      </c>
      <c r="M1242" s="4">
        <v>43446</v>
      </c>
      <c r="N1242" s="3">
        <v>152.28</v>
      </c>
    </row>
    <row r="1243" spans="1:14" x14ac:dyDescent="0.25">
      <c r="A1243" s="2">
        <v>1242</v>
      </c>
      <c r="B1243" s="3">
        <v>26296133</v>
      </c>
      <c r="C1243" s="2" t="s">
        <v>283</v>
      </c>
      <c r="D1243" s="3">
        <v>2</v>
      </c>
      <c r="E1243" s="2">
        <v>76</v>
      </c>
      <c r="F1243" s="2" t="str">
        <f t="shared" si="44"/>
        <v>SIN MODELO</v>
      </c>
      <c r="G1243" s="2" t="str">
        <f>"141010329"</f>
        <v>141010329</v>
      </c>
      <c r="I1243">
        <v>13</v>
      </c>
      <c r="J1243" s="3">
        <v>1</v>
      </c>
      <c r="K1243" s="2">
        <v>23</v>
      </c>
      <c r="L1243" s="3" t="s">
        <v>31</v>
      </c>
      <c r="M1243" s="4">
        <v>43446</v>
      </c>
      <c r="N1243" s="3">
        <v>152.28</v>
      </c>
    </row>
    <row r="1244" spans="1:14" x14ac:dyDescent="0.25">
      <c r="A1244" s="2">
        <v>1243</v>
      </c>
      <c r="B1244" s="3">
        <v>26296134</v>
      </c>
      <c r="C1244" s="2" t="s">
        <v>283</v>
      </c>
      <c r="D1244" s="3">
        <v>2</v>
      </c>
      <c r="E1244" s="2">
        <v>76</v>
      </c>
      <c r="F1244" s="2" t="str">
        <f t="shared" si="44"/>
        <v>SIN MODELO</v>
      </c>
      <c r="G1244" s="2" t="str">
        <f>"141010330"</f>
        <v>141010330</v>
      </c>
      <c r="I1244">
        <v>13</v>
      </c>
      <c r="J1244" s="3">
        <v>1</v>
      </c>
      <c r="K1244" s="2">
        <v>23</v>
      </c>
      <c r="L1244" s="3" t="s">
        <v>31</v>
      </c>
      <c r="M1244" s="4">
        <v>43446</v>
      </c>
      <c r="N1244" s="3">
        <v>152.28</v>
      </c>
    </row>
    <row r="1245" spans="1:14" x14ac:dyDescent="0.25">
      <c r="A1245" s="2">
        <v>1244</v>
      </c>
      <c r="B1245" s="3">
        <v>26296135</v>
      </c>
      <c r="C1245" s="2" t="s">
        <v>283</v>
      </c>
      <c r="D1245" s="3">
        <v>2</v>
      </c>
      <c r="E1245" s="2">
        <v>76</v>
      </c>
      <c r="F1245" s="2" t="str">
        <f t="shared" si="44"/>
        <v>SIN MODELO</v>
      </c>
      <c r="G1245" s="2" t="str">
        <f>"141010331"</f>
        <v>141010331</v>
      </c>
      <c r="I1245">
        <v>13</v>
      </c>
      <c r="J1245" s="3">
        <v>1</v>
      </c>
      <c r="K1245" s="2">
        <v>23</v>
      </c>
      <c r="L1245" s="3" t="s">
        <v>31</v>
      </c>
      <c r="M1245" s="4">
        <v>43446</v>
      </c>
      <c r="N1245" s="3">
        <v>152.28</v>
      </c>
    </row>
    <row r="1246" spans="1:14" x14ac:dyDescent="0.25">
      <c r="A1246" s="2">
        <v>1245</v>
      </c>
      <c r="B1246" s="3">
        <v>26296136</v>
      </c>
      <c r="C1246" s="2" t="s">
        <v>283</v>
      </c>
      <c r="D1246" s="3">
        <v>2</v>
      </c>
      <c r="E1246" s="2">
        <v>76</v>
      </c>
      <c r="F1246" s="2" t="str">
        <f t="shared" si="44"/>
        <v>SIN MODELO</v>
      </c>
      <c r="G1246" s="2" t="str">
        <f>"141010332"</f>
        <v>141010332</v>
      </c>
      <c r="I1246">
        <v>13</v>
      </c>
      <c r="J1246" s="3">
        <v>1</v>
      </c>
      <c r="K1246" s="2">
        <v>23</v>
      </c>
      <c r="L1246" s="3" t="s">
        <v>31</v>
      </c>
      <c r="M1246" s="4">
        <v>43446</v>
      </c>
      <c r="N1246" s="3">
        <v>152.28</v>
      </c>
    </row>
    <row r="1247" spans="1:14" x14ac:dyDescent="0.25">
      <c r="A1247" s="2">
        <v>1246</v>
      </c>
      <c r="B1247" s="3">
        <v>26296137</v>
      </c>
      <c r="C1247" s="2" t="s">
        <v>283</v>
      </c>
      <c r="D1247" s="3">
        <v>2</v>
      </c>
      <c r="E1247" s="2">
        <v>76</v>
      </c>
      <c r="F1247" s="2" t="str">
        <f t="shared" si="44"/>
        <v>SIN MODELO</v>
      </c>
      <c r="G1247" s="2" t="str">
        <f>"141010333"</f>
        <v>141010333</v>
      </c>
      <c r="I1247">
        <v>13</v>
      </c>
      <c r="J1247" s="3">
        <v>1</v>
      </c>
      <c r="K1247" s="2">
        <v>23</v>
      </c>
      <c r="L1247" s="3" t="s">
        <v>31</v>
      </c>
      <c r="M1247" s="4">
        <v>43446</v>
      </c>
      <c r="N1247" s="3">
        <v>152.28</v>
      </c>
    </row>
    <row r="1248" spans="1:14" x14ac:dyDescent="0.25">
      <c r="A1248" s="2">
        <v>1247</v>
      </c>
      <c r="B1248" s="3">
        <v>26296138</v>
      </c>
      <c r="C1248" s="2" t="s">
        <v>283</v>
      </c>
      <c r="D1248" s="3">
        <v>2</v>
      </c>
      <c r="E1248" s="2">
        <v>76</v>
      </c>
      <c r="F1248" s="2" t="str">
        <f t="shared" si="44"/>
        <v>SIN MODELO</v>
      </c>
      <c r="G1248" s="2" t="str">
        <f>"141010334"</f>
        <v>141010334</v>
      </c>
      <c r="I1248">
        <v>13</v>
      </c>
      <c r="J1248" s="3">
        <v>1</v>
      </c>
      <c r="K1248" s="2">
        <v>23</v>
      </c>
      <c r="L1248" s="3" t="s">
        <v>31</v>
      </c>
      <c r="M1248" s="4">
        <v>43446</v>
      </c>
      <c r="N1248" s="3">
        <v>152.28</v>
      </c>
    </row>
    <row r="1249" spans="1:14" x14ac:dyDescent="0.25">
      <c r="A1249" s="2">
        <v>1248</v>
      </c>
      <c r="B1249" s="3">
        <v>26296139</v>
      </c>
      <c r="C1249" s="2" t="s">
        <v>283</v>
      </c>
      <c r="D1249" s="3">
        <v>2</v>
      </c>
      <c r="E1249" s="2">
        <v>76</v>
      </c>
      <c r="F1249" s="2" t="str">
        <f t="shared" si="44"/>
        <v>SIN MODELO</v>
      </c>
      <c r="G1249" s="2" t="str">
        <f>"141010335"</f>
        <v>141010335</v>
      </c>
      <c r="I1249">
        <v>13</v>
      </c>
      <c r="J1249" s="3">
        <v>1</v>
      </c>
      <c r="K1249" s="2">
        <v>23</v>
      </c>
      <c r="L1249" s="3" t="s">
        <v>31</v>
      </c>
      <c r="M1249" s="4">
        <v>43446</v>
      </c>
      <c r="N1249" s="3">
        <v>152.28</v>
      </c>
    </row>
    <row r="1250" spans="1:14" x14ac:dyDescent="0.25">
      <c r="A1250" s="2">
        <v>1249</v>
      </c>
      <c r="B1250" s="3">
        <v>26296140</v>
      </c>
      <c r="C1250" s="2" t="s">
        <v>283</v>
      </c>
      <c r="D1250" s="3">
        <v>2</v>
      </c>
      <c r="E1250" s="2">
        <v>76</v>
      </c>
      <c r="F1250" s="2" t="str">
        <f t="shared" si="44"/>
        <v>SIN MODELO</v>
      </c>
      <c r="G1250" s="2" t="str">
        <f>"141010336"</f>
        <v>141010336</v>
      </c>
      <c r="I1250">
        <v>13</v>
      </c>
      <c r="J1250" s="3">
        <v>1</v>
      </c>
      <c r="K1250" s="2">
        <v>23</v>
      </c>
      <c r="L1250" s="3" t="s">
        <v>31</v>
      </c>
      <c r="M1250" s="4">
        <v>43446</v>
      </c>
      <c r="N1250" s="3">
        <v>152.28</v>
      </c>
    </row>
    <row r="1251" spans="1:14" x14ac:dyDescent="0.25">
      <c r="A1251" s="2">
        <v>1250</v>
      </c>
      <c r="B1251" s="3">
        <v>26529041</v>
      </c>
      <c r="C1251" s="2" t="s">
        <v>222</v>
      </c>
      <c r="D1251" s="3">
        <v>2</v>
      </c>
      <c r="E1251" s="2">
        <v>76</v>
      </c>
      <c r="F1251" s="2" t="str">
        <f t="shared" si="44"/>
        <v>SIN MODELO</v>
      </c>
      <c r="G1251" s="2" t="str">
        <f>"141010406"</f>
        <v>141010406</v>
      </c>
      <c r="I1251">
        <v>5</v>
      </c>
      <c r="J1251" s="3">
        <v>1</v>
      </c>
      <c r="K1251" s="2">
        <v>23</v>
      </c>
      <c r="L1251" s="3" t="s">
        <v>35</v>
      </c>
      <c r="M1251" s="4">
        <v>43455</v>
      </c>
      <c r="N1251" s="3">
        <v>400.06</v>
      </c>
    </row>
    <row r="1252" spans="1:14" x14ac:dyDescent="0.25">
      <c r="A1252" s="2">
        <v>1251</v>
      </c>
      <c r="B1252" s="3">
        <v>26529036</v>
      </c>
      <c r="C1252" s="2" t="s">
        <v>222</v>
      </c>
      <c r="D1252" s="3">
        <v>2</v>
      </c>
      <c r="E1252" s="2">
        <v>76</v>
      </c>
      <c r="F1252" s="2" t="str">
        <f t="shared" si="44"/>
        <v>SIN MODELO</v>
      </c>
      <c r="G1252" s="2" t="str">
        <f>"141010401"</f>
        <v>141010401</v>
      </c>
      <c r="I1252">
        <v>5</v>
      </c>
      <c r="J1252" s="3">
        <v>1</v>
      </c>
      <c r="K1252" s="2">
        <v>23</v>
      </c>
      <c r="L1252" s="3" t="s">
        <v>35</v>
      </c>
      <c r="M1252" s="4">
        <v>43455</v>
      </c>
      <c r="N1252" s="3">
        <v>400.1</v>
      </c>
    </row>
    <row r="1253" spans="1:14" x14ac:dyDescent="0.25">
      <c r="A1253" s="2">
        <v>1252</v>
      </c>
      <c r="B1253" s="3">
        <v>26529037</v>
      </c>
      <c r="C1253" s="2" t="s">
        <v>222</v>
      </c>
      <c r="D1253" s="3">
        <v>2</v>
      </c>
      <c r="E1253" s="2">
        <v>76</v>
      </c>
      <c r="F1253" s="2" t="str">
        <f t="shared" si="44"/>
        <v>SIN MODELO</v>
      </c>
      <c r="G1253" s="2" t="str">
        <f>"141010402"</f>
        <v>141010402</v>
      </c>
      <c r="I1253">
        <v>5</v>
      </c>
      <c r="J1253" s="3">
        <v>1</v>
      </c>
      <c r="K1253" s="2">
        <v>23</v>
      </c>
      <c r="L1253" s="3" t="s">
        <v>35</v>
      </c>
      <c r="M1253" s="4">
        <v>43455</v>
      </c>
      <c r="N1253" s="3">
        <v>400.06</v>
      </c>
    </row>
    <row r="1254" spans="1:14" x14ac:dyDescent="0.25">
      <c r="A1254" s="2">
        <v>1253</v>
      </c>
      <c r="B1254" s="3">
        <v>26529038</v>
      </c>
      <c r="C1254" s="2" t="s">
        <v>222</v>
      </c>
      <c r="D1254" s="3">
        <v>2</v>
      </c>
      <c r="E1254" s="2">
        <v>76</v>
      </c>
      <c r="F1254" s="2" t="str">
        <f t="shared" si="44"/>
        <v>SIN MODELO</v>
      </c>
      <c r="G1254" s="2" t="str">
        <f>"141010403"</f>
        <v>141010403</v>
      </c>
      <c r="I1254">
        <v>5</v>
      </c>
      <c r="J1254" s="3">
        <v>1</v>
      </c>
      <c r="K1254" s="2">
        <v>23</v>
      </c>
      <c r="L1254" s="3" t="s">
        <v>35</v>
      </c>
      <c r="M1254" s="4">
        <v>43455</v>
      </c>
      <c r="N1254" s="3">
        <v>400.06</v>
      </c>
    </row>
    <row r="1255" spans="1:14" x14ac:dyDescent="0.25">
      <c r="A1255" s="2">
        <v>1254</v>
      </c>
      <c r="B1255" s="3">
        <v>26529039</v>
      </c>
      <c r="C1255" s="2" t="s">
        <v>222</v>
      </c>
      <c r="D1255" s="3">
        <v>2</v>
      </c>
      <c r="E1255" s="2">
        <v>76</v>
      </c>
      <c r="F1255" s="2" t="str">
        <f t="shared" si="44"/>
        <v>SIN MODELO</v>
      </c>
      <c r="G1255" s="2" t="str">
        <f>"141010404"</f>
        <v>141010404</v>
      </c>
      <c r="I1255">
        <v>5</v>
      </c>
      <c r="J1255" s="3">
        <v>1</v>
      </c>
      <c r="K1255" s="2">
        <v>23</v>
      </c>
      <c r="L1255" s="3" t="s">
        <v>35</v>
      </c>
      <c r="M1255" s="4">
        <v>43455</v>
      </c>
      <c r="N1255" s="3">
        <v>400.06</v>
      </c>
    </row>
    <row r="1256" spans="1:14" x14ac:dyDescent="0.25">
      <c r="A1256" s="2">
        <v>1255</v>
      </c>
      <c r="B1256" s="3">
        <v>26529040</v>
      </c>
      <c r="C1256" s="2" t="s">
        <v>222</v>
      </c>
      <c r="D1256" s="3">
        <v>2</v>
      </c>
      <c r="E1256" s="2">
        <v>76</v>
      </c>
      <c r="F1256" s="2" t="str">
        <f t="shared" si="44"/>
        <v>SIN MODELO</v>
      </c>
      <c r="G1256" s="2" t="str">
        <f>"141010405"</f>
        <v>141010405</v>
      </c>
      <c r="I1256">
        <v>5</v>
      </c>
      <c r="J1256" s="3">
        <v>1</v>
      </c>
      <c r="K1256" s="2">
        <v>23</v>
      </c>
      <c r="L1256" s="3" t="s">
        <v>35</v>
      </c>
      <c r="M1256" s="4">
        <v>43455</v>
      </c>
      <c r="N1256" s="3">
        <v>400.06</v>
      </c>
    </row>
    <row r="1257" spans="1:14" x14ac:dyDescent="0.25">
      <c r="A1257" s="2">
        <v>1256</v>
      </c>
      <c r="B1257" s="3">
        <v>26529042</v>
      </c>
      <c r="C1257" s="2" t="s">
        <v>222</v>
      </c>
      <c r="D1257" s="3">
        <v>2</v>
      </c>
      <c r="E1257" s="2">
        <v>76</v>
      </c>
      <c r="F1257" s="2" t="str">
        <f t="shared" si="44"/>
        <v>SIN MODELO</v>
      </c>
      <c r="G1257" s="2" t="str">
        <f>"141010407"</f>
        <v>141010407</v>
      </c>
      <c r="I1257">
        <v>5</v>
      </c>
      <c r="J1257" s="3">
        <v>1</v>
      </c>
      <c r="K1257" s="2">
        <v>23</v>
      </c>
      <c r="L1257" s="3" t="s">
        <v>35</v>
      </c>
      <c r="M1257" s="4">
        <v>43455</v>
      </c>
      <c r="N1257" s="3">
        <v>400.06</v>
      </c>
    </row>
    <row r="1258" spans="1:14" x14ac:dyDescent="0.25">
      <c r="A1258" s="2">
        <v>1257</v>
      </c>
      <c r="B1258" s="3">
        <v>26529043</v>
      </c>
      <c r="C1258" s="2" t="s">
        <v>222</v>
      </c>
      <c r="D1258" s="3">
        <v>2</v>
      </c>
      <c r="E1258" s="2">
        <v>76</v>
      </c>
      <c r="F1258" s="2" t="str">
        <f t="shared" si="44"/>
        <v>SIN MODELO</v>
      </c>
      <c r="G1258" s="2" t="str">
        <f>"141010408"</f>
        <v>141010408</v>
      </c>
      <c r="I1258">
        <v>5</v>
      </c>
      <c r="J1258" s="3">
        <v>1</v>
      </c>
      <c r="K1258" s="2">
        <v>23</v>
      </c>
      <c r="L1258" s="3" t="s">
        <v>35</v>
      </c>
      <c r="M1258" s="4">
        <v>43455</v>
      </c>
      <c r="N1258" s="3">
        <v>400.06</v>
      </c>
    </row>
    <row r="1259" spans="1:14" x14ac:dyDescent="0.25">
      <c r="A1259" s="2">
        <v>1258</v>
      </c>
      <c r="B1259" s="3">
        <v>26529044</v>
      </c>
      <c r="C1259" s="2" t="s">
        <v>222</v>
      </c>
      <c r="D1259" s="3">
        <v>2</v>
      </c>
      <c r="E1259" s="2">
        <v>76</v>
      </c>
      <c r="F1259" s="2" t="str">
        <f t="shared" si="44"/>
        <v>SIN MODELO</v>
      </c>
      <c r="G1259" s="2" t="str">
        <f>"141010409"</f>
        <v>141010409</v>
      </c>
      <c r="I1259">
        <v>5</v>
      </c>
      <c r="J1259" s="3">
        <v>1</v>
      </c>
      <c r="K1259" s="2">
        <v>23</v>
      </c>
      <c r="L1259" s="3" t="s">
        <v>35</v>
      </c>
      <c r="M1259" s="4">
        <v>43455</v>
      </c>
      <c r="N1259" s="3">
        <v>400.06</v>
      </c>
    </row>
    <row r="1260" spans="1:14" x14ac:dyDescent="0.25">
      <c r="A1260" s="2">
        <v>1259</v>
      </c>
      <c r="B1260" s="3">
        <v>26529045</v>
      </c>
      <c r="C1260" s="2" t="s">
        <v>222</v>
      </c>
      <c r="D1260" s="3">
        <v>2</v>
      </c>
      <c r="E1260" s="2">
        <v>76</v>
      </c>
      <c r="F1260" s="2" t="str">
        <f t="shared" si="44"/>
        <v>SIN MODELO</v>
      </c>
      <c r="G1260" s="2" t="str">
        <f>"141010410"</f>
        <v>141010410</v>
      </c>
      <c r="I1260">
        <v>5</v>
      </c>
      <c r="J1260" s="3">
        <v>1</v>
      </c>
      <c r="K1260" s="2">
        <v>23</v>
      </c>
      <c r="L1260" s="3" t="s">
        <v>35</v>
      </c>
      <c r="M1260" s="4">
        <v>43455</v>
      </c>
      <c r="N1260" s="3">
        <v>400.06</v>
      </c>
    </row>
    <row r="1261" spans="1:14" x14ac:dyDescent="0.25">
      <c r="A1261" s="2">
        <v>1260</v>
      </c>
      <c r="B1261" s="3">
        <v>26529046</v>
      </c>
      <c r="C1261" s="2" t="s">
        <v>222</v>
      </c>
      <c r="D1261" s="3">
        <v>2</v>
      </c>
      <c r="E1261" s="2">
        <v>76</v>
      </c>
      <c r="F1261" s="2" t="str">
        <f t="shared" si="44"/>
        <v>SIN MODELO</v>
      </c>
      <c r="G1261" s="2" t="str">
        <f>"141010411"</f>
        <v>141010411</v>
      </c>
      <c r="I1261">
        <v>5</v>
      </c>
      <c r="J1261" s="3">
        <v>1</v>
      </c>
      <c r="K1261" s="2">
        <v>23</v>
      </c>
      <c r="L1261" s="3" t="s">
        <v>35</v>
      </c>
      <c r="M1261" s="4">
        <v>43455</v>
      </c>
      <c r="N1261" s="3">
        <v>400.06</v>
      </c>
    </row>
    <row r="1262" spans="1:14" x14ac:dyDescent="0.25">
      <c r="A1262" s="2">
        <v>1261</v>
      </c>
      <c r="B1262" s="3">
        <v>26529047</v>
      </c>
      <c r="C1262" s="2" t="s">
        <v>222</v>
      </c>
      <c r="D1262" s="3">
        <v>2</v>
      </c>
      <c r="E1262" s="2">
        <v>76</v>
      </c>
      <c r="F1262" s="2" t="str">
        <f t="shared" si="44"/>
        <v>SIN MODELO</v>
      </c>
      <c r="G1262" s="2" t="str">
        <f>"141010412"</f>
        <v>141010412</v>
      </c>
      <c r="I1262">
        <v>5</v>
      </c>
      <c r="J1262" s="3">
        <v>1</v>
      </c>
      <c r="K1262" s="2">
        <v>23</v>
      </c>
      <c r="L1262" s="3" t="s">
        <v>35</v>
      </c>
      <c r="M1262" s="4">
        <v>43455</v>
      </c>
      <c r="N1262" s="3">
        <v>473.76</v>
      </c>
    </row>
    <row r="1263" spans="1:14" x14ac:dyDescent="0.25">
      <c r="A1263" s="2">
        <v>1262</v>
      </c>
      <c r="B1263" s="3">
        <v>26529048</v>
      </c>
      <c r="C1263" s="2" t="s">
        <v>222</v>
      </c>
      <c r="D1263" s="3">
        <v>2</v>
      </c>
      <c r="E1263" s="2">
        <v>76</v>
      </c>
      <c r="F1263" s="2" t="str">
        <f t="shared" si="44"/>
        <v>SIN MODELO</v>
      </c>
      <c r="G1263" s="2" t="str">
        <f>"141010413"</f>
        <v>141010413</v>
      </c>
      <c r="I1263">
        <v>5</v>
      </c>
      <c r="J1263" s="3">
        <v>1</v>
      </c>
      <c r="K1263" s="2">
        <v>23</v>
      </c>
      <c r="L1263" s="3" t="s">
        <v>35</v>
      </c>
      <c r="M1263" s="4">
        <v>43455</v>
      </c>
      <c r="N1263" s="3">
        <v>473.76</v>
      </c>
    </row>
    <row r="1264" spans="1:14" x14ac:dyDescent="0.25">
      <c r="A1264" s="2">
        <v>1263</v>
      </c>
      <c r="B1264" s="3">
        <v>26529049</v>
      </c>
      <c r="C1264" s="2" t="s">
        <v>222</v>
      </c>
      <c r="D1264" s="3">
        <v>2</v>
      </c>
      <c r="E1264" s="2">
        <v>76</v>
      </c>
      <c r="F1264" s="2" t="str">
        <f t="shared" si="44"/>
        <v>SIN MODELO</v>
      </c>
      <c r="G1264" s="2" t="str">
        <f>"141010414"</f>
        <v>141010414</v>
      </c>
      <c r="I1264">
        <v>5</v>
      </c>
      <c r="J1264" s="3">
        <v>1</v>
      </c>
      <c r="K1264" s="2">
        <v>23</v>
      </c>
      <c r="L1264" s="3" t="s">
        <v>35</v>
      </c>
      <c r="M1264" s="4">
        <v>43455</v>
      </c>
      <c r="N1264" s="3">
        <v>473.76</v>
      </c>
    </row>
    <row r="1265" spans="1:14" x14ac:dyDescent="0.25">
      <c r="A1265" s="2">
        <v>1264</v>
      </c>
      <c r="B1265" s="3">
        <v>26529050</v>
      </c>
      <c r="C1265" s="2" t="s">
        <v>222</v>
      </c>
      <c r="D1265" s="3">
        <v>2</v>
      </c>
      <c r="E1265" s="2">
        <v>76</v>
      </c>
      <c r="F1265" s="2" t="str">
        <f t="shared" si="44"/>
        <v>SIN MODELO</v>
      </c>
      <c r="G1265" s="2" t="str">
        <f>"141010415"</f>
        <v>141010415</v>
      </c>
      <c r="I1265">
        <v>5</v>
      </c>
      <c r="J1265" s="3">
        <v>1</v>
      </c>
      <c r="K1265" s="2">
        <v>23</v>
      </c>
      <c r="L1265" s="3" t="s">
        <v>35</v>
      </c>
      <c r="M1265" s="4">
        <v>43455</v>
      </c>
      <c r="N1265" s="3">
        <v>473.76</v>
      </c>
    </row>
    <row r="1266" spans="1:14" x14ac:dyDescent="0.25">
      <c r="A1266" s="2">
        <v>1265</v>
      </c>
      <c r="B1266" s="3">
        <v>26529051</v>
      </c>
      <c r="C1266" s="2" t="s">
        <v>222</v>
      </c>
      <c r="D1266" s="3">
        <v>2</v>
      </c>
      <c r="E1266" s="2">
        <v>76</v>
      </c>
      <c r="F1266" s="2" t="str">
        <f t="shared" si="44"/>
        <v>SIN MODELO</v>
      </c>
      <c r="G1266" s="2" t="str">
        <f>"141010416"</f>
        <v>141010416</v>
      </c>
      <c r="I1266">
        <v>5</v>
      </c>
      <c r="J1266" s="3">
        <v>1</v>
      </c>
      <c r="K1266" s="2">
        <v>23</v>
      </c>
      <c r="L1266" s="3" t="s">
        <v>35</v>
      </c>
      <c r="M1266" s="4">
        <v>43455</v>
      </c>
      <c r="N1266" s="3">
        <v>473.76</v>
      </c>
    </row>
    <row r="1267" spans="1:14" x14ac:dyDescent="0.25">
      <c r="A1267" s="2">
        <v>1266</v>
      </c>
      <c r="B1267" s="3">
        <v>26529052</v>
      </c>
      <c r="C1267" s="2" t="s">
        <v>222</v>
      </c>
      <c r="D1267" s="3">
        <v>2</v>
      </c>
      <c r="E1267" s="2">
        <v>76</v>
      </c>
      <c r="F1267" s="2" t="str">
        <f t="shared" si="44"/>
        <v>SIN MODELO</v>
      </c>
      <c r="G1267" s="2" t="str">
        <f>"141010417"</f>
        <v>141010417</v>
      </c>
      <c r="I1267">
        <v>5</v>
      </c>
      <c r="J1267" s="3">
        <v>1</v>
      </c>
      <c r="K1267" s="2">
        <v>23</v>
      </c>
      <c r="L1267" s="3" t="s">
        <v>35</v>
      </c>
      <c r="M1267" s="4">
        <v>43455</v>
      </c>
      <c r="N1267" s="3">
        <v>473.76</v>
      </c>
    </row>
    <row r="1268" spans="1:14" x14ac:dyDescent="0.25">
      <c r="A1268" s="2">
        <v>1267</v>
      </c>
      <c r="B1268" s="3">
        <v>26529053</v>
      </c>
      <c r="C1268" s="2" t="s">
        <v>222</v>
      </c>
      <c r="D1268" s="3">
        <v>2</v>
      </c>
      <c r="E1268" s="2">
        <v>76</v>
      </c>
      <c r="F1268" s="2" t="str">
        <f t="shared" si="44"/>
        <v>SIN MODELO</v>
      </c>
      <c r="G1268" s="2" t="str">
        <f>"141010418"</f>
        <v>141010418</v>
      </c>
      <c r="I1268">
        <v>5</v>
      </c>
      <c r="J1268" s="3">
        <v>1</v>
      </c>
      <c r="K1268" s="2">
        <v>23</v>
      </c>
      <c r="L1268" s="3" t="s">
        <v>35</v>
      </c>
      <c r="M1268" s="4">
        <v>43455</v>
      </c>
      <c r="N1268" s="3">
        <v>473.76</v>
      </c>
    </row>
    <row r="1269" spans="1:14" x14ac:dyDescent="0.25">
      <c r="A1269" s="2">
        <v>1268</v>
      </c>
      <c r="B1269" s="3">
        <v>26529054</v>
      </c>
      <c r="C1269" s="2" t="s">
        <v>222</v>
      </c>
      <c r="D1269" s="3">
        <v>2</v>
      </c>
      <c r="E1269" s="2">
        <v>76</v>
      </c>
      <c r="F1269" s="2" t="str">
        <f t="shared" si="44"/>
        <v>SIN MODELO</v>
      </c>
      <c r="G1269" s="2" t="str">
        <f>"141010419"</f>
        <v>141010419</v>
      </c>
      <c r="I1269">
        <v>5</v>
      </c>
      <c r="J1269" s="3">
        <v>1</v>
      </c>
      <c r="K1269" s="2">
        <v>23</v>
      </c>
      <c r="L1269" s="3" t="s">
        <v>35</v>
      </c>
      <c r="M1269" s="4">
        <v>43455</v>
      </c>
      <c r="N1269" s="3">
        <v>473.76</v>
      </c>
    </row>
    <row r="1270" spans="1:14" x14ac:dyDescent="0.25">
      <c r="A1270" s="2">
        <v>1269</v>
      </c>
      <c r="B1270" s="3">
        <v>26529055</v>
      </c>
      <c r="C1270" s="2" t="s">
        <v>222</v>
      </c>
      <c r="D1270" s="3">
        <v>2</v>
      </c>
      <c r="E1270" s="2">
        <v>76</v>
      </c>
      <c r="F1270" s="2" t="str">
        <f t="shared" si="44"/>
        <v>SIN MODELO</v>
      </c>
      <c r="G1270" s="2" t="str">
        <f>"141010420"</f>
        <v>141010420</v>
      </c>
      <c r="I1270">
        <v>5</v>
      </c>
      <c r="J1270" s="3">
        <v>1</v>
      </c>
      <c r="K1270" s="2">
        <v>23</v>
      </c>
      <c r="L1270" s="3" t="s">
        <v>35</v>
      </c>
      <c r="M1270" s="4">
        <v>43455</v>
      </c>
      <c r="N1270" s="3">
        <v>473.76</v>
      </c>
    </row>
    <row r="1271" spans="1:14" x14ac:dyDescent="0.25">
      <c r="A1271" s="2">
        <v>1270</v>
      </c>
      <c r="B1271" s="3">
        <v>26529056</v>
      </c>
      <c r="C1271" s="2" t="s">
        <v>222</v>
      </c>
      <c r="D1271" s="3">
        <v>2</v>
      </c>
      <c r="E1271" s="2">
        <v>76</v>
      </c>
      <c r="F1271" s="2" t="str">
        <f t="shared" si="44"/>
        <v>SIN MODELO</v>
      </c>
      <c r="G1271" s="2" t="str">
        <f>"141010421"</f>
        <v>141010421</v>
      </c>
      <c r="I1271">
        <v>5</v>
      </c>
      <c r="J1271" s="3">
        <v>1</v>
      </c>
      <c r="K1271" s="2">
        <v>23</v>
      </c>
      <c r="L1271" s="3" t="s">
        <v>35</v>
      </c>
      <c r="M1271" s="4">
        <v>43455</v>
      </c>
      <c r="N1271" s="3">
        <v>473.76</v>
      </c>
    </row>
    <row r="1272" spans="1:14" x14ac:dyDescent="0.25">
      <c r="A1272" s="2">
        <v>1271</v>
      </c>
      <c r="B1272" s="3">
        <v>26529057</v>
      </c>
      <c r="C1272" s="2" t="s">
        <v>222</v>
      </c>
      <c r="D1272" s="3">
        <v>2</v>
      </c>
      <c r="E1272" s="2">
        <v>76</v>
      </c>
      <c r="F1272" s="2" t="str">
        <f t="shared" si="44"/>
        <v>SIN MODELO</v>
      </c>
      <c r="G1272" s="2" t="str">
        <f>"141010422"</f>
        <v>141010422</v>
      </c>
      <c r="I1272">
        <v>5</v>
      </c>
      <c r="J1272" s="3">
        <v>1</v>
      </c>
      <c r="K1272" s="2">
        <v>23</v>
      </c>
      <c r="L1272" s="3" t="s">
        <v>35</v>
      </c>
      <c r="M1272" s="4">
        <v>43455</v>
      </c>
      <c r="N1272" s="3">
        <v>473.76</v>
      </c>
    </row>
    <row r="1273" spans="1:14" x14ac:dyDescent="0.25">
      <c r="A1273" s="2">
        <v>1272</v>
      </c>
      <c r="B1273" s="3">
        <v>28196038</v>
      </c>
      <c r="C1273" s="2" t="s">
        <v>197</v>
      </c>
      <c r="D1273" s="3">
        <v>1</v>
      </c>
      <c r="E1273" s="2">
        <v>21</v>
      </c>
      <c r="F1273" s="2" t="str">
        <f t="shared" ref="F1273:F1282" si="45">"M618 PLUS"</f>
        <v>M618 PLUS</v>
      </c>
      <c r="G1273" s="2" t="str">
        <f>"M6188L000303"</f>
        <v>M6188L000303</v>
      </c>
      <c r="I1273">
        <v>20</v>
      </c>
      <c r="J1273" s="3">
        <v>1</v>
      </c>
      <c r="K1273" s="2">
        <v>18</v>
      </c>
      <c r="L1273" s="3" t="s">
        <v>31</v>
      </c>
      <c r="M1273" s="4">
        <v>43627</v>
      </c>
      <c r="N1273" s="3">
        <v>28.5</v>
      </c>
    </row>
    <row r="1274" spans="1:14" x14ac:dyDescent="0.25">
      <c r="A1274" s="2">
        <v>1273</v>
      </c>
      <c r="B1274" s="3">
        <v>28196039</v>
      </c>
      <c r="C1274" s="2" t="s">
        <v>197</v>
      </c>
      <c r="D1274" s="3">
        <v>1</v>
      </c>
      <c r="E1274" s="2">
        <v>21</v>
      </c>
      <c r="F1274" s="2" t="str">
        <f t="shared" si="45"/>
        <v>M618 PLUS</v>
      </c>
      <c r="G1274" s="2" t="str">
        <f>"M6188L000304"</f>
        <v>M6188L000304</v>
      </c>
      <c r="I1274">
        <v>20</v>
      </c>
      <c r="J1274" s="3">
        <v>1</v>
      </c>
      <c r="K1274" s="2">
        <v>26</v>
      </c>
      <c r="L1274" s="3" t="s">
        <v>31</v>
      </c>
      <c r="M1274" s="4">
        <v>43627</v>
      </c>
      <c r="N1274" s="3">
        <v>28.5</v>
      </c>
    </row>
    <row r="1275" spans="1:14" x14ac:dyDescent="0.25">
      <c r="A1275" s="2">
        <v>1274</v>
      </c>
      <c r="B1275" s="3">
        <v>28196036</v>
      </c>
      <c r="C1275" s="2" t="s">
        <v>197</v>
      </c>
      <c r="D1275" s="3">
        <v>1</v>
      </c>
      <c r="E1275" s="2">
        <v>21</v>
      </c>
      <c r="F1275" s="2" t="str">
        <f t="shared" si="45"/>
        <v>M618 PLUS</v>
      </c>
      <c r="G1275" s="2" t="str">
        <f>"M6188L000301"</f>
        <v>M6188L000301</v>
      </c>
      <c r="I1275">
        <v>20</v>
      </c>
      <c r="J1275" s="3">
        <v>1</v>
      </c>
      <c r="K1275" s="2">
        <v>3</v>
      </c>
      <c r="L1275" s="3" t="s">
        <v>31</v>
      </c>
      <c r="M1275" s="4">
        <v>43627</v>
      </c>
      <c r="N1275" s="3">
        <v>28.54</v>
      </c>
    </row>
    <row r="1276" spans="1:14" x14ac:dyDescent="0.25">
      <c r="A1276" s="2">
        <v>1275</v>
      </c>
      <c r="B1276" s="3">
        <v>28196037</v>
      </c>
      <c r="C1276" s="2" t="s">
        <v>197</v>
      </c>
      <c r="D1276" s="3">
        <v>1</v>
      </c>
      <c r="E1276" s="2">
        <v>21</v>
      </c>
      <c r="F1276" s="2" t="str">
        <f t="shared" si="45"/>
        <v>M618 PLUS</v>
      </c>
      <c r="G1276" s="2" t="str">
        <f>"M6188L000302"</f>
        <v>M6188L000302</v>
      </c>
      <c r="I1276">
        <v>20</v>
      </c>
      <c r="J1276" s="3">
        <v>1</v>
      </c>
      <c r="K1276" s="2">
        <v>4</v>
      </c>
      <c r="L1276" s="3" t="s">
        <v>31</v>
      </c>
      <c r="M1276" s="4">
        <v>43627</v>
      </c>
      <c r="N1276" s="3">
        <v>28.5</v>
      </c>
    </row>
    <row r="1277" spans="1:14" x14ac:dyDescent="0.25">
      <c r="A1277" s="2">
        <v>1276</v>
      </c>
      <c r="B1277" s="3">
        <v>28196040</v>
      </c>
      <c r="C1277" s="2" t="s">
        <v>197</v>
      </c>
      <c r="D1277" s="3">
        <v>1</v>
      </c>
      <c r="E1277" s="2">
        <v>21</v>
      </c>
      <c r="F1277" s="2" t="str">
        <f t="shared" si="45"/>
        <v>M618 PLUS</v>
      </c>
      <c r="G1277" s="2" t="str">
        <f>"M6188L000305"</f>
        <v>M6188L000305</v>
      </c>
      <c r="I1277">
        <v>20</v>
      </c>
      <c r="J1277" s="3">
        <v>1</v>
      </c>
      <c r="K1277" s="2">
        <v>34</v>
      </c>
      <c r="L1277" s="3" t="s">
        <v>31</v>
      </c>
      <c r="M1277" s="4">
        <v>43627</v>
      </c>
      <c r="N1277" s="3">
        <v>28.5</v>
      </c>
    </row>
    <row r="1278" spans="1:14" x14ac:dyDescent="0.25">
      <c r="A1278" s="2">
        <v>1277</v>
      </c>
      <c r="B1278" s="3">
        <v>28196041</v>
      </c>
      <c r="C1278" s="2" t="s">
        <v>197</v>
      </c>
      <c r="D1278" s="3">
        <v>1</v>
      </c>
      <c r="E1278" s="2">
        <v>21</v>
      </c>
      <c r="F1278" s="2" t="str">
        <f t="shared" si="45"/>
        <v>M618 PLUS</v>
      </c>
      <c r="G1278" s="2" t="str">
        <f>"M6188L000306"</f>
        <v>M6188L000306</v>
      </c>
      <c r="I1278">
        <v>20</v>
      </c>
      <c r="J1278" s="3">
        <v>1</v>
      </c>
      <c r="K1278" s="2">
        <v>8</v>
      </c>
      <c r="L1278" s="3" t="s">
        <v>31</v>
      </c>
      <c r="M1278" s="4">
        <v>43627</v>
      </c>
      <c r="N1278" s="3">
        <v>28.5</v>
      </c>
    </row>
    <row r="1279" spans="1:14" x14ac:dyDescent="0.25">
      <c r="A1279" s="2">
        <v>1278</v>
      </c>
      <c r="B1279" s="3">
        <v>28196042</v>
      </c>
      <c r="C1279" s="2" t="s">
        <v>197</v>
      </c>
      <c r="D1279" s="3">
        <v>1</v>
      </c>
      <c r="E1279" s="2">
        <v>21</v>
      </c>
      <c r="F1279" s="2" t="str">
        <f t="shared" si="45"/>
        <v>M618 PLUS</v>
      </c>
      <c r="G1279" s="2" t="str">
        <f>"M6188L000307"</f>
        <v>M6188L000307</v>
      </c>
      <c r="I1279">
        <v>20</v>
      </c>
      <c r="J1279" s="3">
        <v>1</v>
      </c>
      <c r="K1279" s="2">
        <v>2</v>
      </c>
      <c r="L1279" s="3" t="s">
        <v>31</v>
      </c>
      <c r="M1279" s="4">
        <v>43627</v>
      </c>
      <c r="N1279" s="3">
        <v>28.5</v>
      </c>
    </row>
    <row r="1280" spans="1:14" x14ac:dyDescent="0.25">
      <c r="A1280" s="2">
        <v>1279</v>
      </c>
      <c r="B1280" s="3">
        <v>28196043</v>
      </c>
      <c r="C1280" s="2" t="s">
        <v>197</v>
      </c>
      <c r="D1280" s="3">
        <v>1</v>
      </c>
      <c r="E1280" s="2">
        <v>21</v>
      </c>
      <c r="F1280" s="2" t="str">
        <f t="shared" si="45"/>
        <v>M618 PLUS</v>
      </c>
      <c r="G1280" s="2" t="str">
        <f>"M6188L000308"</f>
        <v>M6188L000308</v>
      </c>
      <c r="I1280">
        <v>20</v>
      </c>
      <c r="J1280" s="3">
        <v>1</v>
      </c>
      <c r="K1280" s="2">
        <v>37</v>
      </c>
      <c r="L1280" s="3" t="s">
        <v>31</v>
      </c>
      <c r="M1280" s="4">
        <v>43627</v>
      </c>
      <c r="N1280" s="3">
        <v>28.5</v>
      </c>
    </row>
    <row r="1281" spans="1:14" x14ac:dyDescent="0.25">
      <c r="A1281" s="2">
        <v>1280</v>
      </c>
      <c r="B1281" s="3">
        <v>28196044</v>
      </c>
      <c r="C1281" s="2" t="s">
        <v>197</v>
      </c>
      <c r="D1281" s="3">
        <v>1</v>
      </c>
      <c r="E1281" s="2">
        <v>21</v>
      </c>
      <c r="F1281" s="2" t="str">
        <f t="shared" si="45"/>
        <v>M618 PLUS</v>
      </c>
      <c r="G1281" s="2" t="str">
        <f>"M6188L000309"</f>
        <v>M6188L000309</v>
      </c>
      <c r="I1281">
        <v>20</v>
      </c>
      <c r="J1281" s="3">
        <v>1</v>
      </c>
      <c r="K1281" s="2">
        <v>30</v>
      </c>
      <c r="L1281" s="3" t="s">
        <v>31</v>
      </c>
      <c r="M1281" s="4">
        <v>43627</v>
      </c>
      <c r="N1281" s="3">
        <v>28.5</v>
      </c>
    </row>
    <row r="1282" spans="1:14" x14ac:dyDescent="0.25">
      <c r="A1282" s="2">
        <v>1281</v>
      </c>
      <c r="B1282" s="3">
        <v>28196045</v>
      </c>
      <c r="C1282" s="2" t="s">
        <v>197</v>
      </c>
      <c r="D1282" s="3">
        <v>1</v>
      </c>
      <c r="E1282" s="2">
        <v>21</v>
      </c>
      <c r="F1282" s="2" t="str">
        <f t="shared" si="45"/>
        <v>M618 PLUS</v>
      </c>
      <c r="G1282" s="2" t="str">
        <f>"M6188L000310"</f>
        <v>M6188L000310</v>
      </c>
      <c r="I1282">
        <v>20</v>
      </c>
      <c r="J1282" s="3">
        <v>1</v>
      </c>
      <c r="K1282" s="2">
        <v>39</v>
      </c>
      <c r="L1282" s="3" t="s">
        <v>31</v>
      </c>
      <c r="M1282" s="4">
        <v>43627</v>
      </c>
      <c r="N1282" s="3">
        <v>28.5</v>
      </c>
    </row>
    <row r="1283" spans="1:14" x14ac:dyDescent="0.25">
      <c r="A1283" s="2">
        <v>1282</v>
      </c>
      <c r="B1283" s="3">
        <v>28874067</v>
      </c>
      <c r="C1283" s="2" t="s">
        <v>260</v>
      </c>
      <c r="D1283" s="3">
        <v>1</v>
      </c>
      <c r="E1283" s="2">
        <v>73</v>
      </c>
      <c r="F1283" s="2" t="str">
        <f>"MP C2004SP"</f>
        <v>MP C2004SP</v>
      </c>
      <c r="G1283" s="2" t="str">
        <f>"C768R610020"</f>
        <v>C768R610020</v>
      </c>
      <c r="I1283">
        <v>5</v>
      </c>
      <c r="J1283" s="3">
        <v>1</v>
      </c>
      <c r="K1283" s="2">
        <v>23</v>
      </c>
      <c r="L1283" s="3" t="s">
        <v>33</v>
      </c>
      <c r="M1283" s="4">
        <v>43719</v>
      </c>
      <c r="N1283" s="5">
        <v>4391.72</v>
      </c>
    </row>
    <row r="1284" spans="1:14" x14ac:dyDescent="0.25">
      <c r="A1284" s="2">
        <v>1283</v>
      </c>
      <c r="B1284" s="3">
        <v>28874068</v>
      </c>
      <c r="C1284" s="2" t="s">
        <v>271</v>
      </c>
      <c r="D1284" s="3">
        <v>1</v>
      </c>
      <c r="E1284" s="2">
        <v>41</v>
      </c>
      <c r="F1284" s="2" t="str">
        <f>"HP 2000"</f>
        <v>HP 2000</v>
      </c>
      <c r="G1284" s="2" t="str">
        <f>"1495616"</f>
        <v>1495616</v>
      </c>
      <c r="I1284">
        <v>13</v>
      </c>
      <c r="J1284" s="3">
        <v>1</v>
      </c>
      <c r="K1284" s="2">
        <v>39</v>
      </c>
      <c r="L1284" s="3" t="s">
        <v>33</v>
      </c>
      <c r="M1284" s="4">
        <v>43719</v>
      </c>
      <c r="N1284" s="5">
        <v>2080.96</v>
      </c>
    </row>
    <row r="1285" spans="1:14" x14ac:dyDescent="0.25">
      <c r="A1285" s="2">
        <v>1284</v>
      </c>
      <c r="B1285" s="3">
        <v>28874064</v>
      </c>
      <c r="C1285" s="2" t="s">
        <v>208</v>
      </c>
      <c r="D1285" s="3">
        <v>1</v>
      </c>
      <c r="E1285" s="2">
        <v>44</v>
      </c>
      <c r="F1285" s="2" t="str">
        <f>"IN126STX"</f>
        <v>IN126STX</v>
      </c>
      <c r="G1285" s="2" t="str">
        <f>"BVWB73500048"</f>
        <v>BVWB73500048</v>
      </c>
      <c r="I1285">
        <v>20</v>
      </c>
      <c r="J1285" s="3">
        <v>1</v>
      </c>
      <c r="K1285" s="2">
        <v>39</v>
      </c>
      <c r="L1285" s="3" t="s">
        <v>33</v>
      </c>
      <c r="M1285" s="4">
        <v>43719</v>
      </c>
      <c r="N1285" s="5">
        <v>2077.6</v>
      </c>
    </row>
    <row r="1286" spans="1:14" x14ac:dyDescent="0.25">
      <c r="A1286" s="2">
        <v>1285</v>
      </c>
      <c r="B1286" s="3">
        <v>28874065</v>
      </c>
      <c r="C1286" s="2" t="s">
        <v>208</v>
      </c>
      <c r="D1286" s="3">
        <v>1</v>
      </c>
      <c r="E1286" s="2">
        <v>44</v>
      </c>
      <c r="F1286" s="2" t="str">
        <f>"IN126STX"</f>
        <v>IN126STX</v>
      </c>
      <c r="G1286" s="2" t="str">
        <f>"BVWB81600063"</f>
        <v>BVWB81600063</v>
      </c>
      <c r="I1286">
        <v>20</v>
      </c>
      <c r="J1286" s="3">
        <v>1</v>
      </c>
      <c r="K1286" s="2">
        <v>9</v>
      </c>
      <c r="L1286" s="3" t="s">
        <v>33</v>
      </c>
      <c r="M1286" s="4">
        <v>43719</v>
      </c>
      <c r="N1286" s="5">
        <v>2077.6</v>
      </c>
    </row>
    <row r="1287" spans="1:14" x14ac:dyDescent="0.25">
      <c r="A1287" s="2">
        <v>1286</v>
      </c>
      <c r="B1287" s="3">
        <v>28874066</v>
      </c>
      <c r="C1287" s="2" t="s">
        <v>272</v>
      </c>
      <c r="D1287" s="3">
        <v>1</v>
      </c>
      <c r="E1287" s="2">
        <v>58</v>
      </c>
      <c r="F1287" s="2" t="str">
        <f>"HC-V180"</f>
        <v>HC-V180</v>
      </c>
      <c r="G1287" s="2" t="str">
        <f>"DJ8FB001501"</f>
        <v>DJ8FB001501</v>
      </c>
      <c r="I1287">
        <v>13</v>
      </c>
      <c r="J1287" s="3">
        <v>1</v>
      </c>
      <c r="K1287" s="2">
        <v>9</v>
      </c>
      <c r="L1287" s="3" t="s">
        <v>33</v>
      </c>
      <c r="M1287" s="4">
        <v>43719</v>
      </c>
      <c r="N1287" s="3">
        <v>504</v>
      </c>
    </row>
    <row r="1288" spans="1:14" x14ac:dyDescent="0.25">
      <c r="A1288" s="2">
        <v>1287</v>
      </c>
      <c r="B1288" s="3">
        <v>28874075</v>
      </c>
      <c r="C1288" s="2" t="s">
        <v>220</v>
      </c>
      <c r="D1288" s="3">
        <v>1</v>
      </c>
      <c r="E1288" s="2">
        <v>40</v>
      </c>
      <c r="F1288" s="2" t="str">
        <f>"GXP2140"</f>
        <v>GXP2140</v>
      </c>
      <c r="G1288" s="2" t="str">
        <f>"271FT75H30B2AF5C"</f>
        <v>271FT75H30B2AF5C</v>
      </c>
      <c r="I1288">
        <v>20</v>
      </c>
      <c r="J1288" s="3">
        <v>1</v>
      </c>
      <c r="K1288" s="2">
        <v>8</v>
      </c>
      <c r="L1288" s="3" t="s">
        <v>33</v>
      </c>
      <c r="M1288" s="4">
        <v>43719</v>
      </c>
      <c r="N1288" s="3">
        <v>145.6</v>
      </c>
    </row>
    <row r="1289" spans="1:14" x14ac:dyDescent="0.25">
      <c r="A1289" s="2">
        <v>1288</v>
      </c>
      <c r="B1289" s="3">
        <v>28874076</v>
      </c>
      <c r="C1289" s="2" t="s">
        <v>209</v>
      </c>
      <c r="D1289" s="3">
        <v>1</v>
      </c>
      <c r="E1289" s="2">
        <v>46</v>
      </c>
      <c r="F1289" s="2" t="str">
        <f>"KR2000A"</f>
        <v>KR2000A</v>
      </c>
      <c r="G1289" s="2" t="str">
        <f>"501101196150J3300017"</f>
        <v>501101196150J3300017</v>
      </c>
      <c r="I1289">
        <v>20</v>
      </c>
      <c r="J1289" s="3">
        <v>1</v>
      </c>
      <c r="K1289" s="2">
        <v>4</v>
      </c>
      <c r="L1289" s="3" t="s">
        <v>33</v>
      </c>
      <c r="M1289" s="4">
        <v>43719</v>
      </c>
      <c r="N1289" s="3">
        <v>991.2</v>
      </c>
    </row>
    <row r="1290" spans="1:14" x14ac:dyDescent="0.25">
      <c r="A1290" s="2">
        <v>1289</v>
      </c>
      <c r="B1290" s="3">
        <v>28874074</v>
      </c>
      <c r="C1290" s="2" t="s">
        <v>145</v>
      </c>
      <c r="D1290" s="3">
        <v>1</v>
      </c>
      <c r="E1290" s="2">
        <v>15</v>
      </c>
      <c r="F1290" s="2" t="str">
        <f>"SIN MODELO"</f>
        <v>SIN MODELO</v>
      </c>
      <c r="G1290" s="2" t="str">
        <f>"S21CI30618052"</f>
        <v>S21CI30618052</v>
      </c>
      <c r="I1290">
        <v>20</v>
      </c>
      <c r="J1290" s="3">
        <v>1</v>
      </c>
      <c r="K1290" s="2">
        <v>39</v>
      </c>
      <c r="L1290" s="3" t="s">
        <v>33</v>
      </c>
      <c r="M1290" s="4">
        <v>43719</v>
      </c>
      <c r="N1290" s="3">
        <v>705.6</v>
      </c>
    </row>
    <row r="1291" spans="1:14" x14ac:dyDescent="0.25">
      <c r="A1291" s="2">
        <v>1290</v>
      </c>
      <c r="B1291" s="3">
        <v>28874071</v>
      </c>
      <c r="C1291" s="2" t="s">
        <v>192</v>
      </c>
      <c r="D1291" s="3">
        <v>1</v>
      </c>
      <c r="E1291" s="2">
        <v>42</v>
      </c>
      <c r="F1291" s="2" t="str">
        <f>"LASER JET COLOR M452DW"</f>
        <v>LASER JET COLOR M452DW</v>
      </c>
      <c r="G1291" s="2" t="str">
        <f>"VNB3P31535"</f>
        <v>VNB3P31535</v>
      </c>
      <c r="I1291">
        <v>16</v>
      </c>
      <c r="J1291" s="3">
        <v>1</v>
      </c>
      <c r="K1291" s="2">
        <v>9</v>
      </c>
      <c r="L1291" s="3" t="s">
        <v>33</v>
      </c>
      <c r="M1291" s="4">
        <v>43719</v>
      </c>
      <c r="N1291" s="3">
        <v>548.79999999999995</v>
      </c>
    </row>
    <row r="1292" spans="1:14" x14ac:dyDescent="0.25">
      <c r="A1292" s="2">
        <v>1291</v>
      </c>
      <c r="B1292" s="3">
        <v>28874072</v>
      </c>
      <c r="C1292" s="2" t="s">
        <v>192</v>
      </c>
      <c r="D1292" s="3">
        <v>1</v>
      </c>
      <c r="E1292" s="2">
        <v>42</v>
      </c>
      <c r="F1292" s="2" t="str">
        <f>"LASER JET PRO M203DW"</f>
        <v>LASER JET PRO M203DW</v>
      </c>
      <c r="G1292" s="2" t="str">
        <f>"VNB5D19278"</f>
        <v>VNB5D19278</v>
      </c>
      <c r="I1292">
        <v>16</v>
      </c>
      <c r="J1292" s="3">
        <v>1</v>
      </c>
      <c r="K1292" s="2">
        <v>39</v>
      </c>
      <c r="L1292" s="3" t="s">
        <v>33</v>
      </c>
      <c r="M1292" s="4">
        <v>43719</v>
      </c>
      <c r="N1292" s="3">
        <v>264.32</v>
      </c>
    </row>
    <row r="1293" spans="1:14" x14ac:dyDescent="0.25">
      <c r="A1293" s="2">
        <v>1292</v>
      </c>
      <c r="B1293" s="3">
        <v>28874073</v>
      </c>
      <c r="C1293" s="2" t="s">
        <v>192</v>
      </c>
      <c r="D1293" s="3">
        <v>1</v>
      </c>
      <c r="E1293" s="2">
        <v>42</v>
      </c>
      <c r="F1293" s="2" t="str">
        <f>"LASER JET PRO M12W"</f>
        <v>LASER JET PRO M12W</v>
      </c>
      <c r="G1293" s="2" t="str">
        <f>"VNB6W03287"</f>
        <v>VNB6W03287</v>
      </c>
      <c r="I1293">
        <v>16</v>
      </c>
      <c r="J1293" s="3">
        <v>1</v>
      </c>
      <c r="K1293" s="2">
        <v>3</v>
      </c>
      <c r="L1293" s="3" t="s">
        <v>33</v>
      </c>
      <c r="M1293" s="4">
        <v>43719</v>
      </c>
      <c r="N1293" s="3">
        <v>110.88</v>
      </c>
    </row>
    <row r="1294" spans="1:14" x14ac:dyDescent="0.25">
      <c r="A1294" s="2">
        <v>1293</v>
      </c>
      <c r="B1294" s="3">
        <v>28874070</v>
      </c>
      <c r="C1294" s="2" t="s">
        <v>195</v>
      </c>
      <c r="D1294" s="3">
        <v>1</v>
      </c>
      <c r="E1294" s="2">
        <v>50</v>
      </c>
      <c r="F1294" s="2" t="str">
        <f>"20MP38HQ"</f>
        <v>20MP38HQ</v>
      </c>
      <c r="G1294" s="2" t="str">
        <f>"804NTKF9H429"</f>
        <v>804NTKF9H429</v>
      </c>
      <c r="I1294">
        <v>21</v>
      </c>
      <c r="J1294" s="3">
        <v>1</v>
      </c>
      <c r="K1294" s="2">
        <v>4</v>
      </c>
      <c r="L1294" s="3" t="s">
        <v>33</v>
      </c>
      <c r="M1294" s="4">
        <v>43719</v>
      </c>
      <c r="N1294" s="3">
        <v>168</v>
      </c>
    </row>
    <row r="1295" spans="1:14" x14ac:dyDescent="0.25">
      <c r="A1295" s="2">
        <v>1294</v>
      </c>
      <c r="B1295" s="3">
        <v>29455837</v>
      </c>
      <c r="C1295" s="2" t="s">
        <v>196</v>
      </c>
      <c r="D1295" s="3">
        <v>1</v>
      </c>
      <c r="E1295" s="2">
        <v>48</v>
      </c>
      <c r="F1295" s="2" t="str">
        <f>"V330-14IKB 81B0"</f>
        <v>V330-14IKB 81B0</v>
      </c>
      <c r="G1295" s="2" t="str">
        <f>"HP1HMCE6"</f>
        <v>HP1HMCE6</v>
      </c>
      <c r="I1295">
        <v>14</v>
      </c>
      <c r="J1295" s="3">
        <v>1</v>
      </c>
      <c r="K1295" s="2">
        <v>39</v>
      </c>
      <c r="L1295" s="3" t="s">
        <v>38</v>
      </c>
      <c r="M1295" s="4">
        <v>43791</v>
      </c>
      <c r="N1295" s="3">
        <v>801.46</v>
      </c>
    </row>
    <row r="1296" spans="1:14" x14ac:dyDescent="0.25">
      <c r="A1296" s="2">
        <v>1295</v>
      </c>
      <c r="B1296" s="3">
        <v>29455834</v>
      </c>
      <c r="C1296" s="2" t="s">
        <v>196</v>
      </c>
      <c r="D1296" s="3">
        <v>1</v>
      </c>
      <c r="E1296" s="2">
        <v>48</v>
      </c>
      <c r="F1296" s="2" t="str">
        <f>"V330-14IKB 81B0"</f>
        <v>V330-14IKB 81B0</v>
      </c>
      <c r="G1296" s="2" t="str">
        <f>"HP1HM4DF"</f>
        <v>HP1HM4DF</v>
      </c>
      <c r="I1296">
        <v>14</v>
      </c>
      <c r="J1296" s="3">
        <v>1</v>
      </c>
      <c r="K1296" s="2">
        <v>39</v>
      </c>
      <c r="L1296" s="3" t="s">
        <v>38</v>
      </c>
      <c r="M1296" s="4">
        <v>43791</v>
      </c>
      <c r="N1296" s="3">
        <v>801.46</v>
      </c>
    </row>
    <row r="1297" spans="1:14" x14ac:dyDescent="0.25">
      <c r="A1297" s="2">
        <v>1296</v>
      </c>
      <c r="B1297" s="3">
        <v>29455835</v>
      </c>
      <c r="C1297" s="2" t="s">
        <v>196</v>
      </c>
      <c r="D1297" s="3">
        <v>1</v>
      </c>
      <c r="E1297" s="2">
        <v>48</v>
      </c>
      <c r="F1297" s="2" t="str">
        <f>"V330-14IKB 81B0"</f>
        <v>V330-14IKB 81B0</v>
      </c>
      <c r="G1297" s="2" t="str">
        <f>"HP1HM4LV"</f>
        <v>HP1HM4LV</v>
      </c>
      <c r="I1297">
        <v>14</v>
      </c>
      <c r="J1297" s="3">
        <v>1</v>
      </c>
      <c r="K1297" s="2">
        <v>39</v>
      </c>
      <c r="L1297" s="3" t="s">
        <v>38</v>
      </c>
      <c r="M1297" s="4">
        <v>43791</v>
      </c>
      <c r="N1297" s="3">
        <v>801.46</v>
      </c>
    </row>
    <row r="1298" spans="1:14" x14ac:dyDescent="0.25">
      <c r="A1298" s="2">
        <v>1297</v>
      </c>
      <c r="B1298" s="3">
        <v>29455836</v>
      </c>
      <c r="C1298" s="2" t="s">
        <v>196</v>
      </c>
      <c r="D1298" s="3">
        <v>1</v>
      </c>
      <c r="E1298" s="2">
        <v>48</v>
      </c>
      <c r="F1298" s="2" t="str">
        <f>"V330-14IKB 81B0"</f>
        <v>V330-14IKB 81B0</v>
      </c>
      <c r="G1298" s="2" t="str">
        <f>"HP1HM9Q5"</f>
        <v>HP1HM9Q5</v>
      </c>
      <c r="I1298">
        <v>14</v>
      </c>
      <c r="J1298" s="3">
        <v>1</v>
      </c>
      <c r="K1298" s="2">
        <v>39</v>
      </c>
      <c r="L1298" s="3" t="s">
        <v>38</v>
      </c>
      <c r="M1298" s="4">
        <v>43791</v>
      </c>
      <c r="N1298" s="3">
        <v>801.46</v>
      </c>
    </row>
    <row r="1299" spans="1:14" x14ac:dyDescent="0.25">
      <c r="D129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5" x14ac:dyDescent="0.25"/>
  <cols>
    <col min="2" max="2" width="27.85546875" bestFit="1" customWidth="1"/>
    <col min="3" max="3" width="35.85546875" bestFit="1" customWidth="1"/>
  </cols>
  <sheetData>
    <row r="1" spans="1:3" x14ac:dyDescent="0.25">
      <c r="A1">
        <v>1</v>
      </c>
      <c r="B1" t="s">
        <v>1</v>
      </c>
      <c r="C1" t="s">
        <v>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RowHeight="15" x14ac:dyDescent="0.25"/>
  <sheetData>
    <row r="1" spans="1:2" x14ac:dyDescent="0.25">
      <c r="A1">
        <v>1</v>
      </c>
      <c r="B1" t="s">
        <v>145</v>
      </c>
    </row>
    <row r="2" spans="1:2" x14ac:dyDescent="0.25">
      <c r="A2">
        <v>2</v>
      </c>
      <c r="B2" t="s">
        <v>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5" sqref="D15"/>
    </sheetView>
  </sheetViews>
  <sheetFormatPr baseColWidth="10" defaultRowHeight="15" x14ac:dyDescent="0.25"/>
  <cols>
    <col min="1" max="1" width="85.85546875" customWidth="1"/>
  </cols>
  <sheetData>
    <row r="1" spans="1:2" x14ac:dyDescent="0.25">
      <c r="A1" t="s">
        <v>147</v>
      </c>
      <c r="B1">
        <v>1</v>
      </c>
    </row>
    <row r="2" spans="1:2" x14ac:dyDescent="0.25">
      <c r="A2" t="s">
        <v>4</v>
      </c>
      <c r="B2">
        <v>2</v>
      </c>
    </row>
    <row r="3" spans="1:2" x14ac:dyDescent="0.25">
      <c r="A3" t="s">
        <v>3</v>
      </c>
      <c r="B3">
        <v>3</v>
      </c>
    </row>
    <row r="4" spans="1:2" x14ac:dyDescent="0.25">
      <c r="A4" t="s">
        <v>294</v>
      </c>
      <c r="B4">
        <v>4</v>
      </c>
    </row>
    <row r="5" spans="1:2" x14ac:dyDescent="0.25">
      <c r="A5" t="s">
        <v>148</v>
      </c>
      <c r="B5">
        <v>5</v>
      </c>
    </row>
    <row r="6" spans="1:2" x14ac:dyDescent="0.25">
      <c r="A6" t="s">
        <v>327</v>
      </c>
      <c r="B6">
        <v>6</v>
      </c>
    </row>
    <row r="7" spans="1:2" x14ac:dyDescent="0.25">
      <c r="A7" t="s">
        <v>149</v>
      </c>
      <c r="B7">
        <v>7</v>
      </c>
    </row>
    <row r="8" spans="1:2" x14ac:dyDescent="0.25">
      <c r="A8" t="s">
        <v>303</v>
      </c>
      <c r="B8">
        <v>8</v>
      </c>
    </row>
    <row r="9" spans="1:2" x14ac:dyDescent="0.25">
      <c r="A9" t="s">
        <v>151</v>
      </c>
      <c r="B9">
        <v>9</v>
      </c>
    </row>
    <row r="10" spans="1:2" x14ac:dyDescent="0.25">
      <c r="A10" t="s">
        <v>152</v>
      </c>
      <c r="B10">
        <v>10</v>
      </c>
    </row>
    <row r="11" spans="1:2" x14ac:dyDescent="0.25">
      <c r="A11" t="s">
        <v>154</v>
      </c>
      <c r="B11">
        <v>11</v>
      </c>
    </row>
    <row r="12" spans="1:2" x14ac:dyDescent="0.25">
      <c r="A12" t="s">
        <v>155</v>
      </c>
      <c r="B12">
        <v>12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3" sqref="A3"/>
    </sheetView>
  </sheetViews>
  <sheetFormatPr baseColWidth="10" defaultRowHeight="15" x14ac:dyDescent="0.25"/>
  <cols>
    <col min="1" max="1" width="62.5703125" bestFit="1" customWidth="1"/>
    <col min="2" max="2" width="4.85546875" customWidth="1"/>
  </cols>
  <sheetData>
    <row r="1" spans="1:2" ht="14.25" customHeight="1" x14ac:dyDescent="0.25">
      <c r="A1" s="14" t="s">
        <v>137</v>
      </c>
      <c r="B1" s="15">
        <v>1</v>
      </c>
    </row>
    <row r="2" spans="1:2" x14ac:dyDescent="0.25">
      <c r="A2" s="16" t="s">
        <v>133</v>
      </c>
      <c r="B2" s="15">
        <v>2</v>
      </c>
    </row>
    <row r="3" spans="1:2" x14ac:dyDescent="0.25">
      <c r="A3" s="16" t="s">
        <v>135</v>
      </c>
      <c r="B3" s="15">
        <v>3</v>
      </c>
    </row>
    <row r="4" spans="1:2" x14ac:dyDescent="0.25">
      <c r="A4" s="16" t="s">
        <v>134</v>
      </c>
      <c r="B4" s="15">
        <v>4</v>
      </c>
    </row>
    <row r="5" spans="1:2" x14ac:dyDescent="0.25">
      <c r="A5" s="16" t="s">
        <v>293</v>
      </c>
      <c r="B5" s="15">
        <v>5</v>
      </c>
    </row>
    <row r="6" spans="1:2" x14ac:dyDescent="0.25">
      <c r="A6" s="16" t="s">
        <v>136</v>
      </c>
      <c r="B6" s="15">
        <v>6</v>
      </c>
    </row>
    <row r="7" spans="1:2" x14ac:dyDescent="0.25">
      <c r="A7" s="16" t="s">
        <v>138</v>
      </c>
      <c r="B7" s="15">
        <v>7</v>
      </c>
    </row>
    <row r="8" spans="1:2" x14ac:dyDescent="0.25">
      <c r="A8" s="16" t="s">
        <v>300</v>
      </c>
      <c r="B8" s="15">
        <v>8</v>
      </c>
    </row>
    <row r="9" spans="1:2" x14ac:dyDescent="0.25">
      <c r="A9" s="16" t="s">
        <v>139</v>
      </c>
      <c r="B9" s="15">
        <v>9</v>
      </c>
    </row>
    <row r="10" spans="1:2" x14ac:dyDescent="0.25">
      <c r="A10" s="16" t="s">
        <v>133</v>
      </c>
      <c r="B10" s="15">
        <v>10</v>
      </c>
    </row>
    <row r="11" spans="1:2" x14ac:dyDescent="0.25">
      <c r="A11" s="14" t="s">
        <v>309</v>
      </c>
      <c r="B11" s="15">
        <v>11</v>
      </c>
    </row>
    <row r="12" spans="1:2" x14ac:dyDescent="0.25">
      <c r="A12" s="16" t="s">
        <v>140</v>
      </c>
      <c r="B12" s="15">
        <v>12</v>
      </c>
    </row>
    <row r="13" spans="1:2" x14ac:dyDescent="0.25">
      <c r="A13" s="16" t="s">
        <v>141</v>
      </c>
      <c r="B13" s="15">
        <v>13</v>
      </c>
    </row>
    <row r="14" spans="1:2" x14ac:dyDescent="0.25">
      <c r="A14" s="16" t="s">
        <v>321</v>
      </c>
      <c r="B14" s="15">
        <v>14</v>
      </c>
    </row>
    <row r="15" spans="1:2" x14ac:dyDescent="0.25">
      <c r="A15" s="16" t="s">
        <v>142</v>
      </c>
      <c r="B15" s="15">
        <v>15</v>
      </c>
    </row>
    <row r="16" spans="1:2" x14ac:dyDescent="0.25">
      <c r="A16" s="16" t="s">
        <v>326</v>
      </c>
      <c r="B16" s="15">
        <v>16</v>
      </c>
    </row>
    <row r="17" spans="1:2" x14ac:dyDescent="0.25">
      <c r="A17" s="16" t="s">
        <v>143</v>
      </c>
      <c r="B17" s="15">
        <v>17</v>
      </c>
    </row>
    <row r="18" spans="1:2" x14ac:dyDescent="0.25">
      <c r="A18" s="16" t="s">
        <v>333</v>
      </c>
      <c r="B18" s="15">
        <v>18</v>
      </c>
    </row>
    <row r="19" spans="1:2" x14ac:dyDescent="0.25">
      <c r="A19" s="16" t="s">
        <v>335</v>
      </c>
      <c r="B19" s="15">
        <v>19</v>
      </c>
    </row>
    <row r="20" spans="1:2" x14ac:dyDescent="0.25">
      <c r="A20" s="16" t="s">
        <v>144</v>
      </c>
      <c r="B20" s="15">
        <v>20</v>
      </c>
    </row>
    <row r="21" spans="1:2" x14ac:dyDescent="0.25">
      <c r="A21" s="13" t="s">
        <v>342</v>
      </c>
      <c r="B21" s="12">
        <v>21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9" sqref="B9"/>
    </sheetView>
  </sheetViews>
  <sheetFormatPr baseColWidth="10" defaultRowHeight="15" x14ac:dyDescent="0.25"/>
  <cols>
    <col min="2" max="2" width="11.85546875" customWidth="1"/>
    <col min="3" max="3" width="12" customWidth="1"/>
    <col min="4" max="4" width="62.5703125" bestFit="1" customWidth="1"/>
    <col min="5" max="5" width="87.85546875" bestFit="1" customWidth="1"/>
  </cols>
  <sheetData>
    <row r="1" spans="1:5" x14ac:dyDescent="0.25">
      <c r="A1">
        <v>1</v>
      </c>
      <c r="B1">
        <f>VLOOKUP(Rol_Institucional!$D$1:$D$40,Cargo!$A$1:$B$21,2,FALSE)</f>
        <v>2</v>
      </c>
      <c r="C1">
        <f>VLOOKUP(Rol_Institucional!$E$1:$E$40,unidad[],2,FALSE)</f>
        <v>1</v>
      </c>
      <c r="D1" t="s">
        <v>133</v>
      </c>
      <c r="E1" t="s">
        <v>147</v>
      </c>
    </row>
    <row r="2" spans="1:5" x14ac:dyDescent="0.25">
      <c r="A2">
        <v>2</v>
      </c>
      <c r="B2">
        <f>VLOOKUP(Rol_Institucional!$D$1:$D$40,Cargo!$A$1:$B$21,2,FALSE)</f>
        <v>4</v>
      </c>
      <c r="C2">
        <f>VLOOKUP(Rol_Institucional!$E$1:$E$40,unidad[],2,FALSE)</f>
        <v>2</v>
      </c>
      <c r="D2" t="s">
        <v>134</v>
      </c>
      <c r="E2" t="s">
        <v>4</v>
      </c>
    </row>
    <row r="3" spans="1:5" x14ac:dyDescent="0.25">
      <c r="A3">
        <v>3</v>
      </c>
      <c r="B3">
        <f>VLOOKUP(Rol_Institucional!$D$1:$D$40,Cargo!$A$1:$B$21,2,FALSE)</f>
        <v>3</v>
      </c>
      <c r="C3">
        <f>VLOOKUP(Rol_Institucional!$E$1:$E$40,unidad[],2,FALSE)</f>
        <v>3</v>
      </c>
      <c r="D3" t="s">
        <v>135</v>
      </c>
      <c r="E3" t="s">
        <v>3</v>
      </c>
    </row>
    <row r="4" spans="1:5" x14ac:dyDescent="0.25">
      <c r="A4">
        <v>4</v>
      </c>
      <c r="B4">
        <f>VLOOKUP(Rol_Institucional!$D$1:$D$40,Cargo!$A$1:$B$21,2,FALSE)</f>
        <v>5</v>
      </c>
      <c r="C4">
        <f>VLOOKUP(Rol_Institucional!$E$1:$E$40,unidad[],2,FALSE)</f>
        <v>4</v>
      </c>
      <c r="D4" t="s">
        <v>293</v>
      </c>
      <c r="E4" t="s">
        <v>294</v>
      </c>
    </row>
    <row r="5" spans="1:5" x14ac:dyDescent="0.25">
      <c r="A5">
        <v>5</v>
      </c>
      <c r="B5">
        <f>VLOOKUP(Rol_Institucional!$D$1:$D$40,Cargo!$A$1:$B$21,2,FALSE)</f>
        <v>2</v>
      </c>
      <c r="C5">
        <f>VLOOKUP(Rol_Institucional!$E$1:$E$40,unidad[],2,FALSE)</f>
        <v>5</v>
      </c>
      <c r="D5" t="s">
        <v>133</v>
      </c>
      <c r="E5" t="s">
        <v>148</v>
      </c>
    </row>
    <row r="6" spans="1:5" x14ac:dyDescent="0.25">
      <c r="A6">
        <v>6</v>
      </c>
      <c r="B6">
        <f>VLOOKUP(Rol_Institucional!$D$1:$D$40,Cargo!$A$1:$B$21,2,FALSE)</f>
        <v>6</v>
      </c>
      <c r="C6">
        <f>VLOOKUP(Rol_Institucional!$E$1:$E$40,unidad[],2,FALSE)</f>
        <v>3</v>
      </c>
      <c r="D6" t="s">
        <v>136</v>
      </c>
      <c r="E6" t="s">
        <v>3</v>
      </c>
    </row>
    <row r="7" spans="1:5" x14ac:dyDescent="0.25">
      <c r="A7">
        <v>7</v>
      </c>
      <c r="B7">
        <f>VLOOKUP(Rol_Institucional!$D$1:$D$40,Cargo!$A$1:$B$21,2,FALSE)</f>
        <v>1</v>
      </c>
      <c r="C7">
        <f>VLOOKUP(Rol_Institucional!$E$1:$E$40,unidad[],2,FALSE)</f>
        <v>6</v>
      </c>
      <c r="D7" t="s">
        <v>137</v>
      </c>
      <c r="E7" t="s">
        <v>327</v>
      </c>
    </row>
    <row r="8" spans="1:5" x14ac:dyDescent="0.25">
      <c r="A8">
        <v>8</v>
      </c>
      <c r="B8">
        <f>VLOOKUP(Rol_Institucional!$D$1:$D$40,Cargo!$A$1:$B$21,2,FALSE)</f>
        <v>7</v>
      </c>
      <c r="C8">
        <f>VLOOKUP(Rol_Institucional!$E$1:$E$40,unidad[],2,FALSE)</f>
        <v>7</v>
      </c>
      <c r="D8" t="s">
        <v>138</v>
      </c>
      <c r="E8" t="s">
        <v>149</v>
      </c>
    </row>
    <row r="9" spans="1:5" x14ac:dyDescent="0.25">
      <c r="A9">
        <v>9</v>
      </c>
      <c r="B9">
        <f>VLOOKUP(Rol_Institucional!$D$1:$D$40,Cargo!$A$1:$B$21,2,FALSE)</f>
        <v>8</v>
      </c>
      <c r="C9">
        <f>VLOOKUP(Rol_Institucional!$E$1:$E$40,unidad[],2,FALSE)</f>
        <v>8</v>
      </c>
      <c r="D9" t="s">
        <v>300</v>
      </c>
      <c r="E9" t="s">
        <v>303</v>
      </c>
    </row>
    <row r="10" spans="1:5" x14ac:dyDescent="0.25">
      <c r="A10">
        <v>10</v>
      </c>
      <c r="B10">
        <f>VLOOKUP(Rol_Institucional!$D$1:$D$40,Cargo!$A$1:$B$21,2,FALSE)</f>
        <v>2</v>
      </c>
      <c r="C10">
        <f>VLOOKUP(Rol_Institucional!$E$1:$E$40,unidad[],2,FALSE)</f>
        <v>3</v>
      </c>
      <c r="D10" t="s">
        <v>133</v>
      </c>
      <c r="E10" t="s">
        <v>3</v>
      </c>
    </row>
    <row r="11" spans="1:5" x14ac:dyDescent="0.25">
      <c r="A11">
        <v>11</v>
      </c>
      <c r="B11">
        <f>VLOOKUP(Rol_Institucional!$D$1:$D$40,Cargo!$A$1:$B$21,2,FALSE)</f>
        <v>1</v>
      </c>
      <c r="C11">
        <f>VLOOKUP(Rol_Institucional!$E$1:$E$40,unidad[],2,FALSE)</f>
        <v>8</v>
      </c>
      <c r="D11" t="s">
        <v>137</v>
      </c>
      <c r="E11" t="s">
        <v>303</v>
      </c>
    </row>
    <row r="12" spans="1:5" x14ac:dyDescent="0.25">
      <c r="A12">
        <v>12</v>
      </c>
      <c r="B12">
        <f>VLOOKUP(Rol_Institucional!$D$1:$D$40,Cargo!$A$1:$B$21,2,FALSE)</f>
        <v>2</v>
      </c>
      <c r="C12">
        <f>VLOOKUP(Rol_Institucional!$E$1:$E$40,unidad[],2,FALSE)</f>
        <v>1</v>
      </c>
      <c r="D12" t="s">
        <v>133</v>
      </c>
      <c r="E12" t="s">
        <v>147</v>
      </c>
    </row>
    <row r="13" spans="1:5" x14ac:dyDescent="0.25">
      <c r="A13">
        <v>13</v>
      </c>
      <c r="B13">
        <f>VLOOKUP(Rol_Institucional!$D$1:$D$40,Cargo!$A$1:$B$21,2,FALSE)</f>
        <v>9</v>
      </c>
      <c r="C13">
        <f>VLOOKUP(Rol_Institucional!$E$1:$E$40,unidad[],2,FALSE)</f>
        <v>7</v>
      </c>
      <c r="D13" t="s">
        <v>139</v>
      </c>
      <c r="E13" t="s">
        <v>149</v>
      </c>
    </row>
    <row r="14" spans="1:5" x14ac:dyDescent="0.25">
      <c r="A14">
        <v>14</v>
      </c>
      <c r="B14">
        <f>VLOOKUP(Rol_Institucional!$D$1:$D$40,Cargo!$A$1:$B$21,2,FALSE)</f>
        <v>2</v>
      </c>
      <c r="C14">
        <f>VLOOKUP(Rol_Institucional!$E$1:$E$40,unidad[],2,FALSE)</f>
        <v>5</v>
      </c>
      <c r="D14" t="s">
        <v>133</v>
      </c>
      <c r="E14" t="s">
        <v>148</v>
      </c>
    </row>
    <row r="15" spans="1:5" x14ac:dyDescent="0.25">
      <c r="A15">
        <v>15</v>
      </c>
      <c r="B15">
        <f>VLOOKUP(Rol_Institucional!$D$1:$D$40,Cargo!$A$1:$B$21,2,FALSE)</f>
        <v>11</v>
      </c>
      <c r="C15">
        <f>VLOOKUP(Rol_Institucional!$E$1:$E$40,unidad[],2,FALSE)</f>
        <v>9</v>
      </c>
      <c r="D15" t="s">
        <v>309</v>
      </c>
      <c r="E15" t="s">
        <v>151</v>
      </c>
    </row>
    <row r="16" spans="1:5" x14ac:dyDescent="0.25">
      <c r="A16">
        <v>16</v>
      </c>
      <c r="B16">
        <f>VLOOKUP(Rol_Institucional!$D$1:$D$40,Cargo!$A$1:$B$21,2,FALSE)</f>
        <v>1</v>
      </c>
      <c r="C16">
        <f>VLOOKUP(Rol_Institucional!$E$1:$E$40,unidad[],2,FALSE)</f>
        <v>2</v>
      </c>
      <c r="D16" t="s">
        <v>137</v>
      </c>
      <c r="E16" t="s">
        <v>4</v>
      </c>
    </row>
    <row r="17" spans="1:5" x14ac:dyDescent="0.25">
      <c r="A17">
        <v>17</v>
      </c>
      <c r="B17">
        <f>VLOOKUP(Rol_Institucional!$D$1:$D$40,Cargo!$A$1:$B$21,2,FALSE)</f>
        <v>1</v>
      </c>
      <c r="C17">
        <f>VLOOKUP(Rol_Institucional!$E$1:$E$40,unidad[],2,FALSE)</f>
        <v>1</v>
      </c>
      <c r="D17" t="s">
        <v>137</v>
      </c>
      <c r="E17" t="s">
        <v>147</v>
      </c>
    </row>
    <row r="18" spans="1:5" x14ac:dyDescent="0.25">
      <c r="A18">
        <v>18</v>
      </c>
      <c r="B18">
        <f>VLOOKUP(Rol_Institucional!$D$1:$D$40,Cargo!$A$1:$B$21,2,FALSE)</f>
        <v>3</v>
      </c>
      <c r="C18">
        <f>VLOOKUP(Rol_Institucional!$E$1:$E$40,unidad[],2,FALSE)</f>
        <v>2</v>
      </c>
      <c r="D18" t="s">
        <v>135</v>
      </c>
      <c r="E18" t="s">
        <v>4</v>
      </c>
    </row>
    <row r="19" spans="1:5" x14ac:dyDescent="0.25">
      <c r="A19">
        <v>19</v>
      </c>
      <c r="B19">
        <f>VLOOKUP(Rol_Institucional!$D$1:$D$40,Cargo!$A$1:$B$21,2,FALSE)</f>
        <v>12</v>
      </c>
      <c r="C19">
        <f>VLOOKUP(Rol_Institucional!$E$1:$E$40,unidad[],2,FALSE)</f>
        <v>10</v>
      </c>
      <c r="D19" t="s">
        <v>140</v>
      </c>
      <c r="E19" t="s">
        <v>152</v>
      </c>
    </row>
    <row r="20" spans="1:5" x14ac:dyDescent="0.25">
      <c r="A20">
        <v>20</v>
      </c>
      <c r="B20">
        <f>VLOOKUP(Rol_Institucional!$D$1:$D$40,Cargo!$A$1:$B$21,2,FALSE)</f>
        <v>1</v>
      </c>
      <c r="C20">
        <f>VLOOKUP(Rol_Institucional!$E$1:$E$40,unidad[],2,FALSE)</f>
        <v>4</v>
      </c>
      <c r="D20" t="s">
        <v>137</v>
      </c>
      <c r="E20" t="s">
        <v>294</v>
      </c>
    </row>
    <row r="21" spans="1:5" x14ac:dyDescent="0.25">
      <c r="A21">
        <v>21</v>
      </c>
      <c r="B21">
        <f>VLOOKUP(Rol_Institucional!$D$1:$D$40,Cargo!$A$1:$B$21,2,FALSE)</f>
        <v>12</v>
      </c>
      <c r="C21">
        <f>VLOOKUP(Rol_Institucional!$E$1:$E$40,unidad[],2,FALSE)</f>
        <v>10</v>
      </c>
      <c r="D21" t="s">
        <v>140</v>
      </c>
      <c r="E21" t="s">
        <v>152</v>
      </c>
    </row>
    <row r="22" spans="1:5" x14ac:dyDescent="0.25">
      <c r="A22">
        <v>22</v>
      </c>
      <c r="B22">
        <f>VLOOKUP(Rol_Institucional!$D$1:$D$40,Cargo!$A$1:$B$21,2,FALSE)</f>
        <v>1</v>
      </c>
      <c r="C22">
        <f>VLOOKUP(Rol_Institucional!$E$1:$E$40,unidad[],2,FALSE)</f>
        <v>4</v>
      </c>
      <c r="D22" t="s">
        <v>137</v>
      </c>
      <c r="E22" t="s">
        <v>294</v>
      </c>
    </row>
    <row r="23" spans="1:5" x14ac:dyDescent="0.25">
      <c r="A23">
        <v>23</v>
      </c>
      <c r="B23">
        <f>VLOOKUP(Rol_Institucional!$D$1:$D$40,Cargo!$A$1:$B$21,2,FALSE)</f>
        <v>13</v>
      </c>
      <c r="C23">
        <f>VLOOKUP(Rol_Institucional!$E$1:$E$40,unidad[],2,FALSE)</f>
        <v>5</v>
      </c>
      <c r="D23" t="s">
        <v>141</v>
      </c>
      <c r="E23" t="s">
        <v>148</v>
      </c>
    </row>
    <row r="24" spans="1:5" x14ac:dyDescent="0.25">
      <c r="A24">
        <v>24</v>
      </c>
      <c r="B24">
        <f>VLOOKUP(Rol_Institucional!$D$1:$D$40,Cargo!$A$1:$B$21,2,FALSE)</f>
        <v>12</v>
      </c>
      <c r="C24">
        <f>VLOOKUP(Rol_Institucional!$E$1:$E$40,unidad[],2,FALSE)</f>
        <v>10</v>
      </c>
      <c r="D24" t="s">
        <v>140</v>
      </c>
      <c r="E24" t="s">
        <v>152</v>
      </c>
    </row>
    <row r="25" spans="1:5" x14ac:dyDescent="0.25">
      <c r="A25">
        <v>25</v>
      </c>
      <c r="B25">
        <f>VLOOKUP(Rol_Institucional!$D$1:$D$40,Cargo!$A$1:$B$21,2,FALSE)</f>
        <v>14</v>
      </c>
      <c r="C25">
        <f>VLOOKUP(Rol_Institucional!$E$1:$E$40,unidad[],2,FALSE)</f>
        <v>11</v>
      </c>
      <c r="D25" t="s">
        <v>321</v>
      </c>
      <c r="E25" t="s">
        <v>154</v>
      </c>
    </row>
    <row r="26" spans="1:5" x14ac:dyDescent="0.25">
      <c r="A26">
        <v>26</v>
      </c>
      <c r="B26">
        <f>VLOOKUP(Rol_Institucional!$D$1:$D$40,Cargo!$A$1:$B$21,2,FALSE)</f>
        <v>15</v>
      </c>
      <c r="C26">
        <f>VLOOKUP(Rol_Institucional!$E$1:$E$40,unidad[],2,FALSE)</f>
        <v>12</v>
      </c>
      <c r="D26" t="s">
        <v>142</v>
      </c>
      <c r="E26" t="s">
        <v>155</v>
      </c>
    </row>
    <row r="27" spans="1:5" x14ac:dyDescent="0.25">
      <c r="A27">
        <v>27</v>
      </c>
      <c r="B27">
        <f>VLOOKUP(Rol_Institucional!$D$1:$D$40,Cargo!$A$1:$B$21,2,FALSE)</f>
        <v>9</v>
      </c>
      <c r="C27">
        <f>VLOOKUP(Rol_Institucional!$E$1:$E$40,unidad[],2,FALSE)</f>
        <v>12</v>
      </c>
      <c r="D27" t="s">
        <v>139</v>
      </c>
      <c r="E27" t="s">
        <v>155</v>
      </c>
    </row>
    <row r="28" spans="1:5" x14ac:dyDescent="0.25">
      <c r="A28">
        <v>28</v>
      </c>
      <c r="B28">
        <f>VLOOKUP(Rol_Institucional!$D$1:$D$40,Cargo!$A$1:$B$21,2,FALSE)</f>
        <v>1</v>
      </c>
      <c r="C28">
        <f>VLOOKUP(Rol_Institucional!$E$1:$E$40,unidad[],2,FALSE)</f>
        <v>4</v>
      </c>
      <c r="D28" t="s">
        <v>137</v>
      </c>
      <c r="E28" t="s">
        <v>294</v>
      </c>
    </row>
    <row r="29" spans="1:5" x14ac:dyDescent="0.25">
      <c r="A29">
        <v>29</v>
      </c>
      <c r="B29">
        <f>VLOOKUP(Rol_Institucional!$D$1:$D$40,Cargo!$A$1:$B$21,2,FALSE)</f>
        <v>16</v>
      </c>
      <c r="C29">
        <f>VLOOKUP(Rol_Institucional!$E$1:$E$40,unidad[],2,FALSE)</f>
        <v>6</v>
      </c>
      <c r="D29" t="s">
        <v>326</v>
      </c>
      <c r="E29" t="s">
        <v>327</v>
      </c>
    </row>
    <row r="30" spans="1:5" x14ac:dyDescent="0.25">
      <c r="A30">
        <v>30</v>
      </c>
      <c r="B30">
        <f>VLOOKUP(Rol_Institucional!$D$1:$D$40,Cargo!$A$1:$B$21,2,FALSE)</f>
        <v>17</v>
      </c>
      <c r="C30">
        <f>VLOOKUP(Rol_Institucional!$E$1:$E$40,unidad[],2,FALSE)</f>
        <v>5</v>
      </c>
      <c r="D30" t="s">
        <v>143</v>
      </c>
      <c r="E30" t="s">
        <v>148</v>
      </c>
    </row>
    <row r="31" spans="1:5" x14ac:dyDescent="0.25">
      <c r="A31">
        <v>31</v>
      </c>
      <c r="B31">
        <f>VLOOKUP(Rol_Institucional!$D$1:$D$40,Cargo!$A$1:$B$21,2,FALSE)</f>
        <v>1</v>
      </c>
      <c r="C31">
        <f>VLOOKUP(Rol_Institucional!$E$1:$E$40,unidad[],2,FALSE)</f>
        <v>5</v>
      </c>
      <c r="D31" t="s">
        <v>137</v>
      </c>
      <c r="E31" t="s">
        <v>148</v>
      </c>
    </row>
    <row r="32" spans="1:5" x14ac:dyDescent="0.25">
      <c r="A32">
        <v>32</v>
      </c>
      <c r="B32">
        <f>VLOOKUP(Rol_Institucional!$D$1:$D$40,Cargo!$A$1:$B$21,2,FALSE)</f>
        <v>2</v>
      </c>
      <c r="C32">
        <f>VLOOKUP(Rol_Institucional!$E$1:$E$40,unidad[],2,FALSE)</f>
        <v>9</v>
      </c>
      <c r="D32" t="s">
        <v>133</v>
      </c>
      <c r="E32" t="s">
        <v>151</v>
      </c>
    </row>
    <row r="33" spans="1:5" x14ac:dyDescent="0.25">
      <c r="A33">
        <v>33</v>
      </c>
      <c r="B33">
        <f>VLOOKUP(Rol_Institucional!$D$1:$D$40,Cargo!$A$1:$B$21,2,FALSE)</f>
        <v>18</v>
      </c>
      <c r="C33">
        <f>VLOOKUP(Rol_Institucional!$E$1:$E$40,unidad[],2,FALSE)</f>
        <v>10</v>
      </c>
      <c r="D33" t="s">
        <v>333</v>
      </c>
      <c r="E33" t="s">
        <v>152</v>
      </c>
    </row>
    <row r="34" spans="1:5" x14ac:dyDescent="0.25">
      <c r="A34">
        <v>34</v>
      </c>
      <c r="B34">
        <f>VLOOKUP(Rol_Institucional!$D$1:$D$40,Cargo!$A$1:$B$21,2,FALSE)</f>
        <v>19</v>
      </c>
      <c r="C34">
        <f>VLOOKUP(Rol_Institucional!$E$1:$E$40,unidad[],2,FALSE)</f>
        <v>9</v>
      </c>
      <c r="D34" t="s">
        <v>335</v>
      </c>
      <c r="E34" t="s">
        <v>151</v>
      </c>
    </row>
    <row r="35" spans="1:5" x14ac:dyDescent="0.25">
      <c r="A35">
        <v>35</v>
      </c>
      <c r="B35">
        <f>VLOOKUP(Rol_Institucional!$D$1:$D$40,Cargo!$A$1:$B$21,2,FALSE)</f>
        <v>1</v>
      </c>
      <c r="C35">
        <f>VLOOKUP(Rol_Institucional!$E$1:$E$40,unidad[],2,FALSE)</f>
        <v>3</v>
      </c>
      <c r="D35" t="s">
        <v>137</v>
      </c>
      <c r="E35" t="s">
        <v>3</v>
      </c>
    </row>
    <row r="36" spans="1:5" x14ac:dyDescent="0.25">
      <c r="A36">
        <v>36</v>
      </c>
      <c r="B36">
        <f>VLOOKUP(Rol_Institucional!$D$1:$D$40,Cargo!$A$1:$B$21,2,FALSE)</f>
        <v>12</v>
      </c>
      <c r="C36">
        <f>VLOOKUP(Rol_Institucional!$E$1:$E$40,unidad[],2,FALSE)</f>
        <v>10</v>
      </c>
      <c r="D36" t="s">
        <v>140</v>
      </c>
      <c r="E36" t="s">
        <v>152</v>
      </c>
    </row>
    <row r="37" spans="1:5" x14ac:dyDescent="0.25">
      <c r="A37">
        <v>37</v>
      </c>
      <c r="B37">
        <f>VLOOKUP(Rol_Institucional!$D$1:$D$40,Cargo!$A$1:$B$21,2,FALSE)</f>
        <v>20</v>
      </c>
      <c r="C37">
        <f>VLOOKUP(Rol_Institucional!$E$1:$E$40,unidad[],2,FALSE)</f>
        <v>1</v>
      </c>
      <c r="D37" t="s">
        <v>144</v>
      </c>
      <c r="E37" t="s">
        <v>147</v>
      </c>
    </row>
    <row r="38" spans="1:5" x14ac:dyDescent="0.25">
      <c r="A38">
        <v>38</v>
      </c>
      <c r="B38">
        <f>VLOOKUP(Rol_Institucional!$D$1:$D$40,Cargo!$A$1:$B$21,2,FALSE)</f>
        <v>1</v>
      </c>
      <c r="C38">
        <f>VLOOKUP(Rol_Institucional!$E$1:$E$40,unidad[],2,FALSE)</f>
        <v>4</v>
      </c>
      <c r="D38" t="s">
        <v>137</v>
      </c>
      <c r="E38" t="s">
        <v>294</v>
      </c>
    </row>
    <row r="39" spans="1:5" x14ac:dyDescent="0.25">
      <c r="A39">
        <v>39</v>
      </c>
      <c r="B39">
        <f>VLOOKUP(Rol_Institucional!$D$1:$D$40,Cargo!$A$1:$B$21,2,FALSE)</f>
        <v>21</v>
      </c>
      <c r="C39">
        <f>VLOOKUP(Rol_Institucional!$E$1:$E$40,unidad[],2,FALSE)</f>
        <v>3</v>
      </c>
      <c r="D39" t="s">
        <v>342</v>
      </c>
      <c r="E39" t="s">
        <v>3</v>
      </c>
    </row>
    <row r="40" spans="1:5" x14ac:dyDescent="0.25">
      <c r="A40">
        <v>40</v>
      </c>
      <c r="B40">
        <f>VLOOKUP(Rol_Institucional!$D$1:$D$40,Cargo!$A$1:$B$21,2,FALSE)</f>
        <v>12</v>
      </c>
      <c r="C40">
        <f>VLOOKUP(Rol_Institucional!$E$1:$E$40,unidad[],2,FALSE)</f>
        <v>10</v>
      </c>
      <c r="D40" t="s">
        <v>140</v>
      </c>
      <c r="E40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21" sqref="A21"/>
    </sheetView>
  </sheetViews>
  <sheetFormatPr baseColWidth="10" defaultRowHeight="15" x14ac:dyDescent="0.25"/>
  <cols>
    <col min="1" max="1" width="11" bestFit="1" customWidth="1"/>
    <col min="2" max="2" width="38.85546875" bestFit="1" customWidth="1"/>
    <col min="3" max="3" width="62.5703125" bestFit="1" customWidth="1"/>
    <col min="4" max="4" width="87.85546875" bestFit="1" customWidth="1"/>
  </cols>
  <sheetData>
    <row r="1" spans="1:4" x14ac:dyDescent="0.25">
      <c r="A1">
        <v>1600634925</v>
      </c>
      <c r="B1" t="s">
        <v>289</v>
      </c>
      <c r="C1" t="s">
        <v>133</v>
      </c>
      <c r="D1" t="s">
        <v>147</v>
      </c>
    </row>
    <row r="2" spans="1:4" x14ac:dyDescent="0.25">
      <c r="A2">
        <v>1500763824</v>
      </c>
      <c r="B2" t="s">
        <v>290</v>
      </c>
      <c r="C2" t="s">
        <v>134</v>
      </c>
      <c r="D2" t="s">
        <v>4</v>
      </c>
    </row>
    <row r="3" spans="1:4" x14ac:dyDescent="0.25">
      <c r="A3">
        <v>1600230955</v>
      </c>
      <c r="B3" t="s">
        <v>291</v>
      </c>
      <c r="C3" t="s">
        <v>135</v>
      </c>
      <c r="D3" t="s">
        <v>3</v>
      </c>
    </row>
    <row r="4" spans="1:4" x14ac:dyDescent="0.25">
      <c r="A4">
        <v>1600252082</v>
      </c>
      <c r="B4" t="s">
        <v>292</v>
      </c>
      <c r="C4" t="s">
        <v>293</v>
      </c>
      <c r="D4" t="s">
        <v>294</v>
      </c>
    </row>
    <row r="5" spans="1:4" x14ac:dyDescent="0.25">
      <c r="A5">
        <v>1600393571</v>
      </c>
      <c r="B5" t="s">
        <v>295</v>
      </c>
      <c r="C5" t="s">
        <v>133</v>
      </c>
      <c r="D5" t="s">
        <v>148</v>
      </c>
    </row>
    <row r="6" spans="1:4" x14ac:dyDescent="0.25">
      <c r="A6">
        <v>1801441427</v>
      </c>
      <c r="B6" t="s">
        <v>296</v>
      </c>
      <c r="C6" t="s">
        <v>136</v>
      </c>
      <c r="D6" t="s">
        <v>3</v>
      </c>
    </row>
    <row r="7" spans="1:4" x14ac:dyDescent="0.25">
      <c r="A7">
        <v>1400483986</v>
      </c>
      <c r="B7" t="s">
        <v>297</v>
      </c>
      <c r="C7" t="s">
        <v>137</v>
      </c>
      <c r="D7" t="s">
        <v>23</v>
      </c>
    </row>
    <row r="8" spans="1:4" x14ac:dyDescent="0.25">
      <c r="A8">
        <v>1600297525</v>
      </c>
      <c r="B8" t="s">
        <v>298</v>
      </c>
      <c r="C8" t="s">
        <v>138</v>
      </c>
      <c r="D8" t="s">
        <v>149</v>
      </c>
    </row>
    <row r="9" spans="1:4" x14ac:dyDescent="0.25">
      <c r="A9">
        <v>1600733420</v>
      </c>
      <c r="B9" t="s">
        <v>299</v>
      </c>
      <c r="C9" t="s">
        <v>300</v>
      </c>
      <c r="D9" t="s">
        <v>150</v>
      </c>
    </row>
    <row r="10" spans="1:4" x14ac:dyDescent="0.25">
      <c r="A10">
        <v>1600501280</v>
      </c>
      <c r="B10" t="s">
        <v>301</v>
      </c>
      <c r="C10" t="s">
        <v>133</v>
      </c>
      <c r="D10" t="s">
        <v>3</v>
      </c>
    </row>
    <row r="11" spans="1:4" x14ac:dyDescent="0.25">
      <c r="A11">
        <v>1600532863</v>
      </c>
      <c r="B11" t="s">
        <v>302</v>
      </c>
      <c r="C11" t="s">
        <v>137</v>
      </c>
      <c r="D11" t="s">
        <v>303</v>
      </c>
    </row>
    <row r="12" spans="1:4" x14ac:dyDescent="0.25">
      <c r="A12">
        <v>1600441917</v>
      </c>
      <c r="B12" t="s">
        <v>304</v>
      </c>
      <c r="C12" t="s">
        <v>133</v>
      </c>
      <c r="D12" t="s">
        <v>147</v>
      </c>
    </row>
    <row r="13" spans="1:4" x14ac:dyDescent="0.25">
      <c r="A13">
        <v>1600708570</v>
      </c>
      <c r="B13" t="s">
        <v>305</v>
      </c>
      <c r="C13" t="s">
        <v>139</v>
      </c>
      <c r="D13" t="s">
        <v>149</v>
      </c>
    </row>
    <row r="14" spans="1:4" x14ac:dyDescent="0.25">
      <c r="A14" s="11">
        <v>922972732</v>
      </c>
      <c r="B14" t="s">
        <v>306</v>
      </c>
      <c r="C14" t="s">
        <v>307</v>
      </c>
      <c r="D14" t="s">
        <v>148</v>
      </c>
    </row>
    <row r="15" spans="1:4" x14ac:dyDescent="0.25">
      <c r="A15">
        <v>1600538993</v>
      </c>
      <c r="B15" t="s">
        <v>308</v>
      </c>
      <c r="C15" t="s">
        <v>309</v>
      </c>
      <c r="D15" t="s">
        <v>151</v>
      </c>
    </row>
    <row r="16" spans="1:4" x14ac:dyDescent="0.25">
      <c r="A16">
        <v>1600439721</v>
      </c>
      <c r="B16" t="s">
        <v>310</v>
      </c>
      <c r="C16" t="s">
        <v>137</v>
      </c>
      <c r="D16" t="s">
        <v>4</v>
      </c>
    </row>
    <row r="17" spans="1:4" x14ac:dyDescent="0.25">
      <c r="A17">
        <v>1600550899</v>
      </c>
      <c r="B17" t="s">
        <v>311</v>
      </c>
      <c r="C17" t="s">
        <v>137</v>
      </c>
      <c r="D17" t="s">
        <v>147</v>
      </c>
    </row>
    <row r="18" spans="1:4" x14ac:dyDescent="0.25">
      <c r="A18">
        <v>1600205569</v>
      </c>
      <c r="B18" t="s">
        <v>312</v>
      </c>
      <c r="C18" t="s">
        <v>135</v>
      </c>
      <c r="D18" t="s">
        <v>4</v>
      </c>
    </row>
    <row r="19" spans="1:4" x14ac:dyDescent="0.25">
      <c r="A19">
        <v>1004041438</v>
      </c>
      <c r="B19" t="s">
        <v>313</v>
      </c>
      <c r="C19" t="s">
        <v>140</v>
      </c>
      <c r="D19" t="s">
        <v>152</v>
      </c>
    </row>
    <row r="20" spans="1:4" x14ac:dyDescent="0.25">
      <c r="A20">
        <v>1713390217</v>
      </c>
      <c r="B20" t="s">
        <v>314</v>
      </c>
      <c r="C20" t="s">
        <v>137</v>
      </c>
      <c r="D20" t="s">
        <v>153</v>
      </c>
    </row>
    <row r="21" spans="1:4" x14ac:dyDescent="0.25">
      <c r="A21">
        <v>1600479834</v>
      </c>
      <c r="B21" t="s">
        <v>315</v>
      </c>
      <c r="C21" t="s">
        <v>140</v>
      </c>
      <c r="D21" t="s">
        <v>152</v>
      </c>
    </row>
    <row r="22" spans="1:4" x14ac:dyDescent="0.25">
      <c r="A22">
        <v>1600744443</v>
      </c>
      <c r="B22" t="s">
        <v>316</v>
      </c>
      <c r="C22" t="s">
        <v>137</v>
      </c>
      <c r="D22" t="s">
        <v>153</v>
      </c>
    </row>
    <row r="23" spans="1:4" x14ac:dyDescent="0.25">
      <c r="A23">
        <v>1600568099</v>
      </c>
      <c r="B23" t="s">
        <v>317</v>
      </c>
      <c r="C23" t="s">
        <v>141</v>
      </c>
      <c r="D23" t="s">
        <v>318</v>
      </c>
    </row>
    <row r="24" spans="1:4" x14ac:dyDescent="0.25">
      <c r="A24">
        <v>1600441826</v>
      </c>
      <c r="B24" t="s">
        <v>319</v>
      </c>
      <c r="C24" t="s">
        <v>140</v>
      </c>
      <c r="D24" t="s">
        <v>152</v>
      </c>
    </row>
    <row r="25" spans="1:4" x14ac:dyDescent="0.25">
      <c r="A25">
        <v>1600459141</v>
      </c>
      <c r="B25" t="s">
        <v>320</v>
      </c>
      <c r="C25" t="s">
        <v>321</v>
      </c>
      <c r="D25" t="s">
        <v>154</v>
      </c>
    </row>
    <row r="26" spans="1:4" x14ac:dyDescent="0.25">
      <c r="A26">
        <v>1600238123</v>
      </c>
      <c r="B26" t="s">
        <v>322</v>
      </c>
      <c r="C26" t="s">
        <v>142</v>
      </c>
      <c r="D26" t="s">
        <v>155</v>
      </c>
    </row>
    <row r="27" spans="1:4" x14ac:dyDescent="0.25">
      <c r="A27">
        <v>1600484461</v>
      </c>
      <c r="B27" t="s">
        <v>323</v>
      </c>
      <c r="C27" t="s">
        <v>139</v>
      </c>
      <c r="D27" t="s">
        <v>155</v>
      </c>
    </row>
    <row r="28" spans="1:4" x14ac:dyDescent="0.25">
      <c r="A28">
        <v>1600343303</v>
      </c>
      <c r="B28" t="s">
        <v>324</v>
      </c>
      <c r="C28" t="s">
        <v>137</v>
      </c>
      <c r="D28" t="s">
        <v>153</v>
      </c>
    </row>
    <row r="29" spans="1:4" x14ac:dyDescent="0.25">
      <c r="A29">
        <v>1600471781</v>
      </c>
      <c r="B29" t="s">
        <v>325</v>
      </c>
      <c r="C29" t="s">
        <v>326</v>
      </c>
      <c r="D29" t="s">
        <v>327</v>
      </c>
    </row>
    <row r="30" spans="1:4" x14ac:dyDescent="0.25">
      <c r="A30">
        <v>1600379778</v>
      </c>
      <c r="B30" t="s">
        <v>328</v>
      </c>
      <c r="C30" t="s">
        <v>143</v>
      </c>
      <c r="D30" t="s">
        <v>318</v>
      </c>
    </row>
    <row r="31" spans="1:4" x14ac:dyDescent="0.25">
      <c r="A31">
        <v>102456795</v>
      </c>
      <c r="B31" t="s">
        <v>329</v>
      </c>
      <c r="C31" t="s">
        <v>137</v>
      </c>
      <c r="D31" t="s">
        <v>148</v>
      </c>
    </row>
    <row r="32" spans="1:4" x14ac:dyDescent="0.25">
      <c r="A32">
        <v>1600832800</v>
      </c>
      <c r="B32" t="s">
        <v>330</v>
      </c>
      <c r="C32" t="s">
        <v>133</v>
      </c>
      <c r="D32" t="s">
        <v>331</v>
      </c>
    </row>
    <row r="33" spans="1:4" x14ac:dyDescent="0.25">
      <c r="A33">
        <v>1600566309</v>
      </c>
      <c r="B33" t="s">
        <v>332</v>
      </c>
      <c r="C33" t="s">
        <v>333</v>
      </c>
      <c r="D33" t="s">
        <v>152</v>
      </c>
    </row>
    <row r="34" spans="1:4" x14ac:dyDescent="0.25">
      <c r="A34">
        <v>1600631988</v>
      </c>
      <c r="B34" t="s">
        <v>334</v>
      </c>
      <c r="C34" t="s">
        <v>335</v>
      </c>
      <c r="D34" t="s">
        <v>151</v>
      </c>
    </row>
    <row r="35" spans="1:4" x14ac:dyDescent="0.25">
      <c r="A35">
        <v>1600531055</v>
      </c>
      <c r="B35" t="s">
        <v>336</v>
      </c>
      <c r="C35" t="s">
        <v>137</v>
      </c>
      <c r="D35" t="s">
        <v>3</v>
      </c>
    </row>
    <row r="36" spans="1:4" x14ac:dyDescent="0.25">
      <c r="A36">
        <v>1600718322</v>
      </c>
      <c r="B36" t="s">
        <v>337</v>
      </c>
      <c r="C36" t="s">
        <v>140</v>
      </c>
      <c r="D36" t="s">
        <v>152</v>
      </c>
    </row>
    <row r="37" spans="1:4" x14ac:dyDescent="0.25">
      <c r="A37">
        <v>1804562344</v>
      </c>
      <c r="B37" t="s">
        <v>338</v>
      </c>
      <c r="C37" t="s">
        <v>144</v>
      </c>
      <c r="D37" t="s">
        <v>339</v>
      </c>
    </row>
    <row r="38" spans="1:4" x14ac:dyDescent="0.25">
      <c r="A38">
        <v>1600617300</v>
      </c>
      <c r="B38" t="s">
        <v>340</v>
      </c>
      <c r="C38" t="s">
        <v>137</v>
      </c>
      <c r="D38" t="s">
        <v>153</v>
      </c>
    </row>
    <row r="39" spans="1:4" x14ac:dyDescent="0.25">
      <c r="A39">
        <v>1600193310</v>
      </c>
      <c r="B39" t="s">
        <v>341</v>
      </c>
      <c r="C39" t="s">
        <v>342</v>
      </c>
      <c r="D39" t="s">
        <v>3</v>
      </c>
    </row>
    <row r="40" spans="1:4" x14ac:dyDescent="0.25">
      <c r="A40">
        <v>1600327967</v>
      </c>
      <c r="B40" t="s">
        <v>343</v>
      </c>
      <c r="C40" t="s">
        <v>140</v>
      </c>
      <c r="D40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7"/>
  <sheetViews>
    <sheetView topLeftCell="A1209" workbookViewId="0">
      <selection activeCell="E1210" sqref="E1210"/>
    </sheetView>
  </sheetViews>
  <sheetFormatPr baseColWidth="10" defaultRowHeight="15" x14ac:dyDescent="0.25"/>
  <cols>
    <col min="1" max="8" width="11.42578125" style="2"/>
    <col min="9" max="9" width="9" style="2" bestFit="1" customWidth="1"/>
    <col min="10" max="10" width="37.42578125" style="2" bestFit="1" customWidth="1"/>
    <col min="11" max="11" width="24.42578125" style="2" bestFit="1" customWidth="1"/>
    <col min="12" max="12" width="23.5703125" style="21" bestFit="1" customWidth="1"/>
    <col min="13" max="15" width="11.42578125" style="2"/>
    <col min="17" max="16384" width="11.42578125" style="2"/>
  </cols>
  <sheetData>
    <row r="1" spans="1:15" s="2" customFormat="1" x14ac:dyDescent="0.25">
      <c r="A1" s="2">
        <v>1</v>
      </c>
      <c r="B1" s="2">
        <v>2</v>
      </c>
      <c r="C1" s="2">
        <v>8</v>
      </c>
      <c r="D1" s="2">
        <v>2</v>
      </c>
      <c r="E1" s="2">
        <v>7</v>
      </c>
      <c r="G1" s="2">
        <v>1</v>
      </c>
      <c r="H1" s="2">
        <v>39</v>
      </c>
      <c r="I1" s="2">
        <v>13184469</v>
      </c>
      <c r="J1" s="2" t="s">
        <v>170</v>
      </c>
      <c r="K1" s="2" t="s">
        <v>348</v>
      </c>
      <c r="L1" s="2" t="str">
        <f>"63445030116003"</f>
        <v>63445030116003</v>
      </c>
      <c r="M1" s="2" t="s">
        <v>2</v>
      </c>
      <c r="N1" s="18">
        <v>30724</v>
      </c>
      <c r="O1" s="2" t="s">
        <v>349</v>
      </c>
    </row>
    <row r="2" spans="1:15" s="2" customFormat="1" x14ac:dyDescent="0.25">
      <c r="A2" s="2">
        <v>2</v>
      </c>
      <c r="B2" s="2">
        <v>2</v>
      </c>
      <c r="C2" s="2">
        <v>8</v>
      </c>
      <c r="D2" s="2">
        <v>2</v>
      </c>
      <c r="E2" s="2">
        <v>7</v>
      </c>
      <c r="G2" s="2">
        <v>1</v>
      </c>
      <c r="H2" s="2">
        <v>39</v>
      </c>
      <c r="I2" s="2">
        <v>13184238</v>
      </c>
      <c r="J2" s="2" t="s">
        <v>171</v>
      </c>
      <c r="K2" s="2" t="s">
        <v>350</v>
      </c>
      <c r="L2" s="2" t="str">
        <f>"63445030101003"</f>
        <v>63445030101003</v>
      </c>
      <c r="M2" s="2" t="s">
        <v>2</v>
      </c>
      <c r="N2" s="18">
        <v>30725</v>
      </c>
      <c r="O2" s="2" t="s">
        <v>351</v>
      </c>
    </row>
    <row r="3" spans="1:15" s="2" customFormat="1" x14ac:dyDescent="0.25">
      <c r="A3" s="2">
        <v>3</v>
      </c>
      <c r="B3" s="2">
        <v>2</v>
      </c>
      <c r="C3" s="2">
        <v>8</v>
      </c>
      <c r="D3" s="2">
        <v>2</v>
      </c>
      <c r="E3" s="2">
        <v>7</v>
      </c>
      <c r="G3" s="2">
        <v>1</v>
      </c>
      <c r="H3" s="2">
        <v>39</v>
      </c>
      <c r="I3" s="2">
        <v>13184249</v>
      </c>
      <c r="J3" s="2" t="s">
        <v>172</v>
      </c>
      <c r="K3" s="2" t="s">
        <v>350</v>
      </c>
      <c r="L3" s="2" t="str">
        <f>"63445030103001"</f>
        <v>63445030103001</v>
      </c>
      <c r="M3" s="2" t="s">
        <v>2</v>
      </c>
      <c r="N3" s="18">
        <v>30726</v>
      </c>
      <c r="O3" s="2" t="s">
        <v>352</v>
      </c>
    </row>
    <row r="4" spans="1:15" s="2" customFormat="1" x14ac:dyDescent="0.25">
      <c r="A4" s="2">
        <v>4</v>
      </c>
      <c r="B4" s="2">
        <v>2</v>
      </c>
      <c r="C4" s="2">
        <v>8</v>
      </c>
      <c r="D4" s="2">
        <v>2</v>
      </c>
      <c r="E4" s="2">
        <v>7</v>
      </c>
      <c r="G4" s="2">
        <v>1</v>
      </c>
      <c r="H4" s="2">
        <v>39</v>
      </c>
      <c r="I4" s="2">
        <v>13184250</v>
      </c>
      <c r="J4" s="2" t="s">
        <v>172</v>
      </c>
      <c r="K4" s="2" t="s">
        <v>350</v>
      </c>
      <c r="L4" s="2" t="str">
        <f>"63445030103002"</f>
        <v>63445030103002</v>
      </c>
      <c r="M4" s="2" t="s">
        <v>2</v>
      </c>
      <c r="N4" s="18">
        <v>30727</v>
      </c>
      <c r="O4" s="2" t="s">
        <v>352</v>
      </c>
    </row>
    <row r="5" spans="1:15" s="2" customFormat="1" x14ac:dyDescent="0.25">
      <c r="A5" s="2">
        <v>5</v>
      </c>
      <c r="B5" s="2">
        <v>2</v>
      </c>
      <c r="C5" s="2">
        <v>76</v>
      </c>
      <c r="D5" s="2">
        <v>2</v>
      </c>
      <c r="E5" s="2">
        <v>18</v>
      </c>
      <c r="G5" s="2">
        <v>1</v>
      </c>
      <c r="H5" s="2">
        <v>39</v>
      </c>
      <c r="I5" s="2">
        <v>13184291</v>
      </c>
      <c r="J5" s="2" t="s">
        <v>173</v>
      </c>
      <c r="K5" s="2" t="s">
        <v>353</v>
      </c>
      <c r="L5" s="2" t="str">
        <f>"63445030110011"</f>
        <v>63445030110011</v>
      </c>
      <c r="M5" s="2" t="s">
        <v>2</v>
      </c>
      <c r="N5" s="18">
        <v>30728</v>
      </c>
      <c r="O5" s="2" t="s">
        <v>354</v>
      </c>
    </row>
    <row r="6" spans="1:15" s="2" customFormat="1" x14ac:dyDescent="0.25">
      <c r="A6" s="2">
        <v>6</v>
      </c>
      <c r="B6" s="2">
        <v>2</v>
      </c>
      <c r="C6" s="2">
        <v>8</v>
      </c>
      <c r="D6" s="2">
        <v>2</v>
      </c>
      <c r="E6" s="2">
        <v>7</v>
      </c>
      <c r="G6" s="2">
        <v>1</v>
      </c>
      <c r="H6" s="2">
        <v>39</v>
      </c>
      <c r="I6" s="2">
        <v>13184292</v>
      </c>
      <c r="J6" s="2" t="s">
        <v>173</v>
      </c>
      <c r="K6" s="2" t="s">
        <v>353</v>
      </c>
      <c r="L6" s="2" t="str">
        <f>"63445030110013"</f>
        <v>63445030110013</v>
      </c>
      <c r="M6" s="2" t="s">
        <v>2</v>
      </c>
      <c r="N6" s="18">
        <v>30729</v>
      </c>
      <c r="O6" s="2" t="s">
        <v>355</v>
      </c>
    </row>
    <row r="7" spans="1:15" s="2" customFormat="1" x14ac:dyDescent="0.25">
      <c r="A7" s="2">
        <v>7</v>
      </c>
      <c r="B7" s="2">
        <v>2</v>
      </c>
      <c r="C7" s="2">
        <v>8</v>
      </c>
      <c r="D7" s="2">
        <v>2</v>
      </c>
      <c r="E7" s="2">
        <v>23</v>
      </c>
      <c r="G7" s="2">
        <v>1</v>
      </c>
      <c r="H7" s="2">
        <v>39</v>
      </c>
      <c r="I7" s="2">
        <v>13184293</v>
      </c>
      <c r="J7" s="2" t="s">
        <v>173</v>
      </c>
      <c r="K7" s="2" t="s">
        <v>353</v>
      </c>
      <c r="L7" s="2" t="str">
        <f>"63445030110014"</f>
        <v>63445030110014</v>
      </c>
      <c r="M7" s="2" t="s">
        <v>2</v>
      </c>
      <c r="N7" s="18">
        <v>30730</v>
      </c>
      <c r="O7" s="2" t="s">
        <v>354</v>
      </c>
    </row>
    <row r="8" spans="1:15" s="2" customFormat="1" x14ac:dyDescent="0.25">
      <c r="A8" s="2">
        <v>8</v>
      </c>
      <c r="B8" s="2">
        <v>2</v>
      </c>
      <c r="C8" s="2">
        <v>8</v>
      </c>
      <c r="D8" s="2">
        <v>2</v>
      </c>
      <c r="E8" s="2">
        <v>5</v>
      </c>
      <c r="G8" s="2">
        <v>1</v>
      </c>
      <c r="H8" s="2">
        <v>39</v>
      </c>
      <c r="I8" s="2">
        <v>13184302</v>
      </c>
      <c r="J8" s="2" t="s">
        <v>174</v>
      </c>
      <c r="K8" s="2" t="s">
        <v>356</v>
      </c>
      <c r="L8" s="2" t="str">
        <f>"63445030111004"</f>
        <v>63445030111004</v>
      </c>
      <c r="M8" s="2" t="s">
        <v>2</v>
      </c>
      <c r="N8" s="18">
        <v>30731</v>
      </c>
      <c r="O8" s="2" t="s">
        <v>357</v>
      </c>
    </row>
    <row r="9" spans="1:15" s="2" customFormat="1" x14ac:dyDescent="0.25">
      <c r="A9" s="2">
        <v>9</v>
      </c>
      <c r="B9" s="2">
        <v>2</v>
      </c>
      <c r="C9" s="2">
        <v>8</v>
      </c>
      <c r="D9" s="2">
        <v>2</v>
      </c>
      <c r="E9" s="2">
        <v>5</v>
      </c>
      <c r="G9" s="2">
        <v>1</v>
      </c>
      <c r="H9" s="2">
        <v>39</v>
      </c>
      <c r="I9" s="2">
        <v>13184303</v>
      </c>
      <c r="J9" s="2" t="s">
        <v>174</v>
      </c>
      <c r="K9" s="2" t="s">
        <v>356</v>
      </c>
      <c r="L9" s="2" t="str">
        <f>"63445030111005"</f>
        <v>63445030111005</v>
      </c>
      <c r="M9" s="2" t="s">
        <v>2</v>
      </c>
      <c r="N9" s="18">
        <v>30732</v>
      </c>
      <c r="O9" s="2" t="s">
        <v>357</v>
      </c>
    </row>
    <row r="10" spans="1:15" s="2" customFormat="1" x14ac:dyDescent="0.25">
      <c r="A10" s="2">
        <v>10</v>
      </c>
      <c r="B10" s="2">
        <v>2</v>
      </c>
      <c r="C10" s="2">
        <v>76</v>
      </c>
      <c r="D10" s="2">
        <v>2</v>
      </c>
      <c r="E10" s="2">
        <v>18</v>
      </c>
      <c r="G10" s="2">
        <v>1</v>
      </c>
      <c r="H10" s="2">
        <v>39</v>
      </c>
      <c r="I10" s="2">
        <v>13184470</v>
      </c>
      <c r="J10" s="2" t="s">
        <v>175</v>
      </c>
      <c r="K10" s="2" t="s">
        <v>358</v>
      </c>
      <c r="L10" s="2" t="str">
        <f>"63445030116007"</f>
        <v>63445030116007</v>
      </c>
      <c r="M10" s="2" t="s">
        <v>2</v>
      </c>
      <c r="N10" s="18">
        <v>30733</v>
      </c>
      <c r="O10" s="2" t="s">
        <v>359</v>
      </c>
    </row>
    <row r="11" spans="1:15" s="2" customFormat="1" x14ac:dyDescent="0.25">
      <c r="A11" s="2">
        <v>11</v>
      </c>
      <c r="B11" s="2">
        <v>2</v>
      </c>
      <c r="C11" s="2">
        <v>76</v>
      </c>
      <c r="D11" s="2">
        <v>2</v>
      </c>
      <c r="E11" s="2">
        <v>18</v>
      </c>
      <c r="G11" s="2">
        <v>1</v>
      </c>
      <c r="H11" s="2">
        <v>39</v>
      </c>
      <c r="I11" s="2">
        <v>13184471</v>
      </c>
      <c r="J11" s="2" t="s">
        <v>175</v>
      </c>
      <c r="K11" s="2" t="s">
        <v>358</v>
      </c>
      <c r="L11" s="2" t="str">
        <f>"63445030116008"</f>
        <v>63445030116008</v>
      </c>
      <c r="M11" s="2" t="s">
        <v>2</v>
      </c>
      <c r="N11" s="18">
        <v>30734</v>
      </c>
      <c r="O11" s="2" t="s">
        <v>359</v>
      </c>
    </row>
    <row r="12" spans="1:15" s="2" customFormat="1" x14ac:dyDescent="0.25">
      <c r="A12" s="2">
        <v>12</v>
      </c>
      <c r="B12" s="2">
        <v>1</v>
      </c>
      <c r="C12" s="2">
        <v>76</v>
      </c>
      <c r="D12" s="2">
        <v>2</v>
      </c>
      <c r="E12" s="2">
        <v>5</v>
      </c>
      <c r="G12" s="2">
        <v>1</v>
      </c>
      <c r="H12" s="2">
        <v>4</v>
      </c>
      <c r="I12" s="2">
        <v>13181999</v>
      </c>
      <c r="J12" s="2" t="s">
        <v>169</v>
      </c>
      <c r="K12" s="2" t="s">
        <v>360</v>
      </c>
      <c r="L12" s="2" t="str">
        <f>"63445040103012"</f>
        <v>63445040103012</v>
      </c>
      <c r="M12" s="2" t="s">
        <v>2</v>
      </c>
      <c r="N12" s="18">
        <v>30735</v>
      </c>
      <c r="O12" s="2" t="s">
        <v>361</v>
      </c>
    </row>
    <row r="13" spans="1:15" s="2" customFormat="1" x14ac:dyDescent="0.25">
      <c r="A13" s="2">
        <v>13</v>
      </c>
      <c r="B13" s="2">
        <v>1</v>
      </c>
      <c r="C13" s="2">
        <v>76</v>
      </c>
      <c r="D13" s="2">
        <v>1</v>
      </c>
      <c r="E13" s="2">
        <v>5</v>
      </c>
      <c r="G13" s="2">
        <v>1</v>
      </c>
      <c r="H13" s="2">
        <v>4</v>
      </c>
      <c r="I13" s="2">
        <v>13181996</v>
      </c>
      <c r="J13" s="2" t="s">
        <v>169</v>
      </c>
      <c r="K13" s="2" t="s">
        <v>360</v>
      </c>
      <c r="L13" s="2" t="str">
        <f>"63445040103009"</f>
        <v>63445040103009</v>
      </c>
      <c r="M13" s="2" t="s">
        <v>2</v>
      </c>
      <c r="N13" s="18">
        <v>30736</v>
      </c>
      <c r="O13" s="2" t="s">
        <v>361</v>
      </c>
    </row>
    <row r="14" spans="1:15" s="2" customFormat="1" x14ac:dyDescent="0.25">
      <c r="A14" s="2">
        <v>14</v>
      </c>
      <c r="B14" s="2">
        <v>1</v>
      </c>
      <c r="C14" s="2">
        <v>76</v>
      </c>
      <c r="D14" s="2">
        <v>1</v>
      </c>
      <c r="E14" s="2">
        <v>5</v>
      </c>
      <c r="G14" s="2">
        <v>1</v>
      </c>
      <c r="H14" s="2">
        <v>4</v>
      </c>
      <c r="I14" s="2">
        <v>13181997</v>
      </c>
      <c r="J14" s="2" t="s">
        <v>169</v>
      </c>
      <c r="K14" s="2" t="s">
        <v>360</v>
      </c>
      <c r="L14" s="2" t="str">
        <f>"63445040103010"</f>
        <v>63445040103010</v>
      </c>
      <c r="M14" s="2" t="s">
        <v>2</v>
      </c>
      <c r="N14" s="18">
        <v>30737</v>
      </c>
      <c r="O14" s="2" t="s">
        <v>361</v>
      </c>
    </row>
    <row r="15" spans="1:15" s="2" customFormat="1" x14ac:dyDescent="0.25">
      <c r="A15" s="2">
        <v>15</v>
      </c>
      <c r="B15" s="2">
        <v>1</v>
      </c>
      <c r="C15" s="2">
        <v>76</v>
      </c>
      <c r="D15" s="2">
        <v>1</v>
      </c>
      <c r="E15" s="2">
        <v>5</v>
      </c>
      <c r="G15" s="2">
        <v>1</v>
      </c>
      <c r="H15" s="2">
        <v>4</v>
      </c>
      <c r="I15" s="2">
        <v>13181998</v>
      </c>
      <c r="J15" s="2" t="s">
        <v>169</v>
      </c>
      <c r="K15" s="2" t="s">
        <v>360</v>
      </c>
      <c r="L15" s="2" t="str">
        <f>"63445040103011"</f>
        <v>63445040103011</v>
      </c>
      <c r="M15" s="2" t="s">
        <v>2</v>
      </c>
      <c r="N15" s="18">
        <v>30738</v>
      </c>
      <c r="O15" s="2" t="s">
        <v>361</v>
      </c>
    </row>
    <row r="16" spans="1:15" s="2" customFormat="1" x14ac:dyDescent="0.25">
      <c r="A16" s="2">
        <v>16</v>
      </c>
      <c r="B16" s="2">
        <v>2</v>
      </c>
      <c r="C16" s="2">
        <v>76</v>
      </c>
      <c r="D16" s="2">
        <v>2</v>
      </c>
      <c r="E16" s="2">
        <v>18</v>
      </c>
      <c r="G16" s="2">
        <v>1</v>
      </c>
      <c r="H16" s="2">
        <v>39</v>
      </c>
      <c r="I16" s="2">
        <v>13184285</v>
      </c>
      <c r="J16" s="2" t="s">
        <v>176</v>
      </c>
      <c r="K16" s="2" t="s">
        <v>350</v>
      </c>
      <c r="L16" s="2" t="str">
        <f>"63445030110005"</f>
        <v>63445030110005</v>
      </c>
      <c r="M16" s="2" t="s">
        <v>2</v>
      </c>
      <c r="N16" s="18">
        <v>30739</v>
      </c>
      <c r="O16" s="2" t="s">
        <v>362</v>
      </c>
    </row>
    <row r="17" spans="1:15" s="2" customFormat="1" x14ac:dyDescent="0.25">
      <c r="A17" s="2">
        <v>17</v>
      </c>
      <c r="B17" s="2">
        <v>2</v>
      </c>
      <c r="C17" s="2">
        <v>76</v>
      </c>
      <c r="D17" s="2">
        <v>2</v>
      </c>
      <c r="E17" s="2">
        <v>18</v>
      </c>
      <c r="G17" s="2">
        <v>1</v>
      </c>
      <c r="H17" s="2">
        <v>39</v>
      </c>
      <c r="I17" s="2">
        <v>13184286</v>
      </c>
      <c r="J17" s="2" t="s">
        <v>176</v>
      </c>
      <c r="K17" s="2" t="s">
        <v>350</v>
      </c>
      <c r="L17" s="2" t="str">
        <f>"63445030110006"</f>
        <v>63445030110006</v>
      </c>
      <c r="M17" s="2" t="s">
        <v>2</v>
      </c>
      <c r="N17" s="18">
        <v>30740</v>
      </c>
      <c r="O17" s="2" t="s">
        <v>362</v>
      </c>
    </row>
    <row r="18" spans="1:15" s="2" customFormat="1" x14ac:dyDescent="0.25">
      <c r="A18" s="2">
        <v>18</v>
      </c>
      <c r="B18" s="2">
        <v>2</v>
      </c>
      <c r="C18" s="2">
        <v>76</v>
      </c>
      <c r="D18" s="2">
        <v>2</v>
      </c>
      <c r="E18" s="2">
        <v>18</v>
      </c>
      <c r="G18" s="2">
        <v>1</v>
      </c>
      <c r="H18" s="2">
        <v>39</v>
      </c>
      <c r="I18" s="2">
        <v>13184287</v>
      </c>
      <c r="J18" s="2" t="s">
        <v>176</v>
      </c>
      <c r="K18" s="2" t="s">
        <v>350</v>
      </c>
      <c r="L18" s="2" t="str">
        <f>"63445030110007"</f>
        <v>63445030110007</v>
      </c>
      <c r="M18" s="2" t="s">
        <v>2</v>
      </c>
      <c r="N18" s="18">
        <v>30741</v>
      </c>
      <c r="O18" s="2" t="s">
        <v>362</v>
      </c>
    </row>
    <row r="19" spans="1:15" s="2" customFormat="1" x14ac:dyDescent="0.25">
      <c r="A19" s="2">
        <v>19</v>
      </c>
      <c r="B19" s="2">
        <v>2</v>
      </c>
      <c r="C19" s="2">
        <v>76</v>
      </c>
      <c r="D19" s="2">
        <v>2</v>
      </c>
      <c r="E19" s="2">
        <v>18</v>
      </c>
      <c r="G19" s="2">
        <v>1</v>
      </c>
      <c r="H19" s="2">
        <v>39</v>
      </c>
      <c r="I19" s="2">
        <v>13184288</v>
      </c>
      <c r="J19" s="2" t="s">
        <v>176</v>
      </c>
      <c r="K19" s="2" t="s">
        <v>350</v>
      </c>
      <c r="L19" s="2" t="str">
        <f>"63445030110008"</f>
        <v>63445030110008</v>
      </c>
      <c r="M19" s="2" t="s">
        <v>2</v>
      </c>
      <c r="N19" s="18">
        <v>30742</v>
      </c>
      <c r="O19" s="2" t="s">
        <v>362</v>
      </c>
    </row>
    <row r="20" spans="1:15" s="2" customFormat="1" x14ac:dyDescent="0.25">
      <c r="A20" s="2">
        <v>20</v>
      </c>
      <c r="B20" s="2">
        <v>2</v>
      </c>
      <c r="C20" s="2">
        <v>76</v>
      </c>
      <c r="D20" s="2">
        <v>2</v>
      </c>
      <c r="E20" s="2">
        <v>18</v>
      </c>
      <c r="G20" s="2">
        <v>1</v>
      </c>
      <c r="H20" s="2">
        <v>39</v>
      </c>
      <c r="I20" s="2">
        <v>13184289</v>
      </c>
      <c r="J20" s="2" t="s">
        <v>176</v>
      </c>
      <c r="K20" s="2" t="s">
        <v>350</v>
      </c>
      <c r="L20" s="2" t="str">
        <f>"63445030110009"</f>
        <v>63445030110009</v>
      </c>
      <c r="M20" s="2" t="s">
        <v>2</v>
      </c>
      <c r="N20" s="18">
        <v>30743</v>
      </c>
      <c r="O20" s="2" t="s">
        <v>362</v>
      </c>
    </row>
    <row r="21" spans="1:15" s="2" customFormat="1" x14ac:dyDescent="0.25">
      <c r="A21" s="2">
        <v>21</v>
      </c>
      <c r="B21" s="2">
        <v>2</v>
      </c>
      <c r="C21" s="2">
        <v>76</v>
      </c>
      <c r="D21" s="2">
        <v>2</v>
      </c>
      <c r="E21" s="2">
        <v>18</v>
      </c>
      <c r="G21" s="2">
        <v>1</v>
      </c>
      <c r="H21" s="2">
        <v>39</v>
      </c>
      <c r="I21" s="2">
        <v>13184290</v>
      </c>
      <c r="J21" s="2" t="s">
        <v>176</v>
      </c>
      <c r="K21" s="2" t="s">
        <v>350</v>
      </c>
      <c r="L21" s="2" t="str">
        <f>"63445030110010"</f>
        <v>63445030110010</v>
      </c>
      <c r="M21" s="2" t="s">
        <v>2</v>
      </c>
      <c r="N21" s="18">
        <v>30744</v>
      </c>
      <c r="O21" s="2" t="s">
        <v>362</v>
      </c>
    </row>
    <row r="22" spans="1:15" s="2" customFormat="1" x14ac:dyDescent="0.25">
      <c r="A22" s="2">
        <v>22</v>
      </c>
      <c r="B22" s="2">
        <v>2</v>
      </c>
      <c r="C22" s="2">
        <v>76</v>
      </c>
      <c r="D22" s="2">
        <v>2</v>
      </c>
      <c r="E22" s="2">
        <v>18</v>
      </c>
      <c r="G22" s="2">
        <v>1</v>
      </c>
      <c r="H22" s="2">
        <v>39</v>
      </c>
      <c r="I22" s="2">
        <v>13184294</v>
      </c>
      <c r="J22" s="2" t="s">
        <v>176</v>
      </c>
      <c r="K22" s="2" t="s">
        <v>353</v>
      </c>
      <c r="L22" s="2" t="str">
        <f>"63445030110015"</f>
        <v>63445030110015</v>
      </c>
      <c r="M22" s="2" t="s">
        <v>2</v>
      </c>
      <c r="N22" s="18">
        <v>30745</v>
      </c>
      <c r="O22" s="2" t="s">
        <v>363</v>
      </c>
    </row>
    <row r="23" spans="1:15" s="2" customFormat="1" x14ac:dyDescent="0.25">
      <c r="A23" s="2">
        <v>23</v>
      </c>
      <c r="B23" s="2">
        <v>2</v>
      </c>
      <c r="C23" s="2">
        <v>76</v>
      </c>
      <c r="D23" s="2">
        <v>2</v>
      </c>
      <c r="E23" s="2">
        <v>18</v>
      </c>
      <c r="G23" s="2">
        <v>1</v>
      </c>
      <c r="H23" s="2">
        <v>39</v>
      </c>
      <c r="I23" s="2">
        <v>13184295</v>
      </c>
      <c r="J23" s="2" t="s">
        <v>176</v>
      </c>
      <c r="K23" s="2" t="s">
        <v>353</v>
      </c>
      <c r="L23" s="2" t="str">
        <f>"63445030110016"</f>
        <v>63445030110016</v>
      </c>
      <c r="M23" s="2" t="s">
        <v>2</v>
      </c>
      <c r="N23" s="18">
        <v>30746</v>
      </c>
      <c r="O23" s="2" t="s">
        <v>363</v>
      </c>
    </row>
    <row r="24" spans="1:15" s="2" customFormat="1" x14ac:dyDescent="0.25">
      <c r="A24" s="2">
        <v>24</v>
      </c>
      <c r="B24" s="2">
        <v>2</v>
      </c>
      <c r="C24" s="2">
        <v>76</v>
      </c>
      <c r="D24" s="2">
        <v>2</v>
      </c>
      <c r="E24" s="2">
        <v>20</v>
      </c>
      <c r="G24" s="2">
        <v>1</v>
      </c>
      <c r="H24" s="2">
        <v>39</v>
      </c>
      <c r="I24" s="2">
        <v>13184331</v>
      </c>
      <c r="J24" s="2" t="s">
        <v>177</v>
      </c>
      <c r="K24" s="2" t="s">
        <v>364</v>
      </c>
      <c r="L24" s="2" t="str">
        <f>"63445030113028"</f>
        <v>63445030113028</v>
      </c>
      <c r="M24" s="2" t="s">
        <v>2</v>
      </c>
      <c r="N24" s="18">
        <v>30747</v>
      </c>
      <c r="O24" s="2" t="s">
        <v>365</v>
      </c>
    </row>
    <row r="25" spans="1:15" s="2" customFormat="1" x14ac:dyDescent="0.25">
      <c r="A25" s="2">
        <v>25</v>
      </c>
      <c r="B25" s="2">
        <v>2</v>
      </c>
      <c r="C25" s="2">
        <v>76</v>
      </c>
      <c r="D25" s="2">
        <v>2</v>
      </c>
      <c r="E25" s="2">
        <v>7</v>
      </c>
      <c r="G25" s="2">
        <v>1</v>
      </c>
      <c r="H25" s="2">
        <v>39</v>
      </c>
      <c r="I25" s="2">
        <v>13184266</v>
      </c>
      <c r="J25" s="2" t="s">
        <v>173</v>
      </c>
      <c r="K25" s="2" t="s">
        <v>366</v>
      </c>
      <c r="L25" s="2" t="str">
        <f>"63445030107002"</f>
        <v>63445030107002</v>
      </c>
      <c r="M25" s="2" t="s">
        <v>2</v>
      </c>
      <c r="N25" s="18">
        <v>30748</v>
      </c>
      <c r="O25" s="2" t="s">
        <v>367</v>
      </c>
    </row>
    <row r="26" spans="1:15" s="2" customFormat="1" x14ac:dyDescent="0.25">
      <c r="A26" s="2">
        <v>26</v>
      </c>
      <c r="B26" s="2">
        <v>2</v>
      </c>
      <c r="C26" s="2">
        <v>76</v>
      </c>
      <c r="D26" s="2">
        <v>2</v>
      </c>
      <c r="E26" s="2">
        <v>20</v>
      </c>
      <c r="G26" s="2">
        <v>1</v>
      </c>
      <c r="H26" s="2">
        <v>39</v>
      </c>
      <c r="I26" s="2">
        <v>13184327</v>
      </c>
      <c r="J26" s="2" t="s">
        <v>177</v>
      </c>
      <c r="K26" s="2" t="s">
        <v>364</v>
      </c>
      <c r="L26" s="2" t="str">
        <f>"63445030113024"</f>
        <v>63445030113024</v>
      </c>
      <c r="M26" s="2" t="s">
        <v>2</v>
      </c>
      <c r="N26" s="18">
        <v>30749</v>
      </c>
      <c r="O26" s="2" t="s">
        <v>365</v>
      </c>
    </row>
    <row r="27" spans="1:15" s="2" customFormat="1" x14ac:dyDescent="0.25">
      <c r="A27" s="2">
        <v>27</v>
      </c>
      <c r="B27" s="2">
        <v>2</v>
      </c>
      <c r="C27" s="2">
        <v>76</v>
      </c>
      <c r="D27" s="2">
        <v>2</v>
      </c>
      <c r="E27" s="2">
        <v>20</v>
      </c>
      <c r="G27" s="2">
        <v>1</v>
      </c>
      <c r="H27" s="2">
        <v>39</v>
      </c>
      <c r="I27" s="2">
        <v>13184328</v>
      </c>
      <c r="J27" s="2" t="s">
        <v>177</v>
      </c>
      <c r="K27" s="2" t="s">
        <v>364</v>
      </c>
      <c r="L27" s="2" t="str">
        <f>"63445030113025"</f>
        <v>63445030113025</v>
      </c>
      <c r="M27" s="2" t="s">
        <v>2</v>
      </c>
      <c r="N27" s="18">
        <v>30750</v>
      </c>
      <c r="O27" s="2" t="s">
        <v>365</v>
      </c>
    </row>
    <row r="28" spans="1:15" s="2" customFormat="1" x14ac:dyDescent="0.25">
      <c r="A28" s="2">
        <v>28</v>
      </c>
      <c r="B28" s="2">
        <v>2</v>
      </c>
      <c r="C28" s="2">
        <v>76</v>
      </c>
      <c r="D28" s="2">
        <v>2</v>
      </c>
      <c r="E28" s="2">
        <v>20</v>
      </c>
      <c r="G28" s="2">
        <v>1</v>
      </c>
      <c r="H28" s="2">
        <v>39</v>
      </c>
      <c r="I28" s="2">
        <v>13184329</v>
      </c>
      <c r="J28" s="2" t="s">
        <v>177</v>
      </c>
      <c r="K28" s="2" t="s">
        <v>364</v>
      </c>
      <c r="L28" s="2" t="str">
        <f>"63445030113026"</f>
        <v>63445030113026</v>
      </c>
      <c r="M28" s="2" t="s">
        <v>2</v>
      </c>
      <c r="N28" s="18">
        <v>30751</v>
      </c>
      <c r="O28" s="2" t="s">
        <v>365</v>
      </c>
    </row>
    <row r="29" spans="1:15" s="2" customFormat="1" x14ac:dyDescent="0.25">
      <c r="A29" s="2">
        <v>29</v>
      </c>
      <c r="B29" s="2">
        <v>2</v>
      </c>
      <c r="C29" s="2">
        <v>76</v>
      </c>
      <c r="D29" s="2">
        <v>2</v>
      </c>
      <c r="E29" s="2">
        <v>20</v>
      </c>
      <c r="G29" s="2">
        <v>1</v>
      </c>
      <c r="H29" s="2">
        <v>39</v>
      </c>
      <c r="I29" s="2">
        <v>13184330</v>
      </c>
      <c r="J29" s="2" t="s">
        <v>177</v>
      </c>
      <c r="K29" s="2" t="s">
        <v>364</v>
      </c>
      <c r="L29" s="2" t="str">
        <f>"63445030113027"</f>
        <v>63445030113027</v>
      </c>
      <c r="M29" s="2" t="s">
        <v>2</v>
      </c>
      <c r="N29" s="18">
        <v>30752</v>
      </c>
      <c r="O29" s="2" t="s">
        <v>365</v>
      </c>
    </row>
    <row r="30" spans="1:15" s="2" customFormat="1" x14ac:dyDescent="0.25">
      <c r="A30" s="2">
        <v>30</v>
      </c>
      <c r="B30" s="2">
        <v>2</v>
      </c>
      <c r="C30" s="2">
        <v>76</v>
      </c>
      <c r="D30" s="2">
        <v>2</v>
      </c>
      <c r="E30" s="2">
        <v>20</v>
      </c>
      <c r="G30" s="2">
        <v>1</v>
      </c>
      <c r="H30" s="2">
        <v>39</v>
      </c>
      <c r="I30" s="2">
        <v>13184332</v>
      </c>
      <c r="J30" s="2" t="s">
        <v>177</v>
      </c>
      <c r="K30" s="2" t="s">
        <v>364</v>
      </c>
      <c r="L30" s="2" t="str">
        <f>"63445030113029"</f>
        <v>63445030113029</v>
      </c>
      <c r="M30" s="2" t="s">
        <v>2</v>
      </c>
      <c r="N30" s="18">
        <v>30753</v>
      </c>
      <c r="O30" s="2" t="s">
        <v>365</v>
      </c>
    </row>
    <row r="31" spans="1:15" s="2" customFormat="1" x14ac:dyDescent="0.25">
      <c r="A31" s="2">
        <v>31</v>
      </c>
      <c r="B31" s="2">
        <v>2</v>
      </c>
      <c r="C31" s="2">
        <v>76</v>
      </c>
      <c r="D31" s="2">
        <v>2</v>
      </c>
      <c r="E31" s="2">
        <v>20</v>
      </c>
      <c r="G31" s="2">
        <v>1</v>
      </c>
      <c r="H31" s="2">
        <v>39</v>
      </c>
      <c r="I31" s="2">
        <v>13184333</v>
      </c>
      <c r="J31" s="2" t="s">
        <v>177</v>
      </c>
      <c r="K31" s="2" t="s">
        <v>364</v>
      </c>
      <c r="L31" s="2" t="str">
        <f>"63445030113030"</f>
        <v>63445030113030</v>
      </c>
      <c r="M31" s="2" t="s">
        <v>2</v>
      </c>
      <c r="N31" s="18">
        <v>30754</v>
      </c>
      <c r="O31" s="2" t="s">
        <v>365</v>
      </c>
    </row>
    <row r="32" spans="1:15" s="2" customFormat="1" x14ac:dyDescent="0.25">
      <c r="A32" s="2">
        <v>32</v>
      </c>
      <c r="B32" s="2">
        <v>2</v>
      </c>
      <c r="C32" s="2">
        <v>76</v>
      </c>
      <c r="D32" s="2">
        <v>2</v>
      </c>
      <c r="E32" s="2">
        <v>20</v>
      </c>
      <c r="G32" s="2">
        <v>1</v>
      </c>
      <c r="H32" s="2">
        <v>39</v>
      </c>
      <c r="I32" s="2">
        <v>13184334</v>
      </c>
      <c r="J32" s="2" t="s">
        <v>177</v>
      </c>
      <c r="K32" s="2" t="s">
        <v>364</v>
      </c>
      <c r="L32" s="2" t="str">
        <f>"63445030113031"</f>
        <v>63445030113031</v>
      </c>
      <c r="M32" s="2" t="s">
        <v>2</v>
      </c>
      <c r="N32" s="18">
        <v>30755</v>
      </c>
      <c r="O32" s="2" t="s">
        <v>365</v>
      </c>
    </row>
    <row r="33" spans="1:15" s="2" customFormat="1" x14ac:dyDescent="0.25">
      <c r="A33" s="2">
        <v>33</v>
      </c>
      <c r="B33" s="2">
        <v>2</v>
      </c>
      <c r="C33" s="2">
        <v>76</v>
      </c>
      <c r="D33" s="2">
        <v>2</v>
      </c>
      <c r="E33" s="2">
        <v>20</v>
      </c>
      <c r="G33" s="2">
        <v>1</v>
      </c>
      <c r="H33" s="2">
        <v>39</v>
      </c>
      <c r="I33" s="2">
        <v>13184335</v>
      </c>
      <c r="J33" s="2" t="s">
        <v>177</v>
      </c>
      <c r="K33" s="2" t="s">
        <v>364</v>
      </c>
      <c r="L33" s="2" t="str">
        <f>"63445030113032"</f>
        <v>63445030113032</v>
      </c>
      <c r="M33" s="2" t="s">
        <v>2</v>
      </c>
      <c r="N33" s="18">
        <v>30756</v>
      </c>
      <c r="O33" s="2" t="s">
        <v>365</v>
      </c>
    </row>
    <row r="34" spans="1:15" s="2" customFormat="1" x14ac:dyDescent="0.25">
      <c r="A34" s="2">
        <v>34</v>
      </c>
      <c r="B34" s="2">
        <v>2</v>
      </c>
      <c r="C34" s="2">
        <v>76</v>
      </c>
      <c r="D34" s="2">
        <v>2</v>
      </c>
      <c r="E34" s="2">
        <v>20</v>
      </c>
      <c r="G34" s="2">
        <v>1</v>
      </c>
      <c r="H34" s="2">
        <v>39</v>
      </c>
      <c r="I34" s="2">
        <v>13184336</v>
      </c>
      <c r="J34" s="2" t="s">
        <v>177</v>
      </c>
      <c r="K34" s="2" t="s">
        <v>364</v>
      </c>
      <c r="L34" s="2" t="str">
        <f>"63445030113033"</f>
        <v>63445030113033</v>
      </c>
      <c r="M34" s="2" t="s">
        <v>2</v>
      </c>
      <c r="N34" s="18">
        <v>30757</v>
      </c>
      <c r="O34" s="2" t="s">
        <v>365</v>
      </c>
    </row>
    <row r="35" spans="1:15" s="2" customFormat="1" x14ac:dyDescent="0.25">
      <c r="A35" s="2">
        <v>35</v>
      </c>
      <c r="B35" s="2">
        <v>2</v>
      </c>
      <c r="C35" s="2">
        <v>76</v>
      </c>
      <c r="D35" s="2">
        <v>2</v>
      </c>
      <c r="E35" s="2">
        <v>20</v>
      </c>
      <c r="G35" s="2">
        <v>1</v>
      </c>
      <c r="H35" s="2">
        <v>39</v>
      </c>
      <c r="I35" s="2">
        <v>13184337</v>
      </c>
      <c r="J35" s="2" t="s">
        <v>177</v>
      </c>
      <c r="K35" s="2" t="s">
        <v>364</v>
      </c>
      <c r="L35" s="2" t="str">
        <f>"63445030113034"</f>
        <v>63445030113034</v>
      </c>
      <c r="M35" s="2" t="s">
        <v>2</v>
      </c>
      <c r="N35" s="18">
        <v>30758</v>
      </c>
      <c r="O35" s="2" t="s">
        <v>365</v>
      </c>
    </row>
    <row r="36" spans="1:15" s="2" customFormat="1" x14ac:dyDescent="0.25">
      <c r="A36" s="2">
        <v>36</v>
      </c>
      <c r="B36" s="2">
        <v>2</v>
      </c>
      <c r="C36" s="2">
        <v>76</v>
      </c>
      <c r="D36" s="2">
        <v>2</v>
      </c>
      <c r="E36" s="2">
        <v>20</v>
      </c>
      <c r="G36" s="2">
        <v>1</v>
      </c>
      <c r="H36" s="2">
        <v>39</v>
      </c>
      <c r="I36" s="2">
        <v>13184338</v>
      </c>
      <c r="J36" s="2" t="s">
        <v>177</v>
      </c>
      <c r="K36" s="2" t="s">
        <v>364</v>
      </c>
      <c r="L36" s="2" t="str">
        <f>"63445030113035"</f>
        <v>63445030113035</v>
      </c>
      <c r="M36" s="2" t="s">
        <v>2</v>
      </c>
      <c r="N36" s="18">
        <v>30759</v>
      </c>
      <c r="O36" s="2" t="s">
        <v>365</v>
      </c>
    </row>
    <row r="37" spans="1:15" s="2" customFormat="1" x14ac:dyDescent="0.25">
      <c r="A37" s="2">
        <v>37</v>
      </c>
      <c r="B37" s="2">
        <v>2</v>
      </c>
      <c r="C37" s="2">
        <v>76</v>
      </c>
      <c r="D37" s="2">
        <v>2</v>
      </c>
      <c r="E37" s="2">
        <v>20</v>
      </c>
      <c r="G37" s="2">
        <v>1</v>
      </c>
      <c r="H37" s="2">
        <v>39</v>
      </c>
      <c r="I37" s="2">
        <v>13184339</v>
      </c>
      <c r="J37" s="2" t="s">
        <v>177</v>
      </c>
      <c r="K37" s="2" t="s">
        <v>364</v>
      </c>
      <c r="L37" s="2" t="str">
        <f>"63445030113036"</f>
        <v>63445030113036</v>
      </c>
      <c r="M37" s="2" t="s">
        <v>2</v>
      </c>
      <c r="N37" s="18">
        <v>30760</v>
      </c>
      <c r="O37" s="2" t="s">
        <v>365</v>
      </c>
    </row>
    <row r="38" spans="1:15" s="2" customFormat="1" x14ac:dyDescent="0.25">
      <c r="A38" s="2">
        <v>38</v>
      </c>
      <c r="B38" s="2">
        <v>2</v>
      </c>
      <c r="C38" s="2">
        <v>76</v>
      </c>
      <c r="D38" s="2">
        <v>2</v>
      </c>
      <c r="E38" s="2">
        <v>20</v>
      </c>
      <c r="G38" s="2">
        <v>1</v>
      </c>
      <c r="H38" s="2">
        <v>39</v>
      </c>
      <c r="I38" s="2">
        <v>13184340</v>
      </c>
      <c r="J38" s="2" t="s">
        <v>177</v>
      </c>
      <c r="K38" s="2" t="s">
        <v>364</v>
      </c>
      <c r="L38" s="2" t="str">
        <f>"63445030113038"</f>
        <v>63445030113038</v>
      </c>
      <c r="M38" s="2" t="s">
        <v>2</v>
      </c>
      <c r="N38" s="18">
        <v>30761</v>
      </c>
      <c r="O38" s="2" t="s">
        <v>365</v>
      </c>
    </row>
    <row r="39" spans="1:15" s="2" customFormat="1" x14ac:dyDescent="0.25">
      <c r="A39" s="2">
        <v>39</v>
      </c>
      <c r="B39" s="2">
        <v>2</v>
      </c>
      <c r="C39" s="2">
        <v>76</v>
      </c>
      <c r="D39" s="2">
        <v>2</v>
      </c>
      <c r="E39" s="2">
        <v>20</v>
      </c>
      <c r="G39" s="2">
        <v>1</v>
      </c>
      <c r="H39" s="2">
        <v>39</v>
      </c>
      <c r="I39" s="2">
        <v>13184341</v>
      </c>
      <c r="J39" s="2" t="s">
        <v>177</v>
      </c>
      <c r="K39" s="2" t="s">
        <v>364</v>
      </c>
      <c r="L39" s="2" t="str">
        <f>"63445030113039"</f>
        <v>63445030113039</v>
      </c>
      <c r="M39" s="2" t="s">
        <v>2</v>
      </c>
      <c r="N39" s="18">
        <v>30762</v>
      </c>
      <c r="O39" s="2" t="s">
        <v>365</v>
      </c>
    </row>
    <row r="40" spans="1:15" s="2" customFormat="1" x14ac:dyDescent="0.25">
      <c r="A40" s="2">
        <v>40</v>
      </c>
      <c r="B40" s="2">
        <v>2</v>
      </c>
      <c r="C40" s="2">
        <v>76</v>
      </c>
      <c r="D40" s="2">
        <v>2</v>
      </c>
      <c r="E40" s="2">
        <v>20</v>
      </c>
      <c r="G40" s="2">
        <v>1</v>
      </c>
      <c r="H40" s="2">
        <v>39</v>
      </c>
      <c r="I40" s="2">
        <v>13184342</v>
      </c>
      <c r="J40" s="2" t="s">
        <v>177</v>
      </c>
      <c r="K40" s="2" t="s">
        <v>364</v>
      </c>
      <c r="L40" s="2" t="str">
        <f>"63445030113040"</f>
        <v>63445030113040</v>
      </c>
      <c r="M40" s="2" t="s">
        <v>2</v>
      </c>
      <c r="N40" s="18">
        <v>30763</v>
      </c>
      <c r="O40" s="2" t="s">
        <v>365</v>
      </c>
    </row>
    <row r="41" spans="1:15" s="2" customFormat="1" x14ac:dyDescent="0.25">
      <c r="A41" s="2">
        <v>41</v>
      </c>
      <c r="B41" s="2">
        <v>2</v>
      </c>
      <c r="C41" s="2">
        <v>76</v>
      </c>
      <c r="D41" s="2">
        <v>2</v>
      </c>
      <c r="E41" s="2">
        <v>20</v>
      </c>
      <c r="G41" s="2">
        <v>1</v>
      </c>
      <c r="H41" s="2">
        <v>39</v>
      </c>
      <c r="I41" s="2">
        <v>13184343</v>
      </c>
      <c r="J41" s="2" t="s">
        <v>177</v>
      </c>
      <c r="K41" s="2" t="s">
        <v>364</v>
      </c>
      <c r="L41" s="2" t="str">
        <f>"63445030113041"</f>
        <v>63445030113041</v>
      </c>
      <c r="M41" s="2" t="s">
        <v>2</v>
      </c>
      <c r="N41" s="18">
        <v>30764</v>
      </c>
      <c r="O41" s="2" t="s">
        <v>365</v>
      </c>
    </row>
    <row r="42" spans="1:15" s="2" customFormat="1" x14ac:dyDescent="0.25">
      <c r="A42" s="2">
        <v>42</v>
      </c>
      <c r="B42" s="2">
        <v>2</v>
      </c>
      <c r="C42" s="2">
        <v>76</v>
      </c>
      <c r="D42" s="2">
        <v>2</v>
      </c>
      <c r="E42" s="2">
        <v>20</v>
      </c>
      <c r="G42" s="2">
        <v>1</v>
      </c>
      <c r="H42" s="2">
        <v>39</v>
      </c>
      <c r="I42" s="2">
        <v>13184344</v>
      </c>
      <c r="J42" s="2" t="s">
        <v>177</v>
      </c>
      <c r="K42" s="2" t="s">
        <v>364</v>
      </c>
      <c r="L42" s="2" t="str">
        <f>"63445030113042"</f>
        <v>63445030113042</v>
      </c>
      <c r="M42" s="2" t="s">
        <v>2</v>
      </c>
      <c r="N42" s="18">
        <v>30765</v>
      </c>
      <c r="O42" s="2" t="s">
        <v>365</v>
      </c>
    </row>
    <row r="43" spans="1:15" s="2" customFormat="1" x14ac:dyDescent="0.25">
      <c r="A43" s="2">
        <v>43</v>
      </c>
      <c r="B43" s="2">
        <v>2</v>
      </c>
      <c r="C43" s="2">
        <v>76</v>
      </c>
      <c r="D43" s="2">
        <v>2</v>
      </c>
      <c r="E43" s="2">
        <v>20</v>
      </c>
      <c r="G43" s="2">
        <v>1</v>
      </c>
      <c r="H43" s="2">
        <v>39</v>
      </c>
      <c r="I43" s="2">
        <v>13184345</v>
      </c>
      <c r="J43" s="2" t="s">
        <v>177</v>
      </c>
      <c r="K43" s="2" t="s">
        <v>364</v>
      </c>
      <c r="L43" s="2" t="str">
        <f>"63445030113043"</f>
        <v>63445030113043</v>
      </c>
      <c r="M43" s="2" t="s">
        <v>2</v>
      </c>
      <c r="N43" s="18">
        <v>30766</v>
      </c>
      <c r="O43" s="2" t="s">
        <v>365</v>
      </c>
    </row>
    <row r="44" spans="1:15" s="2" customFormat="1" x14ac:dyDescent="0.25">
      <c r="A44" s="2">
        <v>44</v>
      </c>
      <c r="B44" s="2">
        <v>2</v>
      </c>
      <c r="C44" s="2">
        <v>76</v>
      </c>
      <c r="D44" s="2">
        <v>2</v>
      </c>
      <c r="E44" s="2">
        <v>30</v>
      </c>
      <c r="G44" s="2">
        <v>1</v>
      </c>
      <c r="H44" s="2">
        <v>39</v>
      </c>
      <c r="I44" s="2">
        <v>13184346</v>
      </c>
      <c r="J44" s="2" t="s">
        <v>177</v>
      </c>
      <c r="K44" s="2" t="s">
        <v>364</v>
      </c>
      <c r="L44" s="2" t="str">
        <f>"63445030113079"</f>
        <v>63445030113079</v>
      </c>
      <c r="M44" s="2" t="s">
        <v>2</v>
      </c>
      <c r="N44" s="18">
        <v>30767</v>
      </c>
      <c r="O44" s="2" t="s">
        <v>368</v>
      </c>
    </row>
    <row r="45" spans="1:15" s="2" customFormat="1" x14ac:dyDescent="0.25">
      <c r="A45" s="2">
        <v>45</v>
      </c>
      <c r="B45" s="2">
        <v>2</v>
      </c>
      <c r="C45" s="2">
        <v>76</v>
      </c>
      <c r="D45" s="2">
        <v>2</v>
      </c>
      <c r="E45" s="2">
        <v>30</v>
      </c>
      <c r="G45" s="2">
        <v>1</v>
      </c>
      <c r="H45" s="2">
        <v>39</v>
      </c>
      <c r="I45" s="2">
        <v>13184347</v>
      </c>
      <c r="J45" s="2" t="s">
        <v>177</v>
      </c>
      <c r="K45" s="2" t="s">
        <v>364</v>
      </c>
      <c r="L45" s="2" t="str">
        <f>"63445030113104"</f>
        <v>63445030113104</v>
      </c>
      <c r="M45" s="2" t="s">
        <v>2</v>
      </c>
      <c r="N45" s="18">
        <v>30768</v>
      </c>
      <c r="O45" s="2" t="s">
        <v>368</v>
      </c>
    </row>
    <row r="46" spans="1:15" s="2" customFormat="1" x14ac:dyDescent="0.25">
      <c r="A46" s="2">
        <v>46</v>
      </c>
      <c r="B46" s="2">
        <v>2</v>
      </c>
      <c r="C46" s="2">
        <v>76</v>
      </c>
      <c r="D46" s="2">
        <v>2</v>
      </c>
      <c r="E46" s="2">
        <v>30</v>
      </c>
      <c r="G46" s="2">
        <v>1</v>
      </c>
      <c r="H46" s="2">
        <v>39</v>
      </c>
      <c r="I46" s="2">
        <v>13184348</v>
      </c>
      <c r="J46" s="2" t="s">
        <v>177</v>
      </c>
      <c r="K46" s="2" t="s">
        <v>364</v>
      </c>
      <c r="L46" s="2" t="str">
        <f>"63445030113105"</f>
        <v>63445030113105</v>
      </c>
      <c r="M46" s="2" t="s">
        <v>2</v>
      </c>
      <c r="N46" s="18">
        <v>30769</v>
      </c>
      <c r="O46" s="2" t="s">
        <v>368</v>
      </c>
    </row>
    <row r="47" spans="1:15" s="2" customFormat="1" x14ac:dyDescent="0.25">
      <c r="A47" s="2">
        <v>47</v>
      </c>
      <c r="B47" s="2">
        <v>2</v>
      </c>
      <c r="C47" s="2">
        <v>76</v>
      </c>
      <c r="D47" s="2">
        <v>2</v>
      </c>
      <c r="E47" s="2">
        <v>30</v>
      </c>
      <c r="G47" s="2">
        <v>1</v>
      </c>
      <c r="H47" s="2">
        <v>39</v>
      </c>
      <c r="I47" s="2">
        <v>13184349</v>
      </c>
      <c r="J47" s="2" t="s">
        <v>177</v>
      </c>
      <c r="K47" s="2" t="s">
        <v>364</v>
      </c>
      <c r="L47" s="2" t="str">
        <f>"63445030113106"</f>
        <v>63445030113106</v>
      </c>
      <c r="M47" s="2" t="s">
        <v>2</v>
      </c>
      <c r="N47" s="18">
        <v>30770</v>
      </c>
      <c r="O47" s="2" t="s">
        <v>368</v>
      </c>
    </row>
    <row r="48" spans="1:15" s="2" customFormat="1" x14ac:dyDescent="0.25">
      <c r="A48" s="2">
        <v>48</v>
      </c>
      <c r="B48" s="2">
        <v>2</v>
      </c>
      <c r="C48" s="2">
        <v>76</v>
      </c>
      <c r="D48" s="2">
        <v>2</v>
      </c>
      <c r="E48" s="2">
        <v>30</v>
      </c>
      <c r="G48" s="2">
        <v>1</v>
      </c>
      <c r="H48" s="2">
        <v>39</v>
      </c>
      <c r="I48" s="2">
        <v>13184350</v>
      </c>
      <c r="J48" s="2" t="s">
        <v>177</v>
      </c>
      <c r="K48" s="2" t="s">
        <v>364</v>
      </c>
      <c r="L48" s="2" t="str">
        <f>"63445030113107"</f>
        <v>63445030113107</v>
      </c>
      <c r="M48" s="2" t="s">
        <v>2</v>
      </c>
      <c r="N48" s="18">
        <v>30771</v>
      </c>
      <c r="O48" s="2" t="s">
        <v>368</v>
      </c>
    </row>
    <row r="49" spans="1:15" s="2" customFormat="1" x14ac:dyDescent="0.25">
      <c r="A49" s="2">
        <v>49</v>
      </c>
      <c r="B49" s="2">
        <v>2</v>
      </c>
      <c r="C49" s="2">
        <v>76</v>
      </c>
      <c r="D49" s="2">
        <v>2</v>
      </c>
      <c r="E49" s="2">
        <v>30</v>
      </c>
      <c r="G49" s="2">
        <v>1</v>
      </c>
      <c r="H49" s="2">
        <v>39</v>
      </c>
      <c r="I49" s="2">
        <v>13184351</v>
      </c>
      <c r="J49" s="2" t="s">
        <v>177</v>
      </c>
      <c r="K49" s="2" t="s">
        <v>364</v>
      </c>
      <c r="L49" s="2" t="str">
        <f>"63445030113108"</f>
        <v>63445030113108</v>
      </c>
      <c r="M49" s="2" t="s">
        <v>2</v>
      </c>
      <c r="N49" s="18">
        <v>30772</v>
      </c>
      <c r="O49" s="2" t="s">
        <v>368</v>
      </c>
    </row>
    <row r="50" spans="1:15" s="2" customFormat="1" x14ac:dyDescent="0.25">
      <c r="A50" s="2">
        <v>50</v>
      </c>
      <c r="B50" s="2">
        <v>2</v>
      </c>
      <c r="C50" s="2">
        <v>76</v>
      </c>
      <c r="D50" s="2">
        <v>2</v>
      </c>
      <c r="E50" s="2">
        <v>30</v>
      </c>
      <c r="G50" s="2">
        <v>1</v>
      </c>
      <c r="H50" s="2">
        <v>39</v>
      </c>
      <c r="I50" s="2">
        <v>13184352</v>
      </c>
      <c r="J50" s="2" t="s">
        <v>177</v>
      </c>
      <c r="K50" s="2" t="s">
        <v>364</v>
      </c>
      <c r="L50" s="2" t="str">
        <f>"63445030113109"</f>
        <v>63445030113109</v>
      </c>
      <c r="M50" s="2" t="s">
        <v>2</v>
      </c>
      <c r="N50" s="18">
        <v>30773</v>
      </c>
      <c r="O50" s="2" t="s">
        <v>368</v>
      </c>
    </row>
    <row r="51" spans="1:15" s="2" customFormat="1" x14ac:dyDescent="0.25">
      <c r="A51" s="2">
        <v>51</v>
      </c>
      <c r="B51" s="2">
        <v>2</v>
      </c>
      <c r="C51" s="2">
        <v>76</v>
      </c>
      <c r="D51" s="2">
        <v>2</v>
      </c>
      <c r="E51" s="2">
        <v>30</v>
      </c>
      <c r="G51" s="2">
        <v>1</v>
      </c>
      <c r="H51" s="2">
        <v>39</v>
      </c>
      <c r="I51" s="2">
        <v>13184353</v>
      </c>
      <c r="J51" s="2" t="s">
        <v>177</v>
      </c>
      <c r="K51" s="2" t="s">
        <v>364</v>
      </c>
      <c r="L51" s="2" t="str">
        <f>"63445030113110"</f>
        <v>63445030113110</v>
      </c>
      <c r="M51" s="2" t="s">
        <v>2</v>
      </c>
      <c r="N51" s="18">
        <v>30774</v>
      </c>
      <c r="O51" s="2" t="s">
        <v>368</v>
      </c>
    </row>
    <row r="52" spans="1:15" s="2" customFormat="1" x14ac:dyDescent="0.25">
      <c r="A52" s="2">
        <v>52</v>
      </c>
      <c r="B52" s="2">
        <v>2</v>
      </c>
      <c r="C52" s="2">
        <v>76</v>
      </c>
      <c r="D52" s="2">
        <v>2</v>
      </c>
      <c r="E52" s="2">
        <v>30</v>
      </c>
      <c r="G52" s="2">
        <v>1</v>
      </c>
      <c r="H52" s="2">
        <v>39</v>
      </c>
      <c r="I52" s="2">
        <v>13184354</v>
      </c>
      <c r="J52" s="2" t="s">
        <v>177</v>
      </c>
      <c r="K52" s="2" t="s">
        <v>364</v>
      </c>
      <c r="L52" s="2" t="str">
        <f>"63445030113111"</f>
        <v>63445030113111</v>
      </c>
      <c r="M52" s="2" t="s">
        <v>2</v>
      </c>
      <c r="N52" s="18">
        <v>30775</v>
      </c>
      <c r="O52" s="2" t="s">
        <v>368</v>
      </c>
    </row>
    <row r="53" spans="1:15" s="2" customFormat="1" x14ac:dyDescent="0.25">
      <c r="A53" s="2">
        <v>53</v>
      </c>
      <c r="B53" s="2">
        <v>2</v>
      </c>
      <c r="C53" s="2">
        <v>76</v>
      </c>
      <c r="D53" s="2">
        <v>2</v>
      </c>
      <c r="E53" s="2">
        <v>30</v>
      </c>
      <c r="G53" s="2">
        <v>1</v>
      </c>
      <c r="H53" s="2">
        <v>39</v>
      </c>
      <c r="I53" s="2">
        <v>13184355</v>
      </c>
      <c r="J53" s="2" t="s">
        <v>177</v>
      </c>
      <c r="K53" s="2" t="s">
        <v>364</v>
      </c>
      <c r="L53" s="2" t="str">
        <f>"63445030113112"</f>
        <v>63445030113112</v>
      </c>
      <c r="M53" s="2" t="s">
        <v>2</v>
      </c>
      <c r="N53" s="18">
        <v>30776</v>
      </c>
      <c r="O53" s="2" t="s">
        <v>368</v>
      </c>
    </row>
    <row r="54" spans="1:15" s="2" customFormat="1" x14ac:dyDescent="0.25">
      <c r="A54" s="2">
        <v>54</v>
      </c>
      <c r="B54" s="2">
        <v>2</v>
      </c>
      <c r="C54" s="2">
        <v>76</v>
      </c>
      <c r="D54" s="2">
        <v>2</v>
      </c>
      <c r="E54" s="2">
        <v>30</v>
      </c>
      <c r="G54" s="2">
        <v>1</v>
      </c>
      <c r="H54" s="2">
        <v>39</v>
      </c>
      <c r="I54" s="2">
        <v>13184359</v>
      </c>
      <c r="J54" s="2" t="s">
        <v>177</v>
      </c>
      <c r="K54" s="2" t="s">
        <v>364</v>
      </c>
      <c r="L54" s="2" t="str">
        <f>"63445030113116"</f>
        <v>63445030113116</v>
      </c>
      <c r="M54" s="2" t="s">
        <v>2</v>
      </c>
      <c r="N54" s="18">
        <v>30777</v>
      </c>
      <c r="O54" s="2" t="s">
        <v>368</v>
      </c>
    </row>
    <row r="55" spans="1:15" s="2" customFormat="1" x14ac:dyDescent="0.25">
      <c r="A55" s="2">
        <v>55</v>
      </c>
      <c r="B55" s="2">
        <v>2</v>
      </c>
      <c r="C55" s="2">
        <v>76</v>
      </c>
      <c r="D55" s="2">
        <v>2</v>
      </c>
      <c r="E55" s="2">
        <v>30</v>
      </c>
      <c r="G55" s="2">
        <v>1</v>
      </c>
      <c r="H55" s="2">
        <v>39</v>
      </c>
      <c r="I55" s="2">
        <v>13184356</v>
      </c>
      <c r="J55" s="2" t="s">
        <v>177</v>
      </c>
      <c r="K55" s="2" t="s">
        <v>364</v>
      </c>
      <c r="L55" s="2" t="str">
        <f>"63445030113113"</f>
        <v>63445030113113</v>
      </c>
      <c r="M55" s="2" t="s">
        <v>2</v>
      </c>
      <c r="N55" s="18">
        <v>30778</v>
      </c>
      <c r="O55" s="2" t="s">
        <v>368</v>
      </c>
    </row>
    <row r="56" spans="1:15" s="2" customFormat="1" x14ac:dyDescent="0.25">
      <c r="A56" s="2">
        <v>56</v>
      </c>
      <c r="B56" s="2">
        <v>2</v>
      </c>
      <c r="C56" s="2">
        <v>76</v>
      </c>
      <c r="D56" s="2">
        <v>2</v>
      </c>
      <c r="E56" s="2">
        <v>30</v>
      </c>
      <c r="G56" s="2">
        <v>1</v>
      </c>
      <c r="H56" s="2">
        <v>39</v>
      </c>
      <c r="I56" s="2">
        <v>13184357</v>
      </c>
      <c r="J56" s="2" t="s">
        <v>177</v>
      </c>
      <c r="K56" s="2" t="s">
        <v>364</v>
      </c>
      <c r="L56" s="2" t="str">
        <f>"63445030113114"</f>
        <v>63445030113114</v>
      </c>
      <c r="M56" s="2" t="s">
        <v>2</v>
      </c>
      <c r="N56" s="18">
        <v>30779</v>
      </c>
      <c r="O56" s="2" t="s">
        <v>368</v>
      </c>
    </row>
    <row r="57" spans="1:15" s="2" customFormat="1" x14ac:dyDescent="0.25">
      <c r="A57" s="2">
        <v>57</v>
      </c>
      <c r="B57" s="2">
        <v>2</v>
      </c>
      <c r="C57" s="2">
        <v>76</v>
      </c>
      <c r="D57" s="2">
        <v>2</v>
      </c>
      <c r="E57" s="2">
        <v>30</v>
      </c>
      <c r="G57" s="2">
        <v>1</v>
      </c>
      <c r="H57" s="2">
        <v>39</v>
      </c>
      <c r="I57" s="2">
        <v>13184358</v>
      </c>
      <c r="J57" s="2" t="s">
        <v>177</v>
      </c>
      <c r="K57" s="2" t="s">
        <v>364</v>
      </c>
      <c r="L57" s="2" t="str">
        <f>"63445030113115"</f>
        <v>63445030113115</v>
      </c>
      <c r="M57" s="2" t="s">
        <v>2</v>
      </c>
      <c r="N57" s="18">
        <v>30780</v>
      </c>
      <c r="O57" s="2" t="s">
        <v>368</v>
      </c>
    </row>
    <row r="58" spans="1:15" s="2" customFormat="1" x14ac:dyDescent="0.25">
      <c r="A58" s="2">
        <v>58</v>
      </c>
      <c r="B58" s="2">
        <v>2</v>
      </c>
      <c r="C58" s="2">
        <v>76</v>
      </c>
      <c r="D58" s="2">
        <v>2</v>
      </c>
      <c r="E58" s="2">
        <v>30</v>
      </c>
      <c r="G58" s="2">
        <v>1</v>
      </c>
      <c r="H58" s="2">
        <v>39</v>
      </c>
      <c r="I58" s="2">
        <v>13184360</v>
      </c>
      <c r="J58" s="2" t="s">
        <v>177</v>
      </c>
      <c r="K58" s="2" t="s">
        <v>364</v>
      </c>
      <c r="L58" s="2" t="str">
        <f>"63445030113117"</f>
        <v>63445030113117</v>
      </c>
      <c r="M58" s="2" t="s">
        <v>2</v>
      </c>
      <c r="N58" s="18">
        <v>30781</v>
      </c>
      <c r="O58" s="2" t="s">
        <v>368</v>
      </c>
    </row>
    <row r="59" spans="1:15" s="2" customFormat="1" x14ac:dyDescent="0.25">
      <c r="A59" s="2">
        <v>59</v>
      </c>
      <c r="B59" s="2">
        <v>2</v>
      </c>
      <c r="C59" s="2">
        <v>76</v>
      </c>
      <c r="D59" s="2">
        <v>2</v>
      </c>
      <c r="E59" s="2">
        <v>30</v>
      </c>
      <c r="G59" s="2">
        <v>1</v>
      </c>
      <c r="H59" s="2">
        <v>39</v>
      </c>
      <c r="I59" s="2">
        <v>13184361</v>
      </c>
      <c r="J59" s="2" t="s">
        <v>177</v>
      </c>
      <c r="K59" s="2" t="s">
        <v>364</v>
      </c>
      <c r="L59" s="2" t="str">
        <f>"63445030113118"</f>
        <v>63445030113118</v>
      </c>
      <c r="M59" s="2" t="s">
        <v>2</v>
      </c>
      <c r="N59" s="18">
        <v>30782</v>
      </c>
      <c r="O59" s="2" t="s">
        <v>368</v>
      </c>
    </row>
    <row r="60" spans="1:15" s="2" customFormat="1" x14ac:dyDescent="0.25">
      <c r="A60" s="2">
        <v>60</v>
      </c>
      <c r="B60" s="2">
        <v>2</v>
      </c>
      <c r="C60" s="2">
        <v>76</v>
      </c>
      <c r="D60" s="2">
        <v>2</v>
      </c>
      <c r="E60" s="2">
        <v>30</v>
      </c>
      <c r="G60" s="2">
        <v>1</v>
      </c>
      <c r="H60" s="2">
        <v>39</v>
      </c>
      <c r="I60" s="2">
        <v>13184362</v>
      </c>
      <c r="J60" s="2" t="s">
        <v>177</v>
      </c>
      <c r="K60" s="2" t="s">
        <v>364</v>
      </c>
      <c r="L60" s="2" t="str">
        <f>"63445030113119"</f>
        <v>63445030113119</v>
      </c>
      <c r="M60" s="2" t="s">
        <v>2</v>
      </c>
      <c r="N60" s="18">
        <v>30783</v>
      </c>
      <c r="O60" s="2" t="s">
        <v>368</v>
      </c>
    </row>
    <row r="61" spans="1:15" s="2" customFormat="1" x14ac:dyDescent="0.25">
      <c r="A61" s="2">
        <v>61</v>
      </c>
      <c r="B61" s="2">
        <v>2</v>
      </c>
      <c r="C61" s="2">
        <v>76</v>
      </c>
      <c r="D61" s="2">
        <v>2</v>
      </c>
      <c r="E61" s="2">
        <v>30</v>
      </c>
      <c r="G61" s="2">
        <v>1</v>
      </c>
      <c r="H61" s="2">
        <v>39</v>
      </c>
      <c r="I61" s="2">
        <v>13184363</v>
      </c>
      <c r="J61" s="2" t="s">
        <v>177</v>
      </c>
      <c r="K61" s="2" t="s">
        <v>364</v>
      </c>
      <c r="L61" s="2" t="str">
        <f>"63445030113120"</f>
        <v>63445030113120</v>
      </c>
      <c r="M61" s="2" t="s">
        <v>2</v>
      </c>
      <c r="N61" s="18">
        <v>30784</v>
      </c>
      <c r="O61" s="2" t="s">
        <v>368</v>
      </c>
    </row>
    <row r="62" spans="1:15" s="2" customFormat="1" x14ac:dyDescent="0.25">
      <c r="A62" s="2">
        <v>62</v>
      </c>
      <c r="B62" s="2">
        <v>2</v>
      </c>
      <c r="C62" s="2">
        <v>76</v>
      </c>
      <c r="D62" s="2">
        <v>2</v>
      </c>
      <c r="E62" s="2">
        <v>30</v>
      </c>
      <c r="G62" s="2">
        <v>1</v>
      </c>
      <c r="H62" s="2">
        <v>39</v>
      </c>
      <c r="I62" s="2">
        <v>13184364</v>
      </c>
      <c r="J62" s="2" t="s">
        <v>177</v>
      </c>
      <c r="K62" s="2" t="s">
        <v>364</v>
      </c>
      <c r="L62" s="2" t="str">
        <f>"63445030113121"</f>
        <v>63445030113121</v>
      </c>
      <c r="M62" s="2" t="s">
        <v>2</v>
      </c>
      <c r="N62" s="18">
        <v>30785</v>
      </c>
      <c r="O62" s="2" t="s">
        <v>368</v>
      </c>
    </row>
    <row r="63" spans="1:15" s="2" customFormat="1" x14ac:dyDescent="0.25">
      <c r="A63" s="2">
        <v>63</v>
      </c>
      <c r="B63" s="2">
        <v>2</v>
      </c>
      <c r="C63" s="2">
        <v>76</v>
      </c>
      <c r="D63" s="2">
        <v>2</v>
      </c>
      <c r="E63" s="2">
        <v>30</v>
      </c>
      <c r="G63" s="2">
        <v>1</v>
      </c>
      <c r="H63" s="2">
        <v>39</v>
      </c>
      <c r="I63" s="2">
        <v>13184365</v>
      </c>
      <c r="J63" s="2" t="s">
        <v>177</v>
      </c>
      <c r="K63" s="2" t="s">
        <v>364</v>
      </c>
      <c r="L63" s="2" t="str">
        <f>"63445030113122"</f>
        <v>63445030113122</v>
      </c>
      <c r="M63" s="2" t="s">
        <v>2</v>
      </c>
      <c r="N63" s="18">
        <v>30786</v>
      </c>
      <c r="O63" s="2" t="s">
        <v>368</v>
      </c>
    </row>
    <row r="64" spans="1:15" s="2" customFormat="1" x14ac:dyDescent="0.25">
      <c r="A64" s="2">
        <v>64</v>
      </c>
      <c r="B64" s="2">
        <v>2</v>
      </c>
      <c r="C64" s="2">
        <v>76</v>
      </c>
      <c r="D64" s="2">
        <v>2</v>
      </c>
      <c r="E64" s="2">
        <v>30</v>
      </c>
      <c r="G64" s="2">
        <v>1</v>
      </c>
      <c r="H64" s="2">
        <v>39</v>
      </c>
      <c r="I64" s="2">
        <v>13184366</v>
      </c>
      <c r="J64" s="2" t="s">
        <v>177</v>
      </c>
      <c r="K64" s="2" t="s">
        <v>364</v>
      </c>
      <c r="L64" s="2" t="str">
        <f>"63445030113123"</f>
        <v>63445030113123</v>
      </c>
      <c r="M64" s="2" t="s">
        <v>2</v>
      </c>
      <c r="N64" s="18">
        <v>30787</v>
      </c>
      <c r="O64" s="2" t="s">
        <v>368</v>
      </c>
    </row>
    <row r="65" spans="1:15" s="2" customFormat="1" x14ac:dyDescent="0.25">
      <c r="A65" s="2">
        <v>65</v>
      </c>
      <c r="B65" s="2">
        <v>2</v>
      </c>
      <c r="C65" s="2">
        <v>76</v>
      </c>
      <c r="D65" s="2">
        <v>2</v>
      </c>
      <c r="E65" s="2">
        <v>30</v>
      </c>
      <c r="G65" s="2">
        <v>1</v>
      </c>
      <c r="H65" s="2">
        <v>39</v>
      </c>
      <c r="I65" s="2">
        <v>13184367</v>
      </c>
      <c r="J65" s="2" t="s">
        <v>177</v>
      </c>
      <c r="K65" s="2" t="s">
        <v>364</v>
      </c>
      <c r="L65" s="2" t="str">
        <f>"63445030113124"</f>
        <v>63445030113124</v>
      </c>
      <c r="M65" s="2" t="s">
        <v>2</v>
      </c>
      <c r="N65" s="18">
        <v>30788</v>
      </c>
      <c r="O65" s="2" t="s">
        <v>368</v>
      </c>
    </row>
    <row r="66" spans="1:15" s="2" customFormat="1" x14ac:dyDescent="0.25">
      <c r="A66" s="2">
        <v>66</v>
      </c>
      <c r="B66" s="2">
        <v>2</v>
      </c>
      <c r="C66" s="2">
        <v>76</v>
      </c>
      <c r="D66" s="2">
        <v>2</v>
      </c>
      <c r="E66" s="2">
        <v>30</v>
      </c>
      <c r="G66" s="2">
        <v>1</v>
      </c>
      <c r="H66" s="2">
        <v>39</v>
      </c>
      <c r="I66" s="2">
        <v>13184368</v>
      </c>
      <c r="J66" s="2" t="s">
        <v>177</v>
      </c>
      <c r="K66" s="2" t="s">
        <v>364</v>
      </c>
      <c r="L66" s="2" t="str">
        <f>"63445030113125"</f>
        <v>63445030113125</v>
      </c>
      <c r="M66" s="2" t="s">
        <v>2</v>
      </c>
      <c r="N66" s="18">
        <v>30789</v>
      </c>
      <c r="O66" s="2" t="s">
        <v>368</v>
      </c>
    </row>
    <row r="67" spans="1:15" s="2" customFormat="1" x14ac:dyDescent="0.25">
      <c r="A67" s="2">
        <v>67</v>
      </c>
      <c r="B67" s="2">
        <v>2</v>
      </c>
      <c r="C67" s="2">
        <v>76</v>
      </c>
      <c r="D67" s="2">
        <v>2</v>
      </c>
      <c r="E67" s="2">
        <v>30</v>
      </c>
      <c r="G67" s="2">
        <v>1</v>
      </c>
      <c r="H67" s="2">
        <v>39</v>
      </c>
      <c r="I67" s="2">
        <v>13184369</v>
      </c>
      <c r="J67" s="2" t="s">
        <v>177</v>
      </c>
      <c r="K67" s="2" t="s">
        <v>364</v>
      </c>
      <c r="L67" s="2" t="str">
        <f>"63445030113126"</f>
        <v>63445030113126</v>
      </c>
      <c r="M67" s="2" t="s">
        <v>2</v>
      </c>
      <c r="N67" s="18">
        <v>30790</v>
      </c>
      <c r="O67" s="2" t="s">
        <v>368</v>
      </c>
    </row>
    <row r="68" spans="1:15" s="2" customFormat="1" x14ac:dyDescent="0.25">
      <c r="A68" s="2">
        <v>68</v>
      </c>
      <c r="B68" s="2">
        <v>2</v>
      </c>
      <c r="C68" s="2">
        <v>76</v>
      </c>
      <c r="D68" s="2">
        <v>2</v>
      </c>
      <c r="E68" s="2">
        <v>30</v>
      </c>
      <c r="G68" s="2">
        <v>1</v>
      </c>
      <c r="H68" s="2">
        <v>39</v>
      </c>
      <c r="I68" s="2">
        <v>13184370</v>
      </c>
      <c r="J68" s="2" t="s">
        <v>177</v>
      </c>
      <c r="K68" s="2" t="s">
        <v>364</v>
      </c>
      <c r="L68" s="2" t="str">
        <f>"63445030113127"</f>
        <v>63445030113127</v>
      </c>
      <c r="M68" s="2" t="s">
        <v>2</v>
      </c>
      <c r="N68" s="18">
        <v>30791</v>
      </c>
      <c r="O68" s="2" t="s">
        <v>368</v>
      </c>
    </row>
    <row r="69" spans="1:15" s="2" customFormat="1" x14ac:dyDescent="0.25">
      <c r="A69" s="2">
        <v>69</v>
      </c>
      <c r="B69" s="2">
        <v>2</v>
      </c>
      <c r="C69" s="2">
        <v>76</v>
      </c>
      <c r="D69" s="2">
        <v>2</v>
      </c>
      <c r="E69" s="2">
        <v>30</v>
      </c>
      <c r="G69" s="2">
        <v>1</v>
      </c>
      <c r="H69" s="2">
        <v>39</v>
      </c>
      <c r="I69" s="2">
        <v>13184371</v>
      </c>
      <c r="J69" s="2" t="s">
        <v>177</v>
      </c>
      <c r="K69" s="2" t="s">
        <v>364</v>
      </c>
      <c r="L69" s="2" t="str">
        <f>"63445030113128"</f>
        <v>63445030113128</v>
      </c>
      <c r="M69" s="2" t="s">
        <v>2</v>
      </c>
      <c r="N69" s="18">
        <v>30792</v>
      </c>
      <c r="O69" s="2" t="s">
        <v>368</v>
      </c>
    </row>
    <row r="70" spans="1:15" s="2" customFormat="1" x14ac:dyDescent="0.25">
      <c r="A70" s="2">
        <v>70</v>
      </c>
      <c r="B70" s="2">
        <v>2</v>
      </c>
      <c r="C70" s="2">
        <v>76</v>
      </c>
      <c r="D70" s="2">
        <v>2</v>
      </c>
      <c r="E70" s="2">
        <v>30</v>
      </c>
      <c r="G70" s="2">
        <v>1</v>
      </c>
      <c r="H70" s="2">
        <v>39</v>
      </c>
      <c r="I70" s="2">
        <v>13184372</v>
      </c>
      <c r="J70" s="2" t="s">
        <v>177</v>
      </c>
      <c r="K70" s="2" t="s">
        <v>364</v>
      </c>
      <c r="L70" s="2" t="str">
        <f>"63445030113129"</f>
        <v>63445030113129</v>
      </c>
      <c r="M70" s="2" t="s">
        <v>2</v>
      </c>
      <c r="N70" s="18">
        <v>30793</v>
      </c>
      <c r="O70" s="2" t="s">
        <v>368</v>
      </c>
    </row>
    <row r="71" spans="1:15" s="2" customFormat="1" x14ac:dyDescent="0.25">
      <c r="A71" s="2">
        <v>71</v>
      </c>
      <c r="B71" s="2">
        <v>2</v>
      </c>
      <c r="C71" s="2">
        <v>76</v>
      </c>
      <c r="D71" s="2">
        <v>2</v>
      </c>
      <c r="E71" s="2">
        <v>30</v>
      </c>
      <c r="G71" s="2">
        <v>1</v>
      </c>
      <c r="H71" s="2">
        <v>39</v>
      </c>
      <c r="I71" s="2">
        <v>13184373</v>
      </c>
      <c r="J71" s="2" t="s">
        <v>177</v>
      </c>
      <c r="K71" s="2" t="s">
        <v>364</v>
      </c>
      <c r="L71" s="2" t="str">
        <f>"63445030113130"</f>
        <v>63445030113130</v>
      </c>
      <c r="M71" s="2" t="s">
        <v>2</v>
      </c>
      <c r="N71" s="18">
        <v>30794</v>
      </c>
      <c r="O71" s="2" t="s">
        <v>368</v>
      </c>
    </row>
    <row r="72" spans="1:15" s="2" customFormat="1" x14ac:dyDescent="0.25">
      <c r="A72" s="2">
        <v>72</v>
      </c>
      <c r="B72" s="2">
        <v>2</v>
      </c>
      <c r="C72" s="2">
        <v>76</v>
      </c>
      <c r="D72" s="2">
        <v>2</v>
      </c>
      <c r="E72" s="2">
        <v>30</v>
      </c>
      <c r="G72" s="2">
        <v>1</v>
      </c>
      <c r="H72" s="2">
        <v>39</v>
      </c>
      <c r="I72" s="2">
        <v>13184374</v>
      </c>
      <c r="J72" s="2" t="s">
        <v>177</v>
      </c>
      <c r="K72" s="2" t="s">
        <v>364</v>
      </c>
      <c r="L72" s="2" t="str">
        <f>"63445030113131"</f>
        <v>63445030113131</v>
      </c>
      <c r="M72" s="2" t="s">
        <v>2</v>
      </c>
      <c r="N72" s="18">
        <v>30795</v>
      </c>
      <c r="O72" s="2" t="s">
        <v>368</v>
      </c>
    </row>
    <row r="73" spans="1:15" s="2" customFormat="1" x14ac:dyDescent="0.25">
      <c r="A73" s="2">
        <v>73</v>
      </c>
      <c r="B73" s="2">
        <v>2</v>
      </c>
      <c r="C73" s="2">
        <v>76</v>
      </c>
      <c r="D73" s="2">
        <v>2</v>
      </c>
      <c r="E73" s="2">
        <v>30</v>
      </c>
      <c r="G73" s="2">
        <v>1</v>
      </c>
      <c r="H73" s="2">
        <v>39</v>
      </c>
      <c r="I73" s="2">
        <v>13184375</v>
      </c>
      <c r="J73" s="2" t="s">
        <v>177</v>
      </c>
      <c r="K73" s="2" t="s">
        <v>364</v>
      </c>
      <c r="L73" s="2" t="str">
        <f>"63445030113132"</f>
        <v>63445030113132</v>
      </c>
      <c r="M73" s="2" t="s">
        <v>2</v>
      </c>
      <c r="N73" s="18">
        <v>30796</v>
      </c>
      <c r="O73" s="2" t="s">
        <v>368</v>
      </c>
    </row>
    <row r="74" spans="1:15" s="2" customFormat="1" x14ac:dyDescent="0.25">
      <c r="A74" s="2">
        <v>74</v>
      </c>
      <c r="B74" s="2">
        <v>2</v>
      </c>
      <c r="C74" s="2">
        <v>76</v>
      </c>
      <c r="D74" s="2">
        <v>2</v>
      </c>
      <c r="E74" s="2">
        <v>30</v>
      </c>
      <c r="G74" s="2">
        <v>1</v>
      </c>
      <c r="H74" s="2">
        <v>39</v>
      </c>
      <c r="I74" s="2">
        <v>13184376</v>
      </c>
      <c r="J74" s="2" t="s">
        <v>177</v>
      </c>
      <c r="K74" s="2" t="s">
        <v>364</v>
      </c>
      <c r="L74" s="2" t="str">
        <f>"63445030113133"</f>
        <v>63445030113133</v>
      </c>
      <c r="M74" s="2" t="s">
        <v>2</v>
      </c>
      <c r="N74" s="18">
        <v>30797</v>
      </c>
      <c r="O74" s="2" t="s">
        <v>368</v>
      </c>
    </row>
    <row r="75" spans="1:15" s="2" customFormat="1" x14ac:dyDescent="0.25">
      <c r="A75" s="2">
        <v>75</v>
      </c>
      <c r="B75" s="2">
        <v>2</v>
      </c>
      <c r="C75" s="2">
        <v>76</v>
      </c>
      <c r="D75" s="2">
        <v>2</v>
      </c>
      <c r="E75" s="2">
        <v>30</v>
      </c>
      <c r="G75" s="2">
        <v>1</v>
      </c>
      <c r="H75" s="2">
        <v>39</v>
      </c>
      <c r="I75" s="2">
        <v>13184377</v>
      </c>
      <c r="J75" s="2" t="s">
        <v>177</v>
      </c>
      <c r="K75" s="2" t="s">
        <v>364</v>
      </c>
      <c r="L75" s="2" t="str">
        <f>"63445030113134"</f>
        <v>63445030113134</v>
      </c>
      <c r="M75" s="2" t="s">
        <v>2</v>
      </c>
      <c r="N75" s="18">
        <v>30798</v>
      </c>
      <c r="O75" s="2" t="s">
        <v>368</v>
      </c>
    </row>
    <row r="76" spans="1:15" s="2" customFormat="1" x14ac:dyDescent="0.25">
      <c r="A76" s="2">
        <v>76</v>
      </c>
      <c r="B76" s="2">
        <v>2</v>
      </c>
      <c r="C76" s="2">
        <v>76</v>
      </c>
      <c r="D76" s="2">
        <v>2</v>
      </c>
      <c r="E76" s="2">
        <v>30</v>
      </c>
      <c r="G76" s="2">
        <v>1</v>
      </c>
      <c r="H76" s="2">
        <v>39</v>
      </c>
      <c r="I76" s="2">
        <v>13184378</v>
      </c>
      <c r="J76" s="2" t="s">
        <v>177</v>
      </c>
      <c r="K76" s="2" t="s">
        <v>364</v>
      </c>
      <c r="L76" s="2" t="str">
        <f>"63445030113135"</f>
        <v>63445030113135</v>
      </c>
      <c r="M76" s="2" t="s">
        <v>2</v>
      </c>
      <c r="N76" s="18">
        <v>30799</v>
      </c>
      <c r="O76" s="2" t="s">
        <v>368</v>
      </c>
    </row>
    <row r="77" spans="1:15" s="2" customFormat="1" x14ac:dyDescent="0.25">
      <c r="A77" s="2">
        <v>77</v>
      </c>
      <c r="B77" s="2">
        <v>2</v>
      </c>
      <c r="C77" s="2">
        <v>76</v>
      </c>
      <c r="D77" s="2">
        <v>2</v>
      </c>
      <c r="E77" s="2">
        <v>30</v>
      </c>
      <c r="G77" s="2">
        <v>1</v>
      </c>
      <c r="H77" s="2">
        <v>39</v>
      </c>
      <c r="I77" s="2">
        <v>13184379</v>
      </c>
      <c r="J77" s="2" t="s">
        <v>177</v>
      </c>
      <c r="K77" s="2" t="s">
        <v>364</v>
      </c>
      <c r="L77" s="2" t="str">
        <f>"63445030113136"</f>
        <v>63445030113136</v>
      </c>
      <c r="M77" s="2" t="s">
        <v>2</v>
      </c>
      <c r="N77" s="18">
        <v>30800</v>
      </c>
      <c r="O77" s="2" t="s">
        <v>368</v>
      </c>
    </row>
    <row r="78" spans="1:15" s="2" customFormat="1" x14ac:dyDescent="0.25">
      <c r="A78" s="2">
        <v>78</v>
      </c>
      <c r="B78" s="2">
        <v>2</v>
      </c>
      <c r="C78" s="2">
        <v>76</v>
      </c>
      <c r="D78" s="2">
        <v>2</v>
      </c>
      <c r="E78" s="2">
        <v>30</v>
      </c>
      <c r="G78" s="2">
        <v>1</v>
      </c>
      <c r="H78" s="2">
        <v>39</v>
      </c>
      <c r="I78" s="2">
        <v>13184380</v>
      </c>
      <c r="J78" s="2" t="s">
        <v>177</v>
      </c>
      <c r="K78" s="2" t="s">
        <v>364</v>
      </c>
      <c r="L78" s="2" t="str">
        <f>"63445030113137"</f>
        <v>63445030113137</v>
      </c>
      <c r="M78" s="2" t="s">
        <v>2</v>
      </c>
      <c r="N78" s="18">
        <v>30801</v>
      </c>
      <c r="O78" s="2" t="s">
        <v>368</v>
      </c>
    </row>
    <row r="79" spans="1:15" s="2" customFormat="1" x14ac:dyDescent="0.25">
      <c r="A79" s="2">
        <v>79</v>
      </c>
      <c r="B79" s="2">
        <v>2</v>
      </c>
      <c r="C79" s="2">
        <v>76</v>
      </c>
      <c r="D79" s="2">
        <v>2</v>
      </c>
      <c r="E79" s="2">
        <v>30</v>
      </c>
      <c r="G79" s="2">
        <v>1</v>
      </c>
      <c r="H79" s="2">
        <v>39</v>
      </c>
      <c r="I79" s="2">
        <v>13184384</v>
      </c>
      <c r="J79" s="2" t="s">
        <v>177</v>
      </c>
      <c r="K79" s="2" t="s">
        <v>364</v>
      </c>
      <c r="L79" s="2" t="str">
        <f>"63445030113141"</f>
        <v>63445030113141</v>
      </c>
      <c r="M79" s="2" t="s">
        <v>2</v>
      </c>
      <c r="N79" s="18">
        <v>30802</v>
      </c>
      <c r="O79" s="2" t="s">
        <v>368</v>
      </c>
    </row>
    <row r="80" spans="1:15" s="2" customFormat="1" x14ac:dyDescent="0.25">
      <c r="A80" s="2">
        <v>80</v>
      </c>
      <c r="B80" s="2">
        <v>2</v>
      </c>
      <c r="C80" s="2">
        <v>76</v>
      </c>
      <c r="D80" s="2">
        <v>2</v>
      </c>
      <c r="E80" s="2">
        <v>30</v>
      </c>
      <c r="G80" s="2">
        <v>1</v>
      </c>
      <c r="H80" s="2">
        <v>39</v>
      </c>
      <c r="I80" s="2">
        <v>13184381</v>
      </c>
      <c r="J80" s="2" t="s">
        <v>177</v>
      </c>
      <c r="K80" s="2" t="s">
        <v>364</v>
      </c>
      <c r="L80" s="2" t="str">
        <f>"63445030113138"</f>
        <v>63445030113138</v>
      </c>
      <c r="M80" s="2" t="s">
        <v>2</v>
      </c>
      <c r="N80" s="18">
        <v>30803</v>
      </c>
      <c r="O80" s="2" t="s">
        <v>368</v>
      </c>
    </row>
    <row r="81" spans="1:15" s="2" customFormat="1" x14ac:dyDescent="0.25">
      <c r="A81" s="2">
        <v>81</v>
      </c>
      <c r="B81" s="2">
        <v>2</v>
      </c>
      <c r="C81" s="2">
        <v>76</v>
      </c>
      <c r="D81" s="2">
        <v>2</v>
      </c>
      <c r="E81" s="2">
        <v>30</v>
      </c>
      <c r="G81" s="2">
        <v>1</v>
      </c>
      <c r="H81" s="2">
        <v>39</v>
      </c>
      <c r="I81" s="2">
        <v>13184382</v>
      </c>
      <c r="J81" s="2" t="s">
        <v>177</v>
      </c>
      <c r="K81" s="2" t="s">
        <v>364</v>
      </c>
      <c r="L81" s="2" t="str">
        <f>"63445030113139"</f>
        <v>63445030113139</v>
      </c>
      <c r="M81" s="2" t="s">
        <v>2</v>
      </c>
      <c r="N81" s="18">
        <v>30804</v>
      </c>
      <c r="O81" s="2" t="s">
        <v>368</v>
      </c>
    </row>
    <row r="82" spans="1:15" s="2" customFormat="1" x14ac:dyDescent="0.25">
      <c r="A82" s="2">
        <v>82</v>
      </c>
      <c r="B82" s="2">
        <v>2</v>
      </c>
      <c r="C82" s="2">
        <v>76</v>
      </c>
      <c r="D82" s="2">
        <v>2</v>
      </c>
      <c r="E82" s="2">
        <v>30</v>
      </c>
      <c r="G82" s="2">
        <v>1</v>
      </c>
      <c r="H82" s="2">
        <v>39</v>
      </c>
      <c r="I82" s="2">
        <v>13184383</v>
      </c>
      <c r="J82" s="2" t="s">
        <v>177</v>
      </c>
      <c r="K82" s="2" t="s">
        <v>364</v>
      </c>
      <c r="L82" s="2" t="str">
        <f>"63445030113140"</f>
        <v>63445030113140</v>
      </c>
      <c r="M82" s="2" t="s">
        <v>2</v>
      </c>
      <c r="N82" s="18">
        <v>30805</v>
      </c>
      <c r="O82" s="2" t="s">
        <v>368</v>
      </c>
    </row>
    <row r="83" spans="1:15" s="2" customFormat="1" x14ac:dyDescent="0.25">
      <c r="A83" s="2">
        <v>83</v>
      </c>
      <c r="B83" s="2">
        <v>2</v>
      </c>
      <c r="C83" s="2">
        <v>76</v>
      </c>
      <c r="D83" s="2">
        <v>2</v>
      </c>
      <c r="E83" s="2">
        <v>30</v>
      </c>
      <c r="G83" s="2">
        <v>1</v>
      </c>
      <c r="H83" s="2">
        <v>39</v>
      </c>
      <c r="I83" s="2">
        <v>13184385</v>
      </c>
      <c r="J83" s="2" t="s">
        <v>177</v>
      </c>
      <c r="K83" s="2" t="s">
        <v>364</v>
      </c>
      <c r="L83" s="2" t="str">
        <f>"63445030113142"</f>
        <v>63445030113142</v>
      </c>
      <c r="M83" s="2" t="s">
        <v>2</v>
      </c>
      <c r="N83" s="18">
        <v>30806</v>
      </c>
      <c r="O83" s="2" t="s">
        <v>368</v>
      </c>
    </row>
    <row r="84" spans="1:15" s="2" customFormat="1" x14ac:dyDescent="0.25">
      <c r="A84" s="2">
        <v>84</v>
      </c>
      <c r="B84" s="2">
        <v>2</v>
      </c>
      <c r="C84" s="2">
        <v>76</v>
      </c>
      <c r="D84" s="2">
        <v>2</v>
      </c>
      <c r="E84" s="2">
        <v>30</v>
      </c>
      <c r="G84" s="2">
        <v>1</v>
      </c>
      <c r="H84" s="2">
        <v>39</v>
      </c>
      <c r="I84" s="2">
        <v>13184386</v>
      </c>
      <c r="J84" s="2" t="s">
        <v>177</v>
      </c>
      <c r="K84" s="2" t="s">
        <v>364</v>
      </c>
      <c r="L84" s="2" t="str">
        <f>"63445030113143"</f>
        <v>63445030113143</v>
      </c>
      <c r="M84" s="2" t="s">
        <v>2</v>
      </c>
      <c r="N84" s="18">
        <v>30807</v>
      </c>
      <c r="O84" s="2" t="s">
        <v>368</v>
      </c>
    </row>
    <row r="85" spans="1:15" s="2" customFormat="1" x14ac:dyDescent="0.25">
      <c r="A85" s="2">
        <v>85</v>
      </c>
      <c r="B85" s="2">
        <v>2</v>
      </c>
      <c r="C85" s="2">
        <v>76</v>
      </c>
      <c r="D85" s="2">
        <v>2</v>
      </c>
      <c r="E85" s="2">
        <v>20</v>
      </c>
      <c r="G85" s="2">
        <v>1</v>
      </c>
      <c r="H85" s="2">
        <v>39</v>
      </c>
      <c r="I85" s="2">
        <v>13184265</v>
      </c>
      <c r="J85" s="2" t="s">
        <v>179</v>
      </c>
      <c r="K85" s="2" t="s">
        <v>369</v>
      </c>
      <c r="L85" s="2" t="str">
        <f>"63445030106002"</f>
        <v>63445030106002</v>
      </c>
      <c r="M85" s="2" t="s">
        <v>2</v>
      </c>
      <c r="N85" s="18">
        <v>30808</v>
      </c>
      <c r="O85" s="2" t="s">
        <v>370</v>
      </c>
    </row>
    <row r="86" spans="1:15" s="2" customFormat="1" x14ac:dyDescent="0.25">
      <c r="A86" s="2">
        <v>86</v>
      </c>
      <c r="B86" s="2">
        <v>1</v>
      </c>
      <c r="C86" s="2">
        <v>75</v>
      </c>
      <c r="D86" s="2">
        <v>2</v>
      </c>
      <c r="E86" s="2">
        <v>15</v>
      </c>
      <c r="G86" s="2">
        <v>1</v>
      </c>
      <c r="H86" s="2">
        <v>4</v>
      </c>
      <c r="I86" s="2">
        <v>13181988</v>
      </c>
      <c r="J86" s="2" t="s">
        <v>169</v>
      </c>
      <c r="K86" s="2" t="s">
        <v>371</v>
      </c>
      <c r="L86" s="2" t="str">
        <f>"63445040103001"</f>
        <v>63445040103001</v>
      </c>
      <c r="M86" s="2" t="s">
        <v>2</v>
      </c>
      <c r="N86" s="18">
        <v>30809</v>
      </c>
      <c r="O86" s="2" t="s">
        <v>372</v>
      </c>
    </row>
    <row r="87" spans="1:15" s="2" customFormat="1" x14ac:dyDescent="0.25">
      <c r="A87" s="2">
        <v>87</v>
      </c>
      <c r="B87" s="2">
        <v>1</v>
      </c>
      <c r="C87" s="2">
        <v>77</v>
      </c>
      <c r="D87" s="2">
        <v>2</v>
      </c>
      <c r="E87" s="2">
        <v>20</v>
      </c>
      <c r="G87" s="2">
        <v>1</v>
      </c>
      <c r="H87" s="2">
        <v>4</v>
      </c>
      <c r="I87" s="2">
        <v>13182001</v>
      </c>
      <c r="J87" s="2" t="s">
        <v>180</v>
      </c>
      <c r="K87" s="2" t="s">
        <v>373</v>
      </c>
      <c r="L87" s="2" t="str">
        <f>"0431408"</f>
        <v>0431408</v>
      </c>
      <c r="M87" s="2" t="s">
        <v>2</v>
      </c>
      <c r="N87" s="18">
        <v>30810</v>
      </c>
      <c r="O87" s="2" t="s">
        <v>374</v>
      </c>
    </row>
    <row r="88" spans="1:15" s="2" customFormat="1" x14ac:dyDescent="0.25">
      <c r="A88" s="2">
        <v>88</v>
      </c>
      <c r="B88" s="2">
        <v>1</v>
      </c>
      <c r="C88" s="2">
        <v>77</v>
      </c>
      <c r="D88" s="2">
        <v>2</v>
      </c>
      <c r="E88" s="2">
        <v>20</v>
      </c>
      <c r="G88" s="2">
        <v>1</v>
      </c>
      <c r="H88" s="2">
        <v>4</v>
      </c>
      <c r="I88" s="2">
        <v>13182002</v>
      </c>
      <c r="J88" s="2" t="s">
        <v>180</v>
      </c>
      <c r="K88" s="2" t="s">
        <v>375</v>
      </c>
      <c r="L88" s="2" t="str">
        <f>"1525569"</f>
        <v>1525569</v>
      </c>
      <c r="M88" s="2" t="s">
        <v>2</v>
      </c>
      <c r="N88" s="18">
        <v>30811</v>
      </c>
      <c r="O88" s="2" t="s">
        <v>376</v>
      </c>
    </row>
    <row r="89" spans="1:15" s="2" customFormat="1" x14ac:dyDescent="0.25">
      <c r="A89" s="2">
        <v>89</v>
      </c>
      <c r="B89" s="2">
        <v>1</v>
      </c>
      <c r="C89" s="2">
        <v>66</v>
      </c>
      <c r="D89" s="2">
        <v>2</v>
      </c>
      <c r="E89" s="2">
        <v>20</v>
      </c>
      <c r="G89" s="2">
        <v>1</v>
      </c>
      <c r="H89" s="2">
        <v>4</v>
      </c>
      <c r="I89" s="2">
        <v>13182007</v>
      </c>
      <c r="J89" s="2" t="s">
        <v>181</v>
      </c>
      <c r="K89" s="2" t="s">
        <v>377</v>
      </c>
      <c r="L89" s="2" t="str">
        <f>"63445040401001"</f>
        <v>63445040401001</v>
      </c>
      <c r="M89" s="2" t="s">
        <v>2</v>
      </c>
      <c r="N89" s="18">
        <v>30812</v>
      </c>
      <c r="O89" s="2" t="s">
        <v>378</v>
      </c>
    </row>
    <row r="90" spans="1:15" s="2" customFormat="1" x14ac:dyDescent="0.25">
      <c r="A90" s="2">
        <v>90</v>
      </c>
      <c r="B90" s="2">
        <v>2</v>
      </c>
      <c r="C90" s="2">
        <v>76</v>
      </c>
      <c r="D90" s="2">
        <v>1</v>
      </c>
      <c r="E90" s="2">
        <v>8</v>
      </c>
      <c r="G90" s="2">
        <v>1</v>
      </c>
      <c r="H90" s="2">
        <v>39</v>
      </c>
      <c r="I90" s="2">
        <v>13184244</v>
      </c>
      <c r="J90" s="2" t="s">
        <v>178</v>
      </c>
      <c r="K90" s="2" t="s">
        <v>379</v>
      </c>
      <c r="L90" s="2" t="str">
        <f>"63445030101009"</f>
        <v>63445030101009</v>
      </c>
      <c r="M90" s="2" t="s">
        <v>2</v>
      </c>
      <c r="N90" s="18">
        <v>30813</v>
      </c>
      <c r="O90" s="2" t="s">
        <v>380</v>
      </c>
    </row>
    <row r="91" spans="1:15" s="2" customFormat="1" x14ac:dyDescent="0.25">
      <c r="A91" s="2">
        <v>91</v>
      </c>
      <c r="B91" s="2">
        <v>2</v>
      </c>
      <c r="C91" s="2">
        <v>76</v>
      </c>
      <c r="D91" s="2">
        <v>1</v>
      </c>
      <c r="E91" s="2">
        <v>8</v>
      </c>
      <c r="G91" s="2">
        <v>1</v>
      </c>
      <c r="H91" s="2">
        <v>39</v>
      </c>
      <c r="I91" s="2">
        <v>13184245</v>
      </c>
      <c r="J91" s="2" t="s">
        <v>178</v>
      </c>
      <c r="K91" s="2" t="s">
        <v>379</v>
      </c>
      <c r="L91" s="2" t="str">
        <f>"63445030101010"</f>
        <v>63445030101010</v>
      </c>
      <c r="M91" s="2" t="s">
        <v>2</v>
      </c>
      <c r="N91" s="18">
        <v>30814</v>
      </c>
      <c r="O91" s="2" t="s">
        <v>380</v>
      </c>
    </row>
    <row r="92" spans="1:15" s="2" customFormat="1" x14ac:dyDescent="0.25">
      <c r="A92" s="2">
        <v>92</v>
      </c>
      <c r="B92" s="2">
        <v>2</v>
      </c>
      <c r="C92" s="2">
        <v>76</v>
      </c>
      <c r="D92" s="2">
        <v>1</v>
      </c>
      <c r="E92" s="2">
        <v>8</v>
      </c>
      <c r="G92" s="2">
        <v>1</v>
      </c>
      <c r="H92" s="2">
        <v>39</v>
      </c>
      <c r="I92" s="2">
        <v>13184246</v>
      </c>
      <c r="J92" s="2" t="s">
        <v>178</v>
      </c>
      <c r="K92" s="2" t="s">
        <v>379</v>
      </c>
      <c r="L92" s="2" t="str">
        <f>"63445030101011"</f>
        <v>63445030101011</v>
      </c>
      <c r="M92" s="2" t="s">
        <v>2</v>
      </c>
      <c r="N92" s="18">
        <v>30815</v>
      </c>
      <c r="O92" s="2" t="s">
        <v>380</v>
      </c>
    </row>
    <row r="93" spans="1:15" s="2" customFormat="1" x14ac:dyDescent="0.25">
      <c r="A93" s="2">
        <v>93</v>
      </c>
      <c r="B93" s="2">
        <v>2</v>
      </c>
      <c r="C93" s="2">
        <v>76</v>
      </c>
      <c r="D93" s="2">
        <v>1</v>
      </c>
      <c r="E93" s="2">
        <v>8</v>
      </c>
      <c r="G93" s="2">
        <v>1</v>
      </c>
      <c r="H93" s="2">
        <v>39</v>
      </c>
      <c r="I93" s="2">
        <v>13184247</v>
      </c>
      <c r="J93" s="2" t="s">
        <v>178</v>
      </c>
      <c r="K93" s="2" t="s">
        <v>379</v>
      </c>
      <c r="L93" s="2" t="str">
        <f>"63445030101012"</f>
        <v>63445030101012</v>
      </c>
      <c r="M93" s="2" t="s">
        <v>2</v>
      </c>
      <c r="N93" s="18">
        <v>30816</v>
      </c>
      <c r="O93" s="2" t="s">
        <v>380</v>
      </c>
    </row>
    <row r="94" spans="1:15" s="2" customFormat="1" x14ac:dyDescent="0.25">
      <c r="A94" s="2">
        <v>94</v>
      </c>
      <c r="B94" s="2">
        <v>2</v>
      </c>
      <c r="C94" s="2">
        <v>76</v>
      </c>
      <c r="D94" s="2">
        <v>1</v>
      </c>
      <c r="E94" s="2">
        <v>8</v>
      </c>
      <c r="G94" s="2">
        <v>1</v>
      </c>
      <c r="H94" s="2">
        <v>39</v>
      </c>
      <c r="I94" s="2">
        <v>13184248</v>
      </c>
      <c r="J94" s="2" t="s">
        <v>178</v>
      </c>
      <c r="K94" s="2" t="s">
        <v>379</v>
      </c>
      <c r="L94" s="2" t="str">
        <f>"63445030101013"</f>
        <v>63445030101013</v>
      </c>
      <c r="M94" s="2" t="s">
        <v>2</v>
      </c>
      <c r="N94" s="18">
        <v>30817</v>
      </c>
      <c r="O94" s="2" t="s">
        <v>380</v>
      </c>
    </row>
    <row r="95" spans="1:15" s="2" customFormat="1" x14ac:dyDescent="0.25">
      <c r="A95" s="2">
        <v>95</v>
      </c>
      <c r="B95" s="2">
        <v>2</v>
      </c>
      <c r="C95" s="2">
        <v>76</v>
      </c>
      <c r="D95" s="2">
        <v>2</v>
      </c>
      <c r="E95" s="2">
        <v>18</v>
      </c>
      <c r="G95" s="2">
        <v>1</v>
      </c>
      <c r="H95" s="2">
        <v>39</v>
      </c>
      <c r="I95" s="2">
        <v>13184269</v>
      </c>
      <c r="J95" s="2" t="s">
        <v>182</v>
      </c>
      <c r="K95" s="2" t="s">
        <v>381</v>
      </c>
      <c r="L95" s="2" t="str">
        <f>"63445030107005"</f>
        <v>63445030107005</v>
      </c>
      <c r="M95" s="2" t="s">
        <v>2</v>
      </c>
      <c r="N95" s="18">
        <v>30818</v>
      </c>
      <c r="O95" s="2" t="s">
        <v>382</v>
      </c>
    </row>
    <row r="96" spans="1:15" s="2" customFormat="1" x14ac:dyDescent="0.25">
      <c r="A96" s="2">
        <v>96</v>
      </c>
      <c r="B96" s="2">
        <v>2</v>
      </c>
      <c r="C96" s="2">
        <v>76</v>
      </c>
      <c r="D96" s="2">
        <v>2</v>
      </c>
      <c r="E96" s="2">
        <v>18</v>
      </c>
      <c r="G96" s="2">
        <v>1</v>
      </c>
      <c r="H96" s="2">
        <v>39</v>
      </c>
      <c r="I96" s="2">
        <v>13184270</v>
      </c>
      <c r="J96" s="2" t="s">
        <v>182</v>
      </c>
      <c r="K96" s="2" t="s">
        <v>381</v>
      </c>
      <c r="L96" s="2" t="str">
        <f>"63445030107006"</f>
        <v>63445030107006</v>
      </c>
      <c r="M96" s="2" t="s">
        <v>2</v>
      </c>
      <c r="N96" s="18">
        <v>30819</v>
      </c>
      <c r="O96" s="2" t="s">
        <v>382</v>
      </c>
    </row>
    <row r="97" spans="1:15" s="2" customFormat="1" x14ac:dyDescent="0.25">
      <c r="A97" s="2">
        <v>97</v>
      </c>
      <c r="B97" s="2">
        <v>2</v>
      </c>
      <c r="C97" s="2">
        <v>76</v>
      </c>
      <c r="D97" s="2">
        <v>2</v>
      </c>
      <c r="E97" s="2">
        <v>18</v>
      </c>
      <c r="G97" s="2">
        <v>1</v>
      </c>
      <c r="H97" s="2">
        <v>39</v>
      </c>
      <c r="I97" s="2">
        <v>13184271</v>
      </c>
      <c r="J97" s="2" t="s">
        <v>182</v>
      </c>
      <c r="K97" s="2" t="s">
        <v>381</v>
      </c>
      <c r="L97" s="2" t="str">
        <f>"63445030107007"</f>
        <v>63445030107007</v>
      </c>
      <c r="M97" s="2" t="s">
        <v>2</v>
      </c>
      <c r="N97" s="18">
        <v>30820</v>
      </c>
      <c r="O97" s="2" t="s">
        <v>382</v>
      </c>
    </row>
    <row r="98" spans="1:15" s="2" customFormat="1" x14ac:dyDescent="0.25">
      <c r="A98" s="2">
        <v>98</v>
      </c>
      <c r="B98" s="2">
        <v>2</v>
      </c>
      <c r="C98" s="2">
        <v>76</v>
      </c>
      <c r="D98" s="2">
        <v>2</v>
      </c>
      <c r="E98" s="2">
        <v>18</v>
      </c>
      <c r="G98" s="2">
        <v>1</v>
      </c>
      <c r="H98" s="2">
        <v>39</v>
      </c>
      <c r="I98" s="2">
        <v>13184272</v>
      </c>
      <c r="J98" s="2" t="s">
        <v>182</v>
      </c>
      <c r="K98" s="2" t="s">
        <v>381</v>
      </c>
      <c r="L98" s="2" t="str">
        <f>"63445030107008"</f>
        <v>63445030107008</v>
      </c>
      <c r="M98" s="2" t="s">
        <v>2</v>
      </c>
      <c r="N98" s="18">
        <v>30821</v>
      </c>
      <c r="O98" s="2" t="s">
        <v>382</v>
      </c>
    </row>
    <row r="99" spans="1:15" s="2" customFormat="1" x14ac:dyDescent="0.25">
      <c r="A99" s="2">
        <v>99</v>
      </c>
      <c r="B99" s="2">
        <v>2</v>
      </c>
      <c r="C99" s="2">
        <v>76</v>
      </c>
      <c r="D99" s="2">
        <v>2</v>
      </c>
      <c r="E99" s="2">
        <v>18</v>
      </c>
      <c r="G99" s="2">
        <v>1</v>
      </c>
      <c r="H99" s="2">
        <v>39</v>
      </c>
      <c r="I99" s="2">
        <v>13184273</v>
      </c>
      <c r="J99" s="2" t="s">
        <v>182</v>
      </c>
      <c r="K99" s="2" t="s">
        <v>381</v>
      </c>
      <c r="L99" s="2" t="str">
        <f>"63445030107009"</f>
        <v>63445030107009</v>
      </c>
      <c r="M99" s="2" t="s">
        <v>2</v>
      </c>
      <c r="N99" s="18">
        <v>30822</v>
      </c>
      <c r="O99" s="2" t="s">
        <v>382</v>
      </c>
    </row>
    <row r="100" spans="1:15" s="2" customFormat="1" x14ac:dyDescent="0.25">
      <c r="A100" s="2">
        <v>100</v>
      </c>
      <c r="B100" s="2">
        <v>2</v>
      </c>
      <c r="C100" s="2">
        <v>76</v>
      </c>
      <c r="D100" s="2">
        <v>2</v>
      </c>
      <c r="E100" s="2">
        <v>18</v>
      </c>
      <c r="G100" s="2">
        <v>1</v>
      </c>
      <c r="H100" s="2">
        <v>39</v>
      </c>
      <c r="I100" s="2">
        <v>13184274</v>
      </c>
      <c r="J100" s="2" t="s">
        <v>182</v>
      </c>
      <c r="K100" s="2" t="s">
        <v>381</v>
      </c>
      <c r="L100" s="2" t="str">
        <f>"63445030107010"</f>
        <v>63445030107010</v>
      </c>
      <c r="M100" s="2" t="s">
        <v>2</v>
      </c>
      <c r="N100" s="18">
        <v>30823</v>
      </c>
      <c r="O100" s="2" t="s">
        <v>382</v>
      </c>
    </row>
    <row r="101" spans="1:15" s="2" customFormat="1" x14ac:dyDescent="0.25">
      <c r="A101" s="2">
        <v>101</v>
      </c>
      <c r="B101" s="2">
        <v>2</v>
      </c>
      <c r="C101" s="2">
        <v>76</v>
      </c>
      <c r="D101" s="2">
        <v>2</v>
      </c>
      <c r="E101" s="2">
        <v>25</v>
      </c>
      <c r="G101" s="2">
        <v>1</v>
      </c>
      <c r="H101" s="2">
        <v>39</v>
      </c>
      <c r="I101" s="2">
        <v>13184251</v>
      </c>
      <c r="J101" s="2" t="s">
        <v>177</v>
      </c>
      <c r="K101" s="2" t="s">
        <v>383</v>
      </c>
      <c r="L101" s="2" t="str">
        <f>"63445030105003"</f>
        <v>63445030105003</v>
      </c>
      <c r="M101" s="2" t="s">
        <v>2</v>
      </c>
      <c r="N101" s="18">
        <v>30824</v>
      </c>
      <c r="O101" s="2" t="s">
        <v>384</v>
      </c>
    </row>
    <row r="102" spans="1:15" s="2" customFormat="1" x14ac:dyDescent="0.25">
      <c r="A102" s="2">
        <v>102</v>
      </c>
      <c r="B102" s="2">
        <v>2</v>
      </c>
      <c r="C102" s="2">
        <v>76</v>
      </c>
      <c r="D102" s="2">
        <v>2</v>
      </c>
      <c r="E102" s="2">
        <v>25</v>
      </c>
      <c r="G102" s="2">
        <v>1</v>
      </c>
      <c r="H102" s="2">
        <v>39</v>
      </c>
      <c r="I102" s="2">
        <v>13184252</v>
      </c>
      <c r="J102" s="2" t="s">
        <v>177</v>
      </c>
      <c r="K102" s="2" t="s">
        <v>383</v>
      </c>
      <c r="L102" s="2" t="str">
        <f>"63445030105004"</f>
        <v>63445030105004</v>
      </c>
      <c r="M102" s="2" t="s">
        <v>2</v>
      </c>
      <c r="N102" s="18">
        <v>30825</v>
      </c>
      <c r="O102" s="2" t="s">
        <v>384</v>
      </c>
    </row>
    <row r="103" spans="1:15" s="2" customFormat="1" x14ac:dyDescent="0.25">
      <c r="A103" s="2">
        <v>103</v>
      </c>
      <c r="B103" s="2">
        <v>2</v>
      </c>
      <c r="C103" s="2">
        <v>76</v>
      </c>
      <c r="D103" s="2">
        <v>2</v>
      </c>
      <c r="E103" s="2">
        <v>25</v>
      </c>
      <c r="G103" s="2">
        <v>1</v>
      </c>
      <c r="H103" s="2">
        <v>39</v>
      </c>
      <c r="I103" s="2">
        <v>13184253</v>
      </c>
      <c r="J103" s="2" t="s">
        <v>177</v>
      </c>
      <c r="K103" s="2" t="s">
        <v>383</v>
      </c>
      <c r="L103" s="2" t="str">
        <f>"63445030105005"</f>
        <v>63445030105005</v>
      </c>
      <c r="M103" s="2" t="s">
        <v>2</v>
      </c>
      <c r="N103" s="18">
        <v>30826</v>
      </c>
      <c r="O103" s="2" t="s">
        <v>384</v>
      </c>
    </row>
    <row r="104" spans="1:15" s="2" customFormat="1" x14ac:dyDescent="0.25">
      <c r="A104" s="2">
        <v>104</v>
      </c>
      <c r="B104" s="2">
        <v>2</v>
      </c>
      <c r="C104" s="2">
        <v>76</v>
      </c>
      <c r="D104" s="2">
        <v>2</v>
      </c>
      <c r="E104" s="2">
        <v>25</v>
      </c>
      <c r="G104" s="2">
        <v>1</v>
      </c>
      <c r="H104" s="2">
        <v>39</v>
      </c>
      <c r="I104" s="2">
        <v>13184254</v>
      </c>
      <c r="J104" s="2" t="s">
        <v>177</v>
      </c>
      <c r="K104" s="2" t="s">
        <v>383</v>
      </c>
      <c r="L104" s="2" t="str">
        <f>"63445030105006"</f>
        <v>63445030105006</v>
      </c>
      <c r="M104" s="2" t="s">
        <v>2</v>
      </c>
      <c r="N104" s="18">
        <v>30827</v>
      </c>
      <c r="O104" s="2" t="s">
        <v>384</v>
      </c>
    </row>
    <row r="105" spans="1:15" s="2" customFormat="1" x14ac:dyDescent="0.25">
      <c r="A105" s="2">
        <v>105</v>
      </c>
      <c r="B105" s="2">
        <v>2</v>
      </c>
      <c r="C105" s="2">
        <v>76</v>
      </c>
      <c r="D105" s="2">
        <v>2</v>
      </c>
      <c r="E105" s="2">
        <v>25</v>
      </c>
      <c r="G105" s="2">
        <v>1</v>
      </c>
      <c r="H105" s="2">
        <v>39</v>
      </c>
      <c r="I105" s="2">
        <v>13184255</v>
      </c>
      <c r="J105" s="2" t="s">
        <v>177</v>
      </c>
      <c r="K105" s="2" t="s">
        <v>383</v>
      </c>
      <c r="L105" s="2" t="str">
        <f>"63445030105007"</f>
        <v>63445030105007</v>
      </c>
      <c r="M105" s="2" t="s">
        <v>2</v>
      </c>
      <c r="N105" s="18">
        <v>30828</v>
      </c>
      <c r="O105" s="2" t="s">
        <v>384</v>
      </c>
    </row>
    <row r="106" spans="1:15" s="2" customFormat="1" x14ac:dyDescent="0.25">
      <c r="A106" s="2">
        <v>106</v>
      </c>
      <c r="B106" s="2">
        <v>2</v>
      </c>
      <c r="C106" s="2">
        <v>76</v>
      </c>
      <c r="D106" s="2">
        <v>2</v>
      </c>
      <c r="E106" s="2">
        <v>25</v>
      </c>
      <c r="G106" s="2">
        <v>1</v>
      </c>
      <c r="H106" s="2">
        <v>39</v>
      </c>
      <c r="I106" s="2">
        <v>13184256</v>
      </c>
      <c r="J106" s="2" t="s">
        <v>177</v>
      </c>
      <c r="K106" s="2" t="s">
        <v>383</v>
      </c>
      <c r="L106" s="2" t="str">
        <f>"63445030105008"</f>
        <v>63445030105008</v>
      </c>
      <c r="M106" s="2" t="s">
        <v>2</v>
      </c>
      <c r="N106" s="18">
        <v>30829</v>
      </c>
      <c r="O106" s="2" t="s">
        <v>384</v>
      </c>
    </row>
    <row r="107" spans="1:15" s="2" customFormat="1" x14ac:dyDescent="0.25">
      <c r="A107" s="2">
        <v>107</v>
      </c>
      <c r="B107" s="2">
        <v>2</v>
      </c>
      <c r="C107" s="2">
        <v>76</v>
      </c>
      <c r="D107" s="2">
        <v>2</v>
      </c>
      <c r="E107" s="2">
        <v>25</v>
      </c>
      <c r="G107" s="2">
        <v>1</v>
      </c>
      <c r="H107" s="2">
        <v>39</v>
      </c>
      <c r="I107" s="2">
        <v>13184257</v>
      </c>
      <c r="J107" s="2" t="s">
        <v>177</v>
      </c>
      <c r="K107" s="2" t="s">
        <v>383</v>
      </c>
      <c r="L107" s="2" t="str">
        <f>"63445030105009"</f>
        <v>63445030105009</v>
      </c>
      <c r="M107" s="2" t="s">
        <v>2</v>
      </c>
      <c r="N107" s="18">
        <v>30830</v>
      </c>
      <c r="O107" s="2" t="s">
        <v>384</v>
      </c>
    </row>
    <row r="108" spans="1:15" s="2" customFormat="1" x14ac:dyDescent="0.25">
      <c r="A108" s="2">
        <v>108</v>
      </c>
      <c r="B108" s="2">
        <v>2</v>
      </c>
      <c r="C108" s="2">
        <v>76</v>
      </c>
      <c r="D108" s="2">
        <v>2</v>
      </c>
      <c r="E108" s="2">
        <v>25</v>
      </c>
      <c r="G108" s="2">
        <v>1</v>
      </c>
      <c r="H108" s="2">
        <v>39</v>
      </c>
      <c r="I108" s="2">
        <v>13184258</v>
      </c>
      <c r="J108" s="2" t="s">
        <v>177</v>
      </c>
      <c r="K108" s="2" t="s">
        <v>383</v>
      </c>
      <c r="L108" s="2" t="str">
        <f>"63445030105010"</f>
        <v>63445030105010</v>
      </c>
      <c r="M108" s="2" t="s">
        <v>2</v>
      </c>
      <c r="N108" s="18">
        <v>30831</v>
      </c>
      <c r="O108" s="2" t="s">
        <v>384</v>
      </c>
    </row>
    <row r="109" spans="1:15" s="2" customFormat="1" x14ac:dyDescent="0.25">
      <c r="A109" s="2">
        <v>109</v>
      </c>
      <c r="B109" s="2">
        <v>2</v>
      </c>
      <c r="C109" s="2">
        <v>76</v>
      </c>
      <c r="D109" s="2">
        <v>2</v>
      </c>
      <c r="E109" s="2">
        <v>25</v>
      </c>
      <c r="G109" s="2">
        <v>1</v>
      </c>
      <c r="H109" s="2">
        <v>39</v>
      </c>
      <c r="I109" s="2">
        <v>13184259</v>
      </c>
      <c r="J109" s="2" t="s">
        <v>177</v>
      </c>
      <c r="K109" s="2" t="s">
        <v>383</v>
      </c>
      <c r="L109" s="2" t="str">
        <f>"63445030105011"</f>
        <v>63445030105011</v>
      </c>
      <c r="M109" s="2" t="s">
        <v>2</v>
      </c>
      <c r="N109" s="18">
        <v>30832</v>
      </c>
      <c r="O109" s="2" t="s">
        <v>384</v>
      </c>
    </row>
    <row r="110" spans="1:15" s="2" customFormat="1" x14ac:dyDescent="0.25">
      <c r="A110" s="2">
        <v>110</v>
      </c>
      <c r="B110" s="2">
        <v>2</v>
      </c>
      <c r="C110" s="2">
        <v>76</v>
      </c>
      <c r="D110" s="2">
        <v>2</v>
      </c>
      <c r="E110" s="2">
        <v>25</v>
      </c>
      <c r="G110" s="2">
        <v>1</v>
      </c>
      <c r="H110" s="2">
        <v>39</v>
      </c>
      <c r="I110" s="2">
        <v>13184260</v>
      </c>
      <c r="J110" s="2" t="s">
        <v>177</v>
      </c>
      <c r="K110" s="2" t="s">
        <v>383</v>
      </c>
      <c r="L110" s="2" t="str">
        <f>"63445030105012"</f>
        <v>63445030105012</v>
      </c>
      <c r="M110" s="2" t="s">
        <v>2</v>
      </c>
      <c r="N110" s="18">
        <v>30833</v>
      </c>
      <c r="O110" s="2" t="s">
        <v>384</v>
      </c>
    </row>
    <row r="111" spans="1:15" s="2" customFormat="1" x14ac:dyDescent="0.25">
      <c r="A111" s="2">
        <v>111</v>
      </c>
      <c r="B111" s="2">
        <v>2</v>
      </c>
      <c r="C111" s="2">
        <v>76</v>
      </c>
      <c r="D111" s="2">
        <v>2</v>
      </c>
      <c r="E111" s="2">
        <v>25</v>
      </c>
      <c r="G111" s="2">
        <v>1</v>
      </c>
      <c r="H111" s="2">
        <v>39</v>
      </c>
      <c r="I111" s="2">
        <v>13184261</v>
      </c>
      <c r="J111" s="2" t="s">
        <v>177</v>
      </c>
      <c r="K111" s="2" t="s">
        <v>383</v>
      </c>
      <c r="L111" s="2" t="str">
        <f>"63445030105013"</f>
        <v>63445030105013</v>
      </c>
      <c r="M111" s="2" t="s">
        <v>2</v>
      </c>
      <c r="N111" s="18">
        <v>30834</v>
      </c>
      <c r="O111" s="2" t="s">
        <v>384</v>
      </c>
    </row>
    <row r="112" spans="1:15" s="2" customFormat="1" x14ac:dyDescent="0.25">
      <c r="A112" s="2">
        <v>112</v>
      </c>
      <c r="B112" s="2">
        <v>2</v>
      </c>
      <c r="C112" s="2">
        <v>76</v>
      </c>
      <c r="D112" s="2">
        <v>2</v>
      </c>
      <c r="E112" s="2">
        <v>25</v>
      </c>
      <c r="G112" s="2">
        <v>1</v>
      </c>
      <c r="H112" s="2">
        <v>39</v>
      </c>
      <c r="I112" s="2">
        <v>13184262</v>
      </c>
      <c r="J112" s="2" t="s">
        <v>177</v>
      </c>
      <c r="K112" s="2" t="s">
        <v>383</v>
      </c>
      <c r="L112" s="2" t="str">
        <f>"63445030105014"</f>
        <v>63445030105014</v>
      </c>
      <c r="M112" s="2" t="s">
        <v>2</v>
      </c>
      <c r="N112" s="18">
        <v>30835</v>
      </c>
      <c r="O112" s="2" t="s">
        <v>384</v>
      </c>
    </row>
    <row r="113" spans="1:15" s="2" customFormat="1" x14ac:dyDescent="0.25">
      <c r="A113" s="2">
        <v>113</v>
      </c>
      <c r="B113" s="2">
        <v>2</v>
      </c>
      <c r="C113" s="2">
        <v>76</v>
      </c>
      <c r="D113" s="2">
        <v>2</v>
      </c>
      <c r="E113" s="2">
        <v>18</v>
      </c>
      <c r="G113" s="2">
        <v>1</v>
      </c>
      <c r="H113" s="2">
        <v>39</v>
      </c>
      <c r="I113" s="2">
        <v>13184267</v>
      </c>
      <c r="J113" s="2" t="s">
        <v>182</v>
      </c>
      <c r="K113" s="2" t="s">
        <v>385</v>
      </c>
      <c r="L113" s="2" t="str">
        <f>"63445030107003"</f>
        <v>63445030107003</v>
      </c>
      <c r="M113" s="2" t="s">
        <v>2</v>
      </c>
      <c r="N113" s="18">
        <v>30836</v>
      </c>
      <c r="O113" s="2" t="s">
        <v>386</v>
      </c>
    </row>
    <row r="114" spans="1:15" s="2" customFormat="1" x14ac:dyDescent="0.25">
      <c r="A114" s="2">
        <v>114</v>
      </c>
      <c r="B114" s="2">
        <v>2</v>
      </c>
      <c r="C114" s="2">
        <v>76</v>
      </c>
      <c r="D114" s="2">
        <v>2</v>
      </c>
      <c r="E114" s="2">
        <v>18</v>
      </c>
      <c r="G114" s="2">
        <v>1</v>
      </c>
      <c r="H114" s="2">
        <v>39</v>
      </c>
      <c r="I114" s="2">
        <v>13184268</v>
      </c>
      <c r="J114" s="2" t="s">
        <v>182</v>
      </c>
      <c r="K114" s="2" t="s">
        <v>385</v>
      </c>
      <c r="L114" s="2" t="str">
        <f>"63445030107004"</f>
        <v>63445030107004</v>
      </c>
      <c r="M114" s="2" t="s">
        <v>2</v>
      </c>
      <c r="N114" s="18">
        <v>30837</v>
      </c>
      <c r="O114" s="2" t="s">
        <v>386</v>
      </c>
    </row>
    <row r="115" spans="1:15" s="2" customFormat="1" x14ac:dyDescent="0.25">
      <c r="A115" s="2">
        <v>115</v>
      </c>
      <c r="B115" s="2">
        <v>2</v>
      </c>
      <c r="C115" s="2">
        <v>76</v>
      </c>
      <c r="D115" s="2">
        <v>2</v>
      </c>
      <c r="E115" s="2">
        <v>29</v>
      </c>
      <c r="G115" s="2">
        <v>1</v>
      </c>
      <c r="H115" s="2">
        <v>39</v>
      </c>
      <c r="I115" s="2">
        <v>13184316</v>
      </c>
      <c r="J115" s="2" t="s">
        <v>183</v>
      </c>
      <c r="K115" s="2" t="s">
        <v>387</v>
      </c>
      <c r="L115" s="2" t="str">
        <f>"63445030113011"</f>
        <v>63445030113011</v>
      </c>
      <c r="M115" s="2" t="s">
        <v>2</v>
      </c>
      <c r="N115" s="18">
        <v>30838</v>
      </c>
      <c r="O115" s="2" t="s">
        <v>388</v>
      </c>
    </row>
    <row r="116" spans="1:15" s="2" customFormat="1" x14ac:dyDescent="0.25">
      <c r="A116" s="2">
        <v>116</v>
      </c>
      <c r="B116" s="2">
        <v>2</v>
      </c>
      <c r="C116" s="2">
        <v>76</v>
      </c>
      <c r="D116" s="2">
        <v>2</v>
      </c>
      <c r="E116" s="2">
        <v>18</v>
      </c>
      <c r="G116" s="2">
        <v>1</v>
      </c>
      <c r="H116" s="2">
        <v>39</v>
      </c>
      <c r="I116" s="2">
        <v>7606313</v>
      </c>
      <c r="J116" s="2" t="s">
        <v>184</v>
      </c>
      <c r="K116" s="2" t="s">
        <v>379</v>
      </c>
      <c r="L116" s="2" t="str">
        <f>"14101030101003"</f>
        <v>14101030101003</v>
      </c>
      <c r="M116" s="2" t="s">
        <v>2</v>
      </c>
      <c r="N116" s="18">
        <v>30839</v>
      </c>
      <c r="O116" s="2" t="s">
        <v>389</v>
      </c>
    </row>
    <row r="117" spans="1:15" s="2" customFormat="1" x14ac:dyDescent="0.25">
      <c r="A117" s="2">
        <v>117</v>
      </c>
      <c r="B117" s="2">
        <v>2</v>
      </c>
      <c r="C117" s="2">
        <v>76</v>
      </c>
      <c r="D117" s="2">
        <v>2</v>
      </c>
      <c r="E117" s="2">
        <v>18</v>
      </c>
      <c r="G117" s="2">
        <v>1</v>
      </c>
      <c r="H117" s="2">
        <v>39</v>
      </c>
      <c r="I117" s="2">
        <v>7606312</v>
      </c>
      <c r="J117" s="2" t="s">
        <v>184</v>
      </c>
      <c r="K117" s="2" t="s">
        <v>379</v>
      </c>
      <c r="L117" s="2" t="str">
        <f>"14101030101002"</f>
        <v>14101030101002</v>
      </c>
      <c r="M117" s="2" t="s">
        <v>2</v>
      </c>
      <c r="N117" s="18">
        <v>30840</v>
      </c>
      <c r="O117" s="2" t="s">
        <v>389</v>
      </c>
    </row>
    <row r="118" spans="1:15" s="2" customFormat="1" x14ac:dyDescent="0.25">
      <c r="A118" s="2">
        <v>118</v>
      </c>
      <c r="B118" s="2">
        <v>2</v>
      </c>
      <c r="C118" s="2">
        <v>76</v>
      </c>
      <c r="D118" s="2">
        <v>2</v>
      </c>
      <c r="E118" s="2">
        <v>10</v>
      </c>
      <c r="G118" s="2">
        <v>1</v>
      </c>
      <c r="H118" s="2">
        <v>39</v>
      </c>
      <c r="I118" s="2">
        <v>7606339</v>
      </c>
      <c r="J118" s="2" t="s">
        <v>182</v>
      </c>
      <c r="K118" s="2" t="s">
        <v>350</v>
      </c>
      <c r="L118" s="2" t="str">
        <f>"14101030106001"</f>
        <v>14101030106001</v>
      </c>
      <c r="M118" s="2" t="s">
        <v>2</v>
      </c>
      <c r="N118" s="18">
        <v>30841</v>
      </c>
      <c r="O118" s="2" t="s">
        <v>390</v>
      </c>
    </row>
    <row r="119" spans="1:15" s="2" customFormat="1" x14ac:dyDescent="0.25">
      <c r="A119" s="2">
        <v>119</v>
      </c>
      <c r="B119" s="2">
        <v>2</v>
      </c>
      <c r="C119" s="2">
        <v>76</v>
      </c>
      <c r="D119" s="2">
        <v>2</v>
      </c>
      <c r="E119" s="2">
        <v>18</v>
      </c>
      <c r="G119" s="2">
        <v>1</v>
      </c>
      <c r="H119" s="2">
        <v>39</v>
      </c>
      <c r="I119" s="2">
        <v>7606311</v>
      </c>
      <c r="J119" s="2" t="s">
        <v>184</v>
      </c>
      <c r="K119" s="2" t="s">
        <v>379</v>
      </c>
      <c r="L119" s="2" t="str">
        <f>"14101030101001"</f>
        <v>14101030101001</v>
      </c>
      <c r="M119" s="2" t="s">
        <v>2</v>
      </c>
      <c r="N119" s="18">
        <v>30842</v>
      </c>
      <c r="O119" s="2" t="s">
        <v>389</v>
      </c>
    </row>
    <row r="120" spans="1:15" s="2" customFormat="1" x14ac:dyDescent="0.25">
      <c r="A120" s="2">
        <v>120</v>
      </c>
      <c r="B120" s="2">
        <v>2</v>
      </c>
      <c r="C120" s="2">
        <v>76</v>
      </c>
      <c r="D120" s="2">
        <v>2</v>
      </c>
      <c r="E120" s="2">
        <v>19</v>
      </c>
      <c r="G120" s="2">
        <v>1</v>
      </c>
      <c r="H120" s="2">
        <v>39</v>
      </c>
      <c r="I120" s="2">
        <v>7606347</v>
      </c>
      <c r="J120" s="2" t="s">
        <v>186</v>
      </c>
      <c r="K120" s="2" t="s">
        <v>350</v>
      </c>
      <c r="L120" s="2" t="str">
        <f>"14101030109002"</f>
        <v>14101030109002</v>
      </c>
      <c r="M120" s="2" t="s">
        <v>2</v>
      </c>
      <c r="N120" s="18">
        <v>30843</v>
      </c>
      <c r="O120" s="2" t="s">
        <v>391</v>
      </c>
    </row>
    <row r="121" spans="1:15" s="2" customFormat="1" x14ac:dyDescent="0.25">
      <c r="A121" s="2">
        <v>121</v>
      </c>
      <c r="B121" s="2">
        <v>2</v>
      </c>
      <c r="C121" s="2">
        <v>76</v>
      </c>
      <c r="D121" s="2">
        <v>2</v>
      </c>
      <c r="E121" s="2">
        <v>12</v>
      </c>
      <c r="G121" s="2">
        <v>1</v>
      </c>
      <c r="H121" s="2">
        <v>39</v>
      </c>
      <c r="I121" s="2">
        <v>7606345</v>
      </c>
      <c r="J121" s="2" t="s">
        <v>187</v>
      </c>
      <c r="K121" s="2" t="s">
        <v>392</v>
      </c>
      <c r="L121" s="2" t="str">
        <f>"14101030108002"</f>
        <v>14101030108002</v>
      </c>
      <c r="M121" s="2" t="s">
        <v>2</v>
      </c>
      <c r="N121" s="18">
        <v>30844</v>
      </c>
      <c r="O121" s="2" t="s">
        <v>393</v>
      </c>
    </row>
    <row r="122" spans="1:15" s="2" customFormat="1" x14ac:dyDescent="0.25">
      <c r="A122" s="2">
        <v>122</v>
      </c>
      <c r="B122" s="2">
        <v>2</v>
      </c>
      <c r="C122" s="2">
        <v>76</v>
      </c>
      <c r="D122" s="2">
        <v>2</v>
      </c>
      <c r="E122" s="2">
        <v>18</v>
      </c>
      <c r="G122" s="2">
        <v>1</v>
      </c>
      <c r="H122" s="2">
        <v>39</v>
      </c>
      <c r="I122" s="2">
        <v>7606314</v>
      </c>
      <c r="J122" s="2" t="s">
        <v>184</v>
      </c>
      <c r="K122" s="2" t="s">
        <v>379</v>
      </c>
      <c r="L122" s="2" t="str">
        <f>"14101030101004"</f>
        <v>14101030101004</v>
      </c>
      <c r="M122" s="2" t="s">
        <v>2</v>
      </c>
      <c r="N122" s="18">
        <v>30845</v>
      </c>
      <c r="O122" s="2" t="s">
        <v>389</v>
      </c>
    </row>
    <row r="123" spans="1:15" s="2" customFormat="1" x14ac:dyDescent="0.25">
      <c r="A123" s="2">
        <v>123</v>
      </c>
      <c r="B123" s="2">
        <v>2</v>
      </c>
      <c r="C123" s="2">
        <v>76</v>
      </c>
      <c r="D123" s="2">
        <v>2</v>
      </c>
      <c r="E123" s="2">
        <v>18</v>
      </c>
      <c r="G123" s="2">
        <v>1</v>
      </c>
      <c r="H123" s="2">
        <v>39</v>
      </c>
      <c r="I123" s="2">
        <v>7606320</v>
      </c>
      <c r="J123" s="2" t="s">
        <v>185</v>
      </c>
      <c r="K123" s="2" t="s">
        <v>394</v>
      </c>
      <c r="L123" s="2" t="str">
        <f>"14101030105001"</f>
        <v>14101030105001</v>
      </c>
      <c r="M123" s="2" t="s">
        <v>2</v>
      </c>
      <c r="N123" s="18">
        <v>30846</v>
      </c>
      <c r="O123" s="2" t="s">
        <v>395</v>
      </c>
    </row>
    <row r="124" spans="1:15" s="2" customFormat="1" x14ac:dyDescent="0.25">
      <c r="A124" s="2">
        <v>124</v>
      </c>
      <c r="B124" s="2">
        <v>2</v>
      </c>
      <c r="C124" s="2">
        <v>76</v>
      </c>
      <c r="D124" s="2">
        <v>2</v>
      </c>
      <c r="E124" s="2">
        <v>18</v>
      </c>
      <c r="G124" s="2">
        <v>1</v>
      </c>
      <c r="H124" s="2">
        <v>39</v>
      </c>
      <c r="I124" s="2">
        <v>7606321</v>
      </c>
      <c r="J124" s="2" t="s">
        <v>185</v>
      </c>
      <c r="K124" s="2" t="s">
        <v>394</v>
      </c>
      <c r="L124" s="2" t="str">
        <f>"14101030105002"</f>
        <v>14101030105002</v>
      </c>
      <c r="M124" s="2" t="s">
        <v>2</v>
      </c>
      <c r="N124" s="18">
        <v>30847</v>
      </c>
      <c r="O124" s="2" t="s">
        <v>396</v>
      </c>
    </row>
    <row r="125" spans="1:15" s="2" customFormat="1" x14ac:dyDescent="0.25">
      <c r="A125" s="2">
        <v>125</v>
      </c>
      <c r="B125" s="2">
        <v>2</v>
      </c>
      <c r="C125" s="2">
        <v>76</v>
      </c>
      <c r="D125" s="2">
        <v>2</v>
      </c>
      <c r="E125" s="2">
        <v>18</v>
      </c>
      <c r="G125" s="2">
        <v>1</v>
      </c>
      <c r="H125" s="2">
        <v>39</v>
      </c>
      <c r="I125" s="2">
        <v>7606322</v>
      </c>
      <c r="J125" s="2" t="s">
        <v>185</v>
      </c>
      <c r="K125" s="2" t="s">
        <v>394</v>
      </c>
      <c r="L125" s="2" t="str">
        <f>"14101030105003"</f>
        <v>14101030105003</v>
      </c>
      <c r="M125" s="2" t="s">
        <v>2</v>
      </c>
      <c r="N125" s="18">
        <v>30848</v>
      </c>
      <c r="O125" s="2" t="s">
        <v>396</v>
      </c>
    </row>
    <row r="126" spans="1:15" s="2" customFormat="1" x14ac:dyDescent="0.25">
      <c r="A126" s="2">
        <v>126</v>
      </c>
      <c r="B126" s="2">
        <v>2</v>
      </c>
      <c r="C126" s="2">
        <v>76</v>
      </c>
      <c r="D126" s="2">
        <v>2</v>
      </c>
      <c r="E126" s="2">
        <v>18</v>
      </c>
      <c r="G126" s="2">
        <v>1</v>
      </c>
      <c r="H126" s="2">
        <v>39</v>
      </c>
      <c r="I126" s="2">
        <v>7606323</v>
      </c>
      <c r="J126" s="2" t="s">
        <v>185</v>
      </c>
      <c r="K126" s="2" t="s">
        <v>394</v>
      </c>
      <c r="L126" s="2" t="str">
        <f>"14101030105004"</f>
        <v>14101030105004</v>
      </c>
      <c r="M126" s="2" t="s">
        <v>2</v>
      </c>
      <c r="N126" s="18">
        <v>30849</v>
      </c>
      <c r="O126" s="2" t="s">
        <v>396</v>
      </c>
    </row>
    <row r="127" spans="1:15" s="2" customFormat="1" x14ac:dyDescent="0.25">
      <c r="A127" s="2">
        <v>127</v>
      </c>
      <c r="B127" s="2">
        <v>2</v>
      </c>
      <c r="C127" s="2">
        <v>76</v>
      </c>
      <c r="D127" s="2">
        <v>2</v>
      </c>
      <c r="E127" s="2">
        <v>18</v>
      </c>
      <c r="G127" s="2">
        <v>1</v>
      </c>
      <c r="H127" s="2">
        <v>39</v>
      </c>
      <c r="I127" s="2">
        <v>7606324</v>
      </c>
      <c r="J127" s="2" t="s">
        <v>185</v>
      </c>
      <c r="K127" s="2" t="s">
        <v>394</v>
      </c>
      <c r="L127" s="2" t="str">
        <f>"14101030105005"</f>
        <v>14101030105005</v>
      </c>
      <c r="M127" s="2" t="s">
        <v>2</v>
      </c>
      <c r="N127" s="18">
        <v>30850</v>
      </c>
      <c r="O127" s="2" t="s">
        <v>396</v>
      </c>
    </row>
    <row r="128" spans="1:15" s="2" customFormat="1" x14ac:dyDescent="0.25">
      <c r="A128" s="2">
        <v>128</v>
      </c>
      <c r="B128" s="2">
        <v>2</v>
      </c>
      <c r="C128" s="2">
        <v>76</v>
      </c>
      <c r="D128" s="2">
        <v>2</v>
      </c>
      <c r="E128" s="2">
        <v>18</v>
      </c>
      <c r="G128" s="2">
        <v>1</v>
      </c>
      <c r="H128" s="2">
        <v>39</v>
      </c>
      <c r="I128" s="2">
        <v>7606340</v>
      </c>
      <c r="J128" s="2" t="s">
        <v>188</v>
      </c>
      <c r="K128" s="2" t="s">
        <v>397</v>
      </c>
      <c r="L128" s="2" t="str">
        <f>"14101030106002"</f>
        <v>14101030106002</v>
      </c>
      <c r="M128" s="2" t="s">
        <v>2</v>
      </c>
      <c r="N128" s="18">
        <v>30851</v>
      </c>
      <c r="O128" s="2" t="s">
        <v>398</v>
      </c>
    </row>
    <row r="129" spans="1:15" s="2" customFormat="1" x14ac:dyDescent="0.25">
      <c r="A129" s="2">
        <v>129</v>
      </c>
      <c r="B129" s="2">
        <v>2</v>
      </c>
      <c r="C129" s="2">
        <v>76</v>
      </c>
      <c r="D129" s="2">
        <v>2</v>
      </c>
      <c r="E129" s="2">
        <v>2</v>
      </c>
      <c r="G129" s="2">
        <v>1</v>
      </c>
      <c r="H129" s="2">
        <v>39</v>
      </c>
      <c r="I129" s="2">
        <v>13184263</v>
      </c>
      <c r="J129" s="2" t="s">
        <v>177</v>
      </c>
      <c r="K129" s="2" t="s">
        <v>399</v>
      </c>
      <c r="L129" s="2" t="str">
        <f>"63445030105015"</f>
        <v>63445030105015</v>
      </c>
      <c r="M129" s="2" t="s">
        <v>2</v>
      </c>
      <c r="N129" s="18">
        <v>30852</v>
      </c>
      <c r="O129" s="2" t="s">
        <v>400</v>
      </c>
    </row>
    <row r="130" spans="1:15" s="2" customFormat="1" x14ac:dyDescent="0.25">
      <c r="A130" s="2">
        <v>130</v>
      </c>
      <c r="B130" s="2">
        <v>2</v>
      </c>
      <c r="C130" s="2">
        <v>76</v>
      </c>
      <c r="D130" s="2">
        <v>2</v>
      </c>
      <c r="E130" s="2">
        <v>2</v>
      </c>
      <c r="G130" s="2">
        <v>1</v>
      </c>
      <c r="H130" s="2">
        <v>39</v>
      </c>
      <c r="I130" s="2">
        <v>13184264</v>
      </c>
      <c r="J130" s="2" t="s">
        <v>177</v>
      </c>
      <c r="K130" s="2" t="s">
        <v>399</v>
      </c>
      <c r="L130" s="2" t="str">
        <f>"63445030105016"</f>
        <v>63445030105016</v>
      </c>
      <c r="M130" s="2" t="s">
        <v>2</v>
      </c>
      <c r="N130" s="18">
        <v>30853</v>
      </c>
      <c r="O130" s="2" t="s">
        <v>400</v>
      </c>
    </row>
    <row r="131" spans="1:15" s="2" customFormat="1" x14ac:dyDescent="0.25">
      <c r="A131" s="2">
        <v>131</v>
      </c>
      <c r="B131" s="2">
        <v>2</v>
      </c>
      <c r="C131" s="2">
        <v>76</v>
      </c>
      <c r="D131" s="2">
        <v>2</v>
      </c>
      <c r="E131" s="2">
        <v>2</v>
      </c>
      <c r="G131" s="2">
        <v>1</v>
      </c>
      <c r="H131" s="2">
        <v>39</v>
      </c>
      <c r="I131" s="2">
        <v>13184317</v>
      </c>
      <c r="J131" s="2" t="s">
        <v>183</v>
      </c>
      <c r="K131" s="2" t="s">
        <v>387</v>
      </c>
      <c r="L131" s="2" t="str">
        <f>"63445030113012"</f>
        <v>63445030113012</v>
      </c>
      <c r="M131" s="2" t="s">
        <v>2</v>
      </c>
      <c r="N131" s="18">
        <v>30854</v>
      </c>
      <c r="O131" s="2" t="s">
        <v>401</v>
      </c>
    </row>
    <row r="132" spans="1:15" s="2" customFormat="1" x14ac:dyDescent="0.25">
      <c r="A132" s="2">
        <v>132</v>
      </c>
      <c r="B132" s="2">
        <v>2</v>
      </c>
      <c r="C132" s="2">
        <v>76</v>
      </c>
      <c r="D132" s="2">
        <v>2</v>
      </c>
      <c r="E132" s="2">
        <v>2</v>
      </c>
      <c r="G132" s="2">
        <v>1</v>
      </c>
      <c r="H132" s="2">
        <v>39</v>
      </c>
      <c r="I132" s="2">
        <v>13184318</v>
      </c>
      <c r="J132" s="2" t="s">
        <v>183</v>
      </c>
      <c r="K132" s="2" t="s">
        <v>387</v>
      </c>
      <c r="L132" s="2" t="str">
        <f>"63445030113013"</f>
        <v>63445030113013</v>
      </c>
      <c r="M132" s="2" t="s">
        <v>2</v>
      </c>
      <c r="N132" s="18">
        <v>30855</v>
      </c>
      <c r="O132" s="2" t="s">
        <v>401</v>
      </c>
    </row>
    <row r="133" spans="1:15" s="2" customFormat="1" x14ac:dyDescent="0.25">
      <c r="A133" s="2">
        <v>133</v>
      </c>
      <c r="B133" s="2">
        <v>2</v>
      </c>
      <c r="C133" s="2">
        <v>76</v>
      </c>
      <c r="D133" s="2">
        <v>2</v>
      </c>
      <c r="E133" s="2">
        <v>2</v>
      </c>
      <c r="G133" s="2">
        <v>1</v>
      </c>
      <c r="H133" s="2">
        <v>39</v>
      </c>
      <c r="I133" s="2">
        <v>13184319</v>
      </c>
      <c r="J133" s="2" t="s">
        <v>183</v>
      </c>
      <c r="K133" s="2" t="s">
        <v>387</v>
      </c>
      <c r="L133" s="2" t="str">
        <f>"63445030113014"</f>
        <v>63445030113014</v>
      </c>
      <c r="M133" s="2" t="s">
        <v>2</v>
      </c>
      <c r="N133" s="18">
        <v>30856</v>
      </c>
      <c r="O133" s="2" t="s">
        <v>401</v>
      </c>
    </row>
    <row r="134" spans="1:15" s="2" customFormat="1" x14ac:dyDescent="0.25">
      <c r="A134" s="2">
        <v>134</v>
      </c>
      <c r="B134" s="2">
        <v>2</v>
      </c>
      <c r="C134" s="2">
        <v>76</v>
      </c>
      <c r="D134" s="2">
        <v>2</v>
      </c>
      <c r="E134" s="2">
        <v>2</v>
      </c>
      <c r="G134" s="2">
        <v>1</v>
      </c>
      <c r="H134" s="2">
        <v>39</v>
      </c>
      <c r="I134" s="2">
        <v>13184320</v>
      </c>
      <c r="J134" s="2" t="s">
        <v>183</v>
      </c>
      <c r="K134" s="2" t="s">
        <v>387</v>
      </c>
      <c r="L134" s="2" t="str">
        <f>"63445030113015"</f>
        <v>63445030113015</v>
      </c>
      <c r="M134" s="2" t="s">
        <v>2</v>
      </c>
      <c r="N134" s="18">
        <v>30857</v>
      </c>
      <c r="O134" s="2" t="s">
        <v>401</v>
      </c>
    </row>
    <row r="135" spans="1:15" s="2" customFormat="1" x14ac:dyDescent="0.25">
      <c r="A135" s="2">
        <v>135</v>
      </c>
      <c r="B135" s="2">
        <v>2</v>
      </c>
      <c r="C135" s="2">
        <v>76</v>
      </c>
      <c r="D135" s="2">
        <v>2</v>
      </c>
      <c r="E135" s="2">
        <v>2</v>
      </c>
      <c r="G135" s="2">
        <v>1</v>
      </c>
      <c r="H135" s="2">
        <v>39</v>
      </c>
      <c r="I135" s="2">
        <v>13184321</v>
      </c>
      <c r="J135" s="2" t="s">
        <v>183</v>
      </c>
      <c r="K135" s="2" t="s">
        <v>387</v>
      </c>
      <c r="L135" s="2" t="str">
        <f>"63445030113016"</f>
        <v>63445030113016</v>
      </c>
      <c r="M135" s="2" t="s">
        <v>2</v>
      </c>
      <c r="N135" s="18">
        <v>30858</v>
      </c>
      <c r="O135" s="2" t="s">
        <v>401</v>
      </c>
    </row>
    <row r="136" spans="1:15" s="2" customFormat="1" x14ac:dyDescent="0.25">
      <c r="A136" s="2">
        <v>136</v>
      </c>
      <c r="B136" s="2">
        <v>2</v>
      </c>
      <c r="C136" s="2">
        <v>76</v>
      </c>
      <c r="D136" s="2">
        <v>2</v>
      </c>
      <c r="E136" s="2">
        <v>2</v>
      </c>
      <c r="G136" s="2">
        <v>1</v>
      </c>
      <c r="H136" s="2">
        <v>39</v>
      </c>
      <c r="I136" s="2">
        <v>7606374</v>
      </c>
      <c r="J136" s="2" t="s">
        <v>189</v>
      </c>
      <c r="K136" s="2" t="s">
        <v>402</v>
      </c>
      <c r="L136" s="2" t="str">
        <f>"14101030112002"</f>
        <v>14101030112002</v>
      </c>
      <c r="M136" s="2" t="s">
        <v>2</v>
      </c>
      <c r="N136" s="18">
        <v>30859</v>
      </c>
      <c r="O136" s="2" t="s">
        <v>403</v>
      </c>
    </row>
    <row r="137" spans="1:15" s="2" customFormat="1" x14ac:dyDescent="0.25">
      <c r="A137" s="2">
        <v>137</v>
      </c>
      <c r="B137" s="2">
        <v>2</v>
      </c>
      <c r="C137" s="2">
        <v>76</v>
      </c>
      <c r="D137" s="2">
        <v>2</v>
      </c>
      <c r="E137" s="2">
        <v>23</v>
      </c>
      <c r="G137" s="2">
        <v>1</v>
      </c>
      <c r="H137" s="2">
        <v>39</v>
      </c>
      <c r="I137" s="2">
        <v>13184275</v>
      </c>
      <c r="J137" s="2" t="s">
        <v>190</v>
      </c>
      <c r="K137" s="2" t="s">
        <v>350</v>
      </c>
      <c r="L137" s="2" t="str">
        <f>"63445030108001"</f>
        <v>63445030108001</v>
      </c>
      <c r="M137" s="2" t="s">
        <v>2</v>
      </c>
      <c r="N137" s="18">
        <v>30860</v>
      </c>
      <c r="O137" s="2">
        <v>80</v>
      </c>
    </row>
    <row r="138" spans="1:15" s="2" customFormat="1" x14ac:dyDescent="0.25">
      <c r="A138" s="2">
        <v>138</v>
      </c>
      <c r="B138" s="2">
        <v>2</v>
      </c>
      <c r="C138" s="2">
        <v>76</v>
      </c>
      <c r="D138" s="2">
        <v>2</v>
      </c>
      <c r="E138" s="2">
        <v>23</v>
      </c>
      <c r="G138" s="2">
        <v>1</v>
      </c>
      <c r="H138" s="2">
        <v>39</v>
      </c>
      <c r="I138" s="2">
        <v>13184276</v>
      </c>
      <c r="J138" s="2" t="s">
        <v>190</v>
      </c>
      <c r="K138" s="2" t="s">
        <v>350</v>
      </c>
      <c r="L138" s="2" t="str">
        <f>"63445030108002"</f>
        <v>63445030108002</v>
      </c>
      <c r="M138" s="2" t="s">
        <v>2</v>
      </c>
      <c r="N138" s="18">
        <v>30861</v>
      </c>
      <c r="O138" s="2">
        <v>80</v>
      </c>
    </row>
    <row r="139" spans="1:15" s="2" customFormat="1" x14ac:dyDescent="0.25">
      <c r="A139" s="2">
        <v>139</v>
      </c>
      <c r="B139" s="2">
        <v>2</v>
      </c>
      <c r="C139" s="2">
        <v>76</v>
      </c>
      <c r="D139" s="2">
        <v>2</v>
      </c>
      <c r="E139" s="2">
        <v>23</v>
      </c>
      <c r="G139" s="2">
        <v>1</v>
      </c>
      <c r="H139" s="2">
        <v>39</v>
      </c>
      <c r="I139" s="2">
        <v>13184277</v>
      </c>
      <c r="J139" s="2" t="s">
        <v>190</v>
      </c>
      <c r="K139" s="2" t="s">
        <v>350</v>
      </c>
      <c r="L139" s="2" t="str">
        <f>"63445030108003"</f>
        <v>63445030108003</v>
      </c>
      <c r="M139" s="2" t="s">
        <v>2</v>
      </c>
      <c r="N139" s="18">
        <v>30862</v>
      </c>
      <c r="O139" s="2">
        <v>80</v>
      </c>
    </row>
    <row r="140" spans="1:15" s="2" customFormat="1" x14ac:dyDescent="0.25">
      <c r="A140" s="2">
        <v>140</v>
      </c>
      <c r="B140" s="2">
        <v>2</v>
      </c>
      <c r="C140" s="2">
        <v>76</v>
      </c>
      <c r="D140" s="2">
        <v>2</v>
      </c>
      <c r="E140" s="2">
        <v>23</v>
      </c>
      <c r="G140" s="2">
        <v>1</v>
      </c>
      <c r="H140" s="2">
        <v>39</v>
      </c>
      <c r="I140" s="2">
        <v>13184278</v>
      </c>
      <c r="J140" s="2" t="s">
        <v>190</v>
      </c>
      <c r="K140" s="2" t="s">
        <v>350</v>
      </c>
      <c r="L140" s="2" t="str">
        <f>"63445030108004"</f>
        <v>63445030108004</v>
      </c>
      <c r="M140" s="2" t="s">
        <v>2</v>
      </c>
      <c r="N140" s="18">
        <v>30863</v>
      </c>
      <c r="O140" s="2">
        <v>80</v>
      </c>
    </row>
    <row r="141" spans="1:15" s="2" customFormat="1" x14ac:dyDescent="0.25">
      <c r="A141" s="2">
        <v>141</v>
      </c>
      <c r="B141" s="2">
        <v>2</v>
      </c>
      <c r="C141" s="2">
        <v>76</v>
      </c>
      <c r="D141" s="2">
        <v>2</v>
      </c>
      <c r="E141" s="2">
        <v>23</v>
      </c>
      <c r="G141" s="2">
        <v>1</v>
      </c>
      <c r="H141" s="2">
        <v>39</v>
      </c>
      <c r="I141" s="2">
        <v>13184279</v>
      </c>
      <c r="J141" s="2" t="s">
        <v>190</v>
      </c>
      <c r="K141" s="2" t="s">
        <v>350</v>
      </c>
      <c r="L141" s="2" t="str">
        <f>"63445030108005"</f>
        <v>63445030108005</v>
      </c>
      <c r="M141" s="2" t="s">
        <v>2</v>
      </c>
      <c r="N141" s="18">
        <v>30864</v>
      </c>
      <c r="O141" s="2">
        <v>80</v>
      </c>
    </row>
    <row r="142" spans="1:15" s="2" customFormat="1" x14ac:dyDescent="0.25">
      <c r="A142" s="2">
        <v>142</v>
      </c>
      <c r="B142" s="2">
        <v>2</v>
      </c>
      <c r="C142" s="2">
        <v>76</v>
      </c>
      <c r="D142" s="2">
        <v>2</v>
      </c>
      <c r="E142" s="2">
        <v>23</v>
      </c>
      <c r="G142" s="2">
        <v>1</v>
      </c>
      <c r="H142" s="2">
        <v>39</v>
      </c>
      <c r="I142" s="2">
        <v>13184280</v>
      </c>
      <c r="J142" s="2" t="s">
        <v>190</v>
      </c>
      <c r="K142" s="2" t="s">
        <v>350</v>
      </c>
      <c r="L142" s="2" t="str">
        <f>"63445030108006"</f>
        <v>63445030108006</v>
      </c>
      <c r="M142" s="2" t="s">
        <v>2</v>
      </c>
      <c r="N142" s="18">
        <v>30865</v>
      </c>
      <c r="O142" s="2">
        <v>80</v>
      </c>
    </row>
    <row r="143" spans="1:15" s="2" customFormat="1" x14ac:dyDescent="0.25">
      <c r="A143" s="2">
        <v>143</v>
      </c>
      <c r="B143" s="2">
        <v>2</v>
      </c>
      <c r="C143" s="2">
        <v>76</v>
      </c>
      <c r="D143" s="2">
        <v>2</v>
      </c>
      <c r="E143" s="2">
        <v>23</v>
      </c>
      <c r="G143" s="2">
        <v>1</v>
      </c>
      <c r="H143" s="2">
        <v>39</v>
      </c>
      <c r="I143" s="2">
        <v>13184281</v>
      </c>
      <c r="J143" s="2" t="s">
        <v>190</v>
      </c>
      <c r="K143" s="2" t="s">
        <v>350</v>
      </c>
      <c r="L143" s="2" t="str">
        <f>"63445030108007"</f>
        <v>63445030108007</v>
      </c>
      <c r="M143" s="2" t="s">
        <v>2</v>
      </c>
      <c r="N143" s="18">
        <v>30866</v>
      </c>
      <c r="O143" s="2">
        <v>80</v>
      </c>
    </row>
    <row r="144" spans="1:15" s="2" customFormat="1" x14ac:dyDescent="0.25">
      <c r="A144" s="2">
        <v>144</v>
      </c>
      <c r="B144" s="2">
        <v>2</v>
      </c>
      <c r="C144" s="2">
        <v>76</v>
      </c>
      <c r="D144" s="2">
        <v>2</v>
      </c>
      <c r="E144" s="2">
        <v>23</v>
      </c>
      <c r="G144" s="2">
        <v>1</v>
      </c>
      <c r="H144" s="2">
        <v>39</v>
      </c>
      <c r="I144" s="2">
        <v>13184282</v>
      </c>
      <c r="J144" s="2" t="s">
        <v>190</v>
      </c>
      <c r="K144" s="2" t="s">
        <v>350</v>
      </c>
      <c r="L144" s="2" t="str">
        <f>"63445030108008"</f>
        <v>63445030108008</v>
      </c>
      <c r="M144" s="2" t="s">
        <v>2</v>
      </c>
      <c r="N144" s="18">
        <v>30867</v>
      </c>
      <c r="O144" s="2">
        <v>80</v>
      </c>
    </row>
    <row r="145" spans="1:15" s="2" customFormat="1" x14ac:dyDescent="0.25">
      <c r="A145" s="2">
        <v>145</v>
      </c>
      <c r="B145" s="2">
        <v>2</v>
      </c>
      <c r="C145" s="2">
        <v>76</v>
      </c>
      <c r="D145" s="2">
        <v>2</v>
      </c>
      <c r="E145" s="2">
        <v>23</v>
      </c>
      <c r="G145" s="2">
        <v>1</v>
      </c>
      <c r="H145" s="2">
        <v>39</v>
      </c>
      <c r="I145" s="2">
        <v>13184283</v>
      </c>
      <c r="J145" s="2" t="s">
        <v>190</v>
      </c>
      <c r="K145" s="2" t="s">
        <v>350</v>
      </c>
      <c r="L145" s="2" t="str">
        <f>"63445030108009"</f>
        <v>63445030108009</v>
      </c>
      <c r="M145" s="2" t="s">
        <v>2</v>
      </c>
      <c r="N145" s="18">
        <v>30868</v>
      </c>
      <c r="O145" s="2">
        <v>80</v>
      </c>
    </row>
    <row r="146" spans="1:15" s="2" customFormat="1" x14ac:dyDescent="0.25">
      <c r="A146" s="2">
        <v>146</v>
      </c>
      <c r="B146" s="2">
        <v>2</v>
      </c>
      <c r="C146" s="2">
        <v>76</v>
      </c>
      <c r="D146" s="2">
        <v>2</v>
      </c>
      <c r="E146" s="2">
        <v>23</v>
      </c>
      <c r="G146" s="2">
        <v>1</v>
      </c>
      <c r="H146" s="2">
        <v>39</v>
      </c>
      <c r="I146" s="2">
        <v>13184284</v>
      </c>
      <c r="J146" s="2" t="s">
        <v>190</v>
      </c>
      <c r="K146" s="2" t="s">
        <v>350</v>
      </c>
      <c r="L146" s="2" t="str">
        <f>"63445030108010"</f>
        <v>63445030108010</v>
      </c>
      <c r="M146" s="2" t="s">
        <v>2</v>
      </c>
      <c r="N146" s="18">
        <v>30869</v>
      </c>
      <c r="O146" s="2">
        <v>80</v>
      </c>
    </row>
    <row r="147" spans="1:15" s="2" customFormat="1" x14ac:dyDescent="0.25">
      <c r="A147" s="2">
        <v>147</v>
      </c>
      <c r="B147" s="2">
        <v>2</v>
      </c>
      <c r="C147" s="2">
        <v>76</v>
      </c>
      <c r="D147" s="2">
        <v>2</v>
      </c>
      <c r="E147" s="2">
        <v>20</v>
      </c>
      <c r="G147" s="2">
        <v>1</v>
      </c>
      <c r="H147" s="2">
        <v>39</v>
      </c>
      <c r="I147" s="2">
        <v>7606382</v>
      </c>
      <c r="J147" s="2" t="s">
        <v>189</v>
      </c>
      <c r="K147" s="2" t="s">
        <v>404</v>
      </c>
      <c r="L147" s="2" t="str">
        <f>"14101030112012"</f>
        <v>14101030112012</v>
      </c>
      <c r="M147" s="2" t="s">
        <v>2</v>
      </c>
      <c r="N147" s="18">
        <v>30870</v>
      </c>
      <c r="O147" s="2">
        <v>140</v>
      </c>
    </row>
    <row r="148" spans="1:15" s="2" customFormat="1" x14ac:dyDescent="0.25">
      <c r="A148" s="2">
        <v>148</v>
      </c>
      <c r="B148" s="2">
        <v>2</v>
      </c>
      <c r="C148" s="2">
        <v>76</v>
      </c>
      <c r="D148" s="2">
        <v>3</v>
      </c>
      <c r="E148" s="2">
        <v>27</v>
      </c>
      <c r="G148" s="2">
        <v>1</v>
      </c>
      <c r="H148" s="2">
        <v>39</v>
      </c>
      <c r="I148" s="2">
        <v>7606412</v>
      </c>
      <c r="J148" s="2" t="s">
        <v>191</v>
      </c>
      <c r="K148" s="2" t="s">
        <v>405</v>
      </c>
      <c r="L148" s="2" t="str">
        <f>"14101030115001"</f>
        <v>14101030115001</v>
      </c>
      <c r="M148" s="2" t="s">
        <v>2</v>
      </c>
      <c r="N148" s="18">
        <v>30871</v>
      </c>
      <c r="O148" s="2">
        <v>500</v>
      </c>
    </row>
    <row r="149" spans="1:15" s="2" customFormat="1" x14ac:dyDescent="0.25">
      <c r="A149" s="2">
        <v>149</v>
      </c>
      <c r="B149" s="2">
        <v>2</v>
      </c>
      <c r="C149" s="2">
        <v>76</v>
      </c>
      <c r="D149" s="2">
        <v>2</v>
      </c>
      <c r="E149" s="2">
        <v>20</v>
      </c>
      <c r="G149" s="2">
        <v>1</v>
      </c>
      <c r="H149" s="2">
        <v>39</v>
      </c>
      <c r="I149" s="2">
        <v>7606378</v>
      </c>
      <c r="J149" s="2" t="s">
        <v>189</v>
      </c>
      <c r="K149" s="2" t="s">
        <v>404</v>
      </c>
      <c r="L149" s="2" t="str">
        <f>"14101030112007"</f>
        <v>14101030112007</v>
      </c>
      <c r="M149" s="2" t="s">
        <v>2</v>
      </c>
      <c r="N149" s="18">
        <v>30872</v>
      </c>
      <c r="O149" s="2">
        <v>140</v>
      </c>
    </row>
    <row r="150" spans="1:15" s="2" customFormat="1" x14ac:dyDescent="0.25">
      <c r="A150" s="2">
        <v>150</v>
      </c>
      <c r="B150" s="2">
        <v>2</v>
      </c>
      <c r="C150" s="2">
        <v>76</v>
      </c>
      <c r="D150" s="2">
        <v>2</v>
      </c>
      <c r="E150" s="2">
        <v>20</v>
      </c>
      <c r="G150" s="2">
        <v>1</v>
      </c>
      <c r="H150" s="2">
        <v>39</v>
      </c>
      <c r="I150" s="2">
        <v>7606379</v>
      </c>
      <c r="J150" s="2" t="s">
        <v>189</v>
      </c>
      <c r="K150" s="2" t="s">
        <v>404</v>
      </c>
      <c r="L150" s="2" t="str">
        <f>"14101030112008"</f>
        <v>14101030112008</v>
      </c>
      <c r="M150" s="2" t="s">
        <v>2</v>
      </c>
      <c r="N150" s="18">
        <v>30873</v>
      </c>
      <c r="O150" s="2">
        <v>140</v>
      </c>
    </row>
    <row r="151" spans="1:15" s="2" customFormat="1" x14ac:dyDescent="0.25">
      <c r="A151" s="2">
        <v>151</v>
      </c>
      <c r="B151" s="2">
        <v>2</v>
      </c>
      <c r="C151" s="2">
        <v>76</v>
      </c>
      <c r="D151" s="2">
        <v>2</v>
      </c>
      <c r="E151" s="2">
        <v>20</v>
      </c>
      <c r="G151" s="2">
        <v>1</v>
      </c>
      <c r="H151" s="2">
        <v>39</v>
      </c>
      <c r="I151" s="2">
        <v>7606380</v>
      </c>
      <c r="J151" s="2" t="s">
        <v>189</v>
      </c>
      <c r="K151" s="2" t="s">
        <v>404</v>
      </c>
      <c r="L151" s="2" t="str">
        <f>"14101030112010"</f>
        <v>14101030112010</v>
      </c>
      <c r="M151" s="2" t="s">
        <v>2</v>
      </c>
      <c r="N151" s="18">
        <v>30874</v>
      </c>
      <c r="O151" s="2">
        <v>140</v>
      </c>
    </row>
    <row r="152" spans="1:15" s="2" customFormat="1" x14ac:dyDescent="0.25">
      <c r="A152" s="2">
        <v>152</v>
      </c>
      <c r="B152" s="2">
        <v>2</v>
      </c>
      <c r="C152" s="2">
        <v>76</v>
      </c>
      <c r="D152" s="2">
        <v>2</v>
      </c>
      <c r="E152" s="2">
        <v>20</v>
      </c>
      <c r="G152" s="2">
        <v>1</v>
      </c>
      <c r="H152" s="2">
        <v>39</v>
      </c>
      <c r="I152" s="2">
        <v>7606381</v>
      </c>
      <c r="J152" s="2" t="s">
        <v>189</v>
      </c>
      <c r="K152" s="2" t="s">
        <v>404</v>
      </c>
      <c r="L152" s="2" t="str">
        <f>"14101030112011"</f>
        <v>14101030112011</v>
      </c>
      <c r="M152" s="2" t="s">
        <v>2</v>
      </c>
      <c r="N152" s="18">
        <v>30875</v>
      </c>
      <c r="O152" s="2">
        <v>140</v>
      </c>
    </row>
    <row r="153" spans="1:15" s="2" customFormat="1" x14ac:dyDescent="0.25">
      <c r="A153" s="2">
        <v>153</v>
      </c>
      <c r="B153" s="2">
        <v>2</v>
      </c>
      <c r="C153" s="2">
        <v>76</v>
      </c>
      <c r="D153" s="2">
        <v>2</v>
      </c>
      <c r="E153" s="2">
        <v>20</v>
      </c>
      <c r="G153" s="2">
        <v>1</v>
      </c>
      <c r="H153" s="2">
        <v>39</v>
      </c>
      <c r="I153" s="2">
        <v>7606383</v>
      </c>
      <c r="J153" s="2" t="s">
        <v>189</v>
      </c>
      <c r="K153" s="2" t="s">
        <v>404</v>
      </c>
      <c r="L153" s="2" t="str">
        <f>"14101030112013"</f>
        <v>14101030112013</v>
      </c>
      <c r="M153" s="2" t="s">
        <v>2</v>
      </c>
      <c r="N153" s="18">
        <v>30876</v>
      </c>
      <c r="O153" s="2">
        <v>140</v>
      </c>
    </row>
    <row r="154" spans="1:15" s="2" customFormat="1" x14ac:dyDescent="0.25">
      <c r="A154" s="2">
        <v>154</v>
      </c>
      <c r="B154" s="2">
        <v>2</v>
      </c>
      <c r="C154" s="2">
        <v>76</v>
      </c>
      <c r="D154" s="2">
        <v>2</v>
      </c>
      <c r="E154" s="2">
        <v>20</v>
      </c>
      <c r="G154" s="2">
        <v>1</v>
      </c>
      <c r="H154" s="2">
        <v>39</v>
      </c>
      <c r="I154" s="2">
        <v>7606384</v>
      </c>
      <c r="J154" s="2" t="s">
        <v>189</v>
      </c>
      <c r="K154" s="2" t="s">
        <v>404</v>
      </c>
      <c r="L154" s="2" t="str">
        <f>"14101030112014"</f>
        <v>14101030112014</v>
      </c>
      <c r="M154" s="2" t="s">
        <v>2</v>
      </c>
      <c r="N154" s="18">
        <v>30877</v>
      </c>
      <c r="O154" s="2">
        <v>140</v>
      </c>
    </row>
    <row r="155" spans="1:15" s="2" customFormat="1" x14ac:dyDescent="0.25">
      <c r="A155" s="2">
        <v>155</v>
      </c>
      <c r="B155" s="2">
        <v>2</v>
      </c>
      <c r="C155" s="2">
        <v>76</v>
      </c>
      <c r="D155" s="2">
        <v>1</v>
      </c>
      <c r="E155" s="2">
        <v>10</v>
      </c>
      <c r="G155" s="2">
        <v>1</v>
      </c>
      <c r="H155" s="2">
        <v>39</v>
      </c>
      <c r="I155" s="2">
        <v>7606325</v>
      </c>
      <c r="J155" s="2" t="s">
        <v>185</v>
      </c>
      <c r="K155" s="2" t="s">
        <v>406</v>
      </c>
      <c r="L155" s="2" t="str">
        <f>"14101030105006"</f>
        <v>14101030105006</v>
      </c>
      <c r="M155" s="2" t="s">
        <v>2</v>
      </c>
      <c r="N155" s="18">
        <v>30878</v>
      </c>
      <c r="O155" s="2">
        <v>285</v>
      </c>
    </row>
    <row r="156" spans="1:15" s="2" customFormat="1" x14ac:dyDescent="0.25">
      <c r="A156" s="2">
        <v>156</v>
      </c>
      <c r="B156" s="2">
        <v>2</v>
      </c>
      <c r="C156" s="2">
        <v>76</v>
      </c>
      <c r="D156" s="2">
        <v>2</v>
      </c>
      <c r="E156" s="2">
        <v>20</v>
      </c>
      <c r="G156" s="2">
        <v>1</v>
      </c>
      <c r="H156" s="2">
        <v>39</v>
      </c>
      <c r="I156" s="2">
        <v>7606375</v>
      </c>
      <c r="J156" s="2" t="s">
        <v>189</v>
      </c>
      <c r="K156" s="2" t="s">
        <v>404</v>
      </c>
      <c r="L156" s="2" t="str">
        <f>"14101030112003"</f>
        <v>14101030112003</v>
      </c>
      <c r="M156" s="2" t="s">
        <v>2</v>
      </c>
      <c r="N156" s="18">
        <v>30879</v>
      </c>
      <c r="O156" s="2">
        <v>140</v>
      </c>
    </row>
    <row r="157" spans="1:15" s="2" customFormat="1" x14ac:dyDescent="0.25">
      <c r="A157" s="2">
        <v>157</v>
      </c>
      <c r="B157" s="2">
        <v>2</v>
      </c>
      <c r="C157" s="2">
        <v>76</v>
      </c>
      <c r="D157" s="2">
        <v>2</v>
      </c>
      <c r="E157" s="2">
        <v>20</v>
      </c>
      <c r="G157" s="2">
        <v>1</v>
      </c>
      <c r="H157" s="2">
        <v>39</v>
      </c>
      <c r="I157" s="2">
        <v>7606376</v>
      </c>
      <c r="J157" s="2" t="s">
        <v>189</v>
      </c>
      <c r="K157" s="2" t="s">
        <v>404</v>
      </c>
      <c r="L157" s="2" t="str">
        <f>"14101030112004"</f>
        <v>14101030112004</v>
      </c>
      <c r="M157" s="2" t="s">
        <v>2</v>
      </c>
      <c r="N157" s="18">
        <v>30880</v>
      </c>
      <c r="O157" s="2">
        <v>140</v>
      </c>
    </row>
    <row r="158" spans="1:15" s="2" customFormat="1" x14ac:dyDescent="0.25">
      <c r="A158" s="2">
        <v>158</v>
      </c>
      <c r="B158" s="2">
        <v>2</v>
      </c>
      <c r="C158" s="2">
        <v>76</v>
      </c>
      <c r="D158" s="2">
        <v>2</v>
      </c>
      <c r="E158" s="2">
        <v>20</v>
      </c>
      <c r="G158" s="2">
        <v>1</v>
      </c>
      <c r="H158" s="2">
        <v>39</v>
      </c>
      <c r="I158" s="2">
        <v>7606377</v>
      </c>
      <c r="J158" s="2" t="s">
        <v>189</v>
      </c>
      <c r="K158" s="2" t="s">
        <v>404</v>
      </c>
      <c r="L158" s="2" t="str">
        <f>"14101030112006"</f>
        <v>14101030112006</v>
      </c>
      <c r="M158" s="2" t="s">
        <v>2</v>
      </c>
      <c r="N158" s="18">
        <v>30881</v>
      </c>
      <c r="O158" s="2">
        <v>140</v>
      </c>
    </row>
    <row r="159" spans="1:15" s="2" customFormat="1" x14ac:dyDescent="0.25">
      <c r="A159" s="2">
        <v>159</v>
      </c>
      <c r="B159" s="2">
        <v>1</v>
      </c>
      <c r="C159" s="2">
        <v>42</v>
      </c>
      <c r="D159" s="2">
        <v>2</v>
      </c>
      <c r="E159" s="2">
        <v>2</v>
      </c>
      <c r="G159" s="2">
        <v>1</v>
      </c>
      <c r="H159" s="2">
        <v>4</v>
      </c>
      <c r="I159" s="2">
        <v>6794402</v>
      </c>
      <c r="J159" s="2" t="s">
        <v>145</v>
      </c>
      <c r="K159" s="2" t="s">
        <v>407</v>
      </c>
      <c r="L159" s="2" t="str">
        <f>"MXJ82807YL"</f>
        <v>MXJ82807YL</v>
      </c>
      <c r="M159" s="2" t="s">
        <v>2</v>
      </c>
      <c r="N159" s="18">
        <v>30882</v>
      </c>
      <c r="O159" s="2" t="s">
        <v>408</v>
      </c>
    </row>
    <row r="160" spans="1:15" s="2" customFormat="1" x14ac:dyDescent="0.25">
      <c r="A160" s="2">
        <v>160</v>
      </c>
      <c r="B160" s="2">
        <v>1</v>
      </c>
      <c r="C160" s="2">
        <v>42</v>
      </c>
      <c r="D160" s="2">
        <v>2</v>
      </c>
      <c r="E160" s="2">
        <v>2</v>
      </c>
      <c r="G160" s="2">
        <v>1</v>
      </c>
      <c r="H160" s="2">
        <v>4</v>
      </c>
      <c r="I160" s="2">
        <v>6794400</v>
      </c>
      <c r="J160" s="2" t="s">
        <v>145</v>
      </c>
      <c r="K160" s="2" t="s">
        <v>407</v>
      </c>
      <c r="L160" s="2" t="str">
        <f>"MXJ8280959"</f>
        <v>MXJ8280959</v>
      </c>
      <c r="M160" s="2" t="s">
        <v>2</v>
      </c>
      <c r="N160" s="18">
        <v>30883</v>
      </c>
      <c r="O160" s="2" t="s">
        <v>409</v>
      </c>
    </row>
    <row r="161" spans="1:15" s="2" customFormat="1" x14ac:dyDescent="0.25">
      <c r="A161" s="2">
        <v>161</v>
      </c>
      <c r="B161" s="2">
        <v>1</v>
      </c>
      <c r="C161" s="2">
        <v>82</v>
      </c>
      <c r="D161" s="2">
        <v>1</v>
      </c>
      <c r="E161" s="2">
        <v>13</v>
      </c>
      <c r="G161" s="2">
        <v>1</v>
      </c>
      <c r="H161" s="2">
        <v>4</v>
      </c>
      <c r="I161" s="2">
        <v>6794438</v>
      </c>
      <c r="J161" s="2" t="s">
        <v>196</v>
      </c>
      <c r="K161" s="2" t="s">
        <v>410</v>
      </c>
      <c r="L161" s="2" t="str">
        <f>"XC206776C"</f>
        <v>XC206776C</v>
      </c>
      <c r="M161" s="2" t="s">
        <v>2</v>
      </c>
      <c r="N161" s="18">
        <v>30884</v>
      </c>
      <c r="O161" s="19">
        <v>1723</v>
      </c>
    </row>
    <row r="162" spans="1:15" s="2" customFormat="1" x14ac:dyDescent="0.25">
      <c r="A162" s="2">
        <v>162</v>
      </c>
      <c r="B162" s="2">
        <v>1</v>
      </c>
      <c r="C162" s="2">
        <v>42</v>
      </c>
      <c r="D162" s="2">
        <v>1</v>
      </c>
      <c r="E162" s="2">
        <v>23</v>
      </c>
      <c r="G162" s="2">
        <v>1</v>
      </c>
      <c r="H162" s="2">
        <v>4</v>
      </c>
      <c r="I162" s="2">
        <v>6794568</v>
      </c>
      <c r="J162" s="2" t="s">
        <v>192</v>
      </c>
      <c r="K162" s="2" t="s">
        <v>411</v>
      </c>
      <c r="L162" s="2" t="str">
        <f>"CNGKL12696"</f>
        <v>CNGKL12696</v>
      </c>
      <c r="M162" s="2" t="s">
        <v>2</v>
      </c>
      <c r="N162" s="18">
        <v>30885</v>
      </c>
      <c r="O162" s="2">
        <v>788</v>
      </c>
    </row>
    <row r="163" spans="1:15" s="2" customFormat="1" x14ac:dyDescent="0.25">
      <c r="A163" s="2">
        <v>163</v>
      </c>
      <c r="B163" s="2">
        <v>1</v>
      </c>
      <c r="C163" s="2">
        <v>81</v>
      </c>
      <c r="D163" s="2">
        <v>1</v>
      </c>
      <c r="E163" s="2">
        <v>13</v>
      </c>
      <c r="G163" s="2">
        <v>1</v>
      </c>
      <c r="H163" s="2">
        <v>4</v>
      </c>
      <c r="I163" s="2">
        <v>7602828</v>
      </c>
      <c r="J163" s="2" t="s">
        <v>193</v>
      </c>
      <c r="K163" s="2" t="s">
        <v>412</v>
      </c>
      <c r="L163" s="2" t="str">
        <f>"MHYCAM"</f>
        <v>MHYCAM</v>
      </c>
      <c r="M163" s="2" t="s">
        <v>2</v>
      </c>
      <c r="N163" s="18">
        <v>30886</v>
      </c>
      <c r="O163" s="2">
        <v>155</v>
      </c>
    </row>
    <row r="164" spans="1:15" s="2" customFormat="1" x14ac:dyDescent="0.25">
      <c r="A164" s="2">
        <v>164</v>
      </c>
      <c r="B164" s="2">
        <v>1</v>
      </c>
      <c r="C164" s="2">
        <v>53</v>
      </c>
      <c r="D164" s="2">
        <v>3</v>
      </c>
      <c r="E164" s="2">
        <v>13</v>
      </c>
      <c r="G164" s="2">
        <v>1</v>
      </c>
      <c r="H164" s="2">
        <v>4</v>
      </c>
      <c r="I164" s="2">
        <v>7602829</v>
      </c>
      <c r="J164" s="2" t="s">
        <v>194</v>
      </c>
      <c r="K164" s="2" t="s">
        <v>413</v>
      </c>
      <c r="L164" s="2" t="str">
        <f>"0118640035020"</f>
        <v>0118640035020</v>
      </c>
      <c r="M164" s="2" t="s">
        <v>2</v>
      </c>
      <c r="N164" s="18">
        <v>30887</v>
      </c>
      <c r="O164" s="2">
        <v>440</v>
      </c>
    </row>
    <row r="165" spans="1:15" s="2" customFormat="1" x14ac:dyDescent="0.25">
      <c r="A165" s="2">
        <v>165</v>
      </c>
      <c r="B165" s="2">
        <v>1</v>
      </c>
      <c r="C165" s="2">
        <v>74</v>
      </c>
      <c r="D165" s="2">
        <v>1</v>
      </c>
      <c r="E165" s="2">
        <v>20</v>
      </c>
      <c r="G165" s="2">
        <v>1</v>
      </c>
      <c r="H165" s="2">
        <v>4</v>
      </c>
      <c r="I165" s="2">
        <v>6794523</v>
      </c>
      <c r="J165" s="2" t="s">
        <v>195</v>
      </c>
      <c r="K165" s="2" t="s">
        <v>414</v>
      </c>
      <c r="L165" s="2" t="str">
        <f>"LS19HANKBM XAA"</f>
        <v>LS19HANKBM XAA</v>
      </c>
      <c r="M165" s="2" t="s">
        <v>2</v>
      </c>
      <c r="N165" s="18">
        <v>30888</v>
      </c>
      <c r="O165" s="2" t="s">
        <v>415</v>
      </c>
    </row>
    <row r="166" spans="1:15" s="2" customFormat="1" x14ac:dyDescent="0.25">
      <c r="A166" s="2">
        <v>166</v>
      </c>
      <c r="B166" s="2">
        <v>1</v>
      </c>
      <c r="C166" s="2">
        <v>42</v>
      </c>
      <c r="D166" s="2">
        <v>1</v>
      </c>
      <c r="E166" s="2">
        <v>22</v>
      </c>
      <c r="G166" s="2">
        <v>1</v>
      </c>
      <c r="H166" s="2">
        <v>4</v>
      </c>
      <c r="I166" s="2">
        <v>6794524</v>
      </c>
      <c r="J166" s="2" t="s">
        <v>195</v>
      </c>
      <c r="K166" s="2" t="s">
        <v>416</v>
      </c>
      <c r="L166" s="2" t="str">
        <f>"3CQ8180PJL"</f>
        <v>3CQ8180PJL</v>
      </c>
      <c r="M166" s="2" t="s">
        <v>2</v>
      </c>
      <c r="N166" s="18">
        <v>30889</v>
      </c>
      <c r="O166" s="2" t="s">
        <v>415</v>
      </c>
    </row>
    <row r="167" spans="1:15" s="2" customFormat="1" x14ac:dyDescent="0.25">
      <c r="A167" s="2">
        <v>167</v>
      </c>
      <c r="B167" s="2">
        <v>1</v>
      </c>
      <c r="C167" s="2">
        <v>42</v>
      </c>
      <c r="D167" s="2">
        <v>1</v>
      </c>
      <c r="E167" s="2">
        <v>22</v>
      </c>
      <c r="G167" s="2">
        <v>1</v>
      </c>
      <c r="H167" s="2">
        <v>4</v>
      </c>
      <c r="I167" s="2">
        <v>6794527</v>
      </c>
      <c r="J167" s="2" t="s">
        <v>195</v>
      </c>
      <c r="K167" s="2" t="s">
        <v>416</v>
      </c>
      <c r="L167" s="2" t="str">
        <f>"3CQ8180HD3"</f>
        <v>3CQ8180HD3</v>
      </c>
      <c r="M167" s="2" t="s">
        <v>2</v>
      </c>
      <c r="N167" s="18">
        <v>30890</v>
      </c>
      <c r="O167" s="2" t="s">
        <v>415</v>
      </c>
    </row>
    <row r="168" spans="1:15" s="2" customFormat="1" x14ac:dyDescent="0.25">
      <c r="A168" s="2">
        <v>168</v>
      </c>
      <c r="B168" s="2">
        <v>1</v>
      </c>
      <c r="C168" s="2">
        <v>38</v>
      </c>
      <c r="D168" s="2">
        <v>1</v>
      </c>
      <c r="E168" s="2">
        <v>23</v>
      </c>
      <c r="G168" s="2">
        <v>1</v>
      </c>
      <c r="H168" s="2">
        <v>4</v>
      </c>
      <c r="I168" s="2">
        <v>13382697</v>
      </c>
      <c r="J168" s="2" t="s">
        <v>197</v>
      </c>
      <c r="K168" s="2" t="s">
        <v>417</v>
      </c>
      <c r="L168" s="2" t="str">
        <f>"12170600215"</f>
        <v>12170600215</v>
      </c>
      <c r="M168" s="2" t="s">
        <v>2</v>
      </c>
      <c r="N168" s="18">
        <v>30891</v>
      </c>
      <c r="O168" s="2" t="s">
        <v>418</v>
      </c>
    </row>
    <row r="169" spans="1:15" s="2" customFormat="1" x14ac:dyDescent="0.25">
      <c r="A169" s="2">
        <v>169</v>
      </c>
      <c r="B169" s="2">
        <v>1</v>
      </c>
      <c r="C169" s="2">
        <v>70</v>
      </c>
      <c r="D169" s="2">
        <v>1</v>
      </c>
      <c r="E169" s="2">
        <v>20</v>
      </c>
      <c r="G169" s="2">
        <v>1</v>
      </c>
      <c r="H169" s="2">
        <v>4</v>
      </c>
      <c r="I169" s="2">
        <v>13382694</v>
      </c>
      <c r="J169" s="2" t="s">
        <v>197</v>
      </c>
      <c r="K169" s="2" t="s">
        <v>419</v>
      </c>
      <c r="L169" s="2" t="str">
        <f>"63445070104006"</f>
        <v>63445070104006</v>
      </c>
      <c r="M169" s="2" t="s">
        <v>2</v>
      </c>
      <c r="N169" s="18">
        <v>30892</v>
      </c>
      <c r="O169" s="2" t="s">
        <v>418</v>
      </c>
    </row>
    <row r="170" spans="1:15" s="2" customFormat="1" x14ac:dyDescent="0.25">
      <c r="A170" s="2">
        <v>170</v>
      </c>
      <c r="B170" s="2">
        <v>1</v>
      </c>
      <c r="C170" s="2">
        <v>38</v>
      </c>
      <c r="D170" s="2">
        <v>1</v>
      </c>
      <c r="E170" s="2">
        <v>20</v>
      </c>
      <c r="G170" s="2">
        <v>1</v>
      </c>
      <c r="H170" s="2">
        <v>4</v>
      </c>
      <c r="I170" s="2">
        <v>13382695</v>
      </c>
      <c r="J170" s="2" t="s">
        <v>197</v>
      </c>
      <c r="K170" s="2" t="s">
        <v>420</v>
      </c>
      <c r="L170" s="2" t="str">
        <f>"147203704101"</f>
        <v>147203704101</v>
      </c>
      <c r="M170" s="2" t="s">
        <v>2</v>
      </c>
      <c r="N170" s="18">
        <v>30893</v>
      </c>
      <c r="O170" s="2" t="s">
        <v>418</v>
      </c>
    </row>
    <row r="171" spans="1:15" s="2" customFormat="1" x14ac:dyDescent="0.25">
      <c r="A171" s="2">
        <v>171</v>
      </c>
      <c r="B171" s="2">
        <v>1</v>
      </c>
      <c r="C171" s="2">
        <v>43</v>
      </c>
      <c r="D171" s="2">
        <v>1</v>
      </c>
      <c r="E171" s="2">
        <v>20</v>
      </c>
      <c r="G171" s="2">
        <v>1</v>
      </c>
      <c r="H171" s="2">
        <v>4</v>
      </c>
      <c r="I171" s="2">
        <v>13382655</v>
      </c>
      <c r="J171" s="2" t="s">
        <v>198</v>
      </c>
      <c r="K171" s="2" t="s">
        <v>421</v>
      </c>
      <c r="L171" s="2" t="str">
        <f>"1S37L25511082157B"</f>
        <v>1S37L25511082157B</v>
      </c>
      <c r="M171" s="2" t="s">
        <v>2</v>
      </c>
      <c r="N171" s="18">
        <v>30894</v>
      </c>
      <c r="O171" s="2" t="s">
        <v>422</v>
      </c>
    </row>
    <row r="172" spans="1:15" s="2" customFormat="1" x14ac:dyDescent="0.25">
      <c r="A172" s="2">
        <v>172</v>
      </c>
      <c r="B172" s="2">
        <v>1</v>
      </c>
      <c r="C172" s="2">
        <v>38</v>
      </c>
      <c r="D172" s="2">
        <v>1</v>
      </c>
      <c r="E172" s="2">
        <v>20</v>
      </c>
      <c r="G172" s="2">
        <v>1</v>
      </c>
      <c r="H172" s="2">
        <v>4</v>
      </c>
      <c r="I172" s="2">
        <v>13382656</v>
      </c>
      <c r="J172" s="2" t="s">
        <v>198</v>
      </c>
      <c r="K172" s="2" t="s">
        <v>423</v>
      </c>
      <c r="L172" s="2" t="str">
        <f>"ZM7305002164"</f>
        <v>ZM7305002164</v>
      </c>
      <c r="M172" s="2" t="s">
        <v>2</v>
      </c>
      <c r="N172" s="18">
        <v>30895</v>
      </c>
      <c r="O172" s="2" t="s">
        <v>422</v>
      </c>
    </row>
    <row r="173" spans="1:15" s="2" customFormat="1" x14ac:dyDescent="0.25">
      <c r="A173" s="2">
        <v>173</v>
      </c>
      <c r="B173" s="2">
        <v>1</v>
      </c>
      <c r="C173" s="2">
        <v>38</v>
      </c>
      <c r="D173" s="2">
        <v>1</v>
      </c>
      <c r="E173" s="2">
        <v>13</v>
      </c>
      <c r="G173" s="2">
        <v>1</v>
      </c>
      <c r="H173" s="2">
        <v>4</v>
      </c>
      <c r="I173" s="2">
        <v>13382658</v>
      </c>
      <c r="J173" s="2" t="s">
        <v>198</v>
      </c>
      <c r="K173" s="2" t="s">
        <v>424</v>
      </c>
      <c r="L173" s="2" t="str">
        <f>"ZCA648101056"</f>
        <v>ZCA648101056</v>
      </c>
      <c r="M173" s="2" t="s">
        <v>2</v>
      </c>
      <c r="N173" s="18">
        <v>30896</v>
      </c>
      <c r="O173" s="2" t="s">
        <v>422</v>
      </c>
    </row>
    <row r="174" spans="1:15" s="2" customFormat="1" x14ac:dyDescent="0.25">
      <c r="A174" s="2">
        <v>174</v>
      </c>
      <c r="B174" s="2">
        <v>1</v>
      </c>
      <c r="C174" s="2">
        <v>42</v>
      </c>
      <c r="D174" s="2">
        <v>1</v>
      </c>
      <c r="E174" s="2">
        <v>20</v>
      </c>
      <c r="G174" s="2">
        <v>1</v>
      </c>
      <c r="H174" s="2">
        <v>4</v>
      </c>
      <c r="I174" s="2">
        <v>13382659</v>
      </c>
      <c r="J174" s="2" t="s">
        <v>198</v>
      </c>
      <c r="K174" s="2" t="s">
        <v>425</v>
      </c>
      <c r="L174" s="2" t="str">
        <f>"BC2AA0FCPWQ4RV"</f>
        <v>BC2AA0FCPWQ4RV</v>
      </c>
      <c r="M174" s="2" t="s">
        <v>2</v>
      </c>
      <c r="N174" s="18">
        <v>30897</v>
      </c>
      <c r="O174" s="2" t="s">
        <v>422</v>
      </c>
    </row>
    <row r="175" spans="1:15" s="2" customFormat="1" x14ac:dyDescent="0.25">
      <c r="A175" s="2">
        <v>175</v>
      </c>
      <c r="B175" s="2">
        <v>1</v>
      </c>
      <c r="C175" s="2">
        <v>42</v>
      </c>
      <c r="D175" s="2">
        <v>1</v>
      </c>
      <c r="E175" s="2">
        <v>20</v>
      </c>
      <c r="G175" s="2">
        <v>1</v>
      </c>
      <c r="H175" s="2">
        <v>4</v>
      </c>
      <c r="I175" s="2">
        <v>13382698</v>
      </c>
      <c r="J175" s="2" t="s">
        <v>197</v>
      </c>
      <c r="K175" s="2" t="s">
        <v>426</v>
      </c>
      <c r="L175" s="2" t="str">
        <f>"FCGLH0DHD2OAND"</f>
        <v>FCGLH0DHD2OAND</v>
      </c>
      <c r="M175" s="2" t="s">
        <v>2</v>
      </c>
      <c r="N175" s="18">
        <v>30898</v>
      </c>
      <c r="O175" s="2" t="s">
        <v>418</v>
      </c>
    </row>
    <row r="176" spans="1:15" s="2" customFormat="1" x14ac:dyDescent="0.25">
      <c r="A176" s="2">
        <v>176</v>
      </c>
      <c r="B176" s="2">
        <v>2</v>
      </c>
      <c r="C176" s="2">
        <v>76</v>
      </c>
      <c r="D176" s="2">
        <v>1</v>
      </c>
      <c r="E176" s="2">
        <v>23</v>
      </c>
      <c r="G176" s="2">
        <v>1</v>
      </c>
      <c r="H176" s="2">
        <v>39</v>
      </c>
      <c r="I176" s="2">
        <v>7602819</v>
      </c>
      <c r="J176" s="2" t="s">
        <v>199</v>
      </c>
      <c r="K176" s="2" t="s">
        <v>350</v>
      </c>
      <c r="L176" s="2" t="str">
        <f>"14101040502001"</f>
        <v>14101040502001</v>
      </c>
      <c r="M176" s="2" t="s">
        <v>2</v>
      </c>
      <c r="N176" s="18">
        <v>30899</v>
      </c>
      <c r="O176" s="2" t="s">
        <v>427</v>
      </c>
    </row>
    <row r="177" spans="1:15" s="2" customFormat="1" x14ac:dyDescent="0.25">
      <c r="A177" s="2">
        <v>177</v>
      </c>
      <c r="B177" s="2">
        <v>2</v>
      </c>
      <c r="C177" s="2">
        <v>76</v>
      </c>
      <c r="D177" s="2">
        <v>1</v>
      </c>
      <c r="E177" s="2">
        <v>2</v>
      </c>
      <c r="G177" s="2">
        <v>1</v>
      </c>
      <c r="H177" s="2">
        <v>39</v>
      </c>
      <c r="I177" s="2">
        <v>7602820</v>
      </c>
      <c r="J177" s="2" t="s">
        <v>199</v>
      </c>
      <c r="K177" s="2" t="s">
        <v>350</v>
      </c>
      <c r="L177" s="2" t="str">
        <f>"14101040502002"</f>
        <v>14101040502002</v>
      </c>
      <c r="M177" s="2" t="s">
        <v>2</v>
      </c>
      <c r="N177" s="18">
        <v>30900</v>
      </c>
      <c r="O177" s="2">
        <v>240</v>
      </c>
    </row>
    <row r="178" spans="1:15" s="2" customFormat="1" x14ac:dyDescent="0.25">
      <c r="A178" s="2">
        <v>178</v>
      </c>
      <c r="B178" s="2">
        <v>2</v>
      </c>
      <c r="C178" s="2">
        <v>76</v>
      </c>
      <c r="D178" s="2">
        <v>1</v>
      </c>
      <c r="E178" s="2">
        <v>2</v>
      </c>
      <c r="G178" s="2">
        <v>1</v>
      </c>
      <c r="H178" s="2">
        <v>39</v>
      </c>
      <c r="I178" s="2">
        <v>7606315</v>
      </c>
      <c r="J178" s="2" t="s">
        <v>280</v>
      </c>
      <c r="K178" s="2" t="s">
        <v>394</v>
      </c>
      <c r="L178" s="2" t="str">
        <f>"14101030101005"</f>
        <v>14101030101005</v>
      </c>
      <c r="M178" s="2" t="s">
        <v>2</v>
      </c>
      <c r="N178" s="18">
        <v>30901</v>
      </c>
      <c r="O178" s="2" t="s">
        <v>428</v>
      </c>
    </row>
    <row r="179" spans="1:15" s="2" customFormat="1" x14ac:dyDescent="0.25">
      <c r="A179" s="2">
        <v>179</v>
      </c>
      <c r="B179" s="2">
        <v>2</v>
      </c>
      <c r="C179" s="2">
        <v>76</v>
      </c>
      <c r="D179" s="2">
        <v>1</v>
      </c>
      <c r="E179" s="2">
        <v>10</v>
      </c>
      <c r="G179" s="2">
        <v>1</v>
      </c>
      <c r="H179" s="2">
        <v>39</v>
      </c>
      <c r="I179" s="2">
        <v>7606341</v>
      </c>
      <c r="J179" s="2" t="s">
        <v>281</v>
      </c>
      <c r="K179" s="2" t="s">
        <v>350</v>
      </c>
      <c r="L179" s="2" t="str">
        <f>"14101030106003"</f>
        <v>14101030106003</v>
      </c>
      <c r="M179" s="2" t="s">
        <v>2</v>
      </c>
      <c r="N179" s="18">
        <v>30902</v>
      </c>
      <c r="O179" s="2" t="s">
        <v>429</v>
      </c>
    </row>
    <row r="180" spans="1:15" s="2" customFormat="1" x14ac:dyDescent="0.25">
      <c r="A180" s="2">
        <v>180</v>
      </c>
      <c r="B180" s="2">
        <v>2</v>
      </c>
      <c r="C180" s="2">
        <v>76</v>
      </c>
      <c r="D180" s="2">
        <v>1</v>
      </c>
      <c r="E180" s="2">
        <v>20</v>
      </c>
      <c r="G180" s="2">
        <v>1</v>
      </c>
      <c r="H180" s="2">
        <v>39</v>
      </c>
      <c r="I180" s="2">
        <v>7606344</v>
      </c>
      <c r="J180" s="2" t="s">
        <v>200</v>
      </c>
      <c r="K180" s="2" t="s">
        <v>350</v>
      </c>
      <c r="L180" s="2" t="str">
        <f>"14101030108001"</f>
        <v>14101030108001</v>
      </c>
      <c r="M180" s="2" t="s">
        <v>2</v>
      </c>
      <c r="N180" s="18">
        <v>30903</v>
      </c>
      <c r="O180" s="2">
        <v>504</v>
      </c>
    </row>
    <row r="181" spans="1:15" s="2" customFormat="1" x14ac:dyDescent="0.25">
      <c r="A181" s="2">
        <v>181</v>
      </c>
      <c r="B181" s="2">
        <v>2</v>
      </c>
      <c r="C181" s="2">
        <v>76</v>
      </c>
      <c r="D181" s="2">
        <v>2</v>
      </c>
      <c r="E181" s="2">
        <v>19</v>
      </c>
      <c r="G181" s="2">
        <v>1</v>
      </c>
      <c r="H181" s="2">
        <v>39</v>
      </c>
      <c r="I181" s="2">
        <v>7606346</v>
      </c>
      <c r="J181" s="2" t="s">
        <v>186</v>
      </c>
      <c r="K181" s="2" t="s">
        <v>350</v>
      </c>
      <c r="L181" s="2" t="str">
        <f>"14101030109001"</f>
        <v>14101030109001</v>
      </c>
      <c r="M181" s="2" t="s">
        <v>2</v>
      </c>
      <c r="N181" s="18">
        <v>30904</v>
      </c>
      <c r="O181" s="2" t="s">
        <v>430</v>
      </c>
    </row>
    <row r="182" spans="1:15" s="2" customFormat="1" x14ac:dyDescent="0.25">
      <c r="A182" s="2">
        <v>182</v>
      </c>
      <c r="B182" s="2">
        <v>2</v>
      </c>
      <c r="C182" s="2">
        <v>76</v>
      </c>
      <c r="D182" s="2">
        <v>1</v>
      </c>
      <c r="E182" s="2">
        <v>10</v>
      </c>
      <c r="G182" s="2">
        <v>1</v>
      </c>
      <c r="H182" s="2">
        <v>39</v>
      </c>
      <c r="I182" s="2">
        <v>7606348</v>
      </c>
      <c r="J182" s="2" t="s">
        <v>273</v>
      </c>
      <c r="K182" s="2" t="s">
        <v>431</v>
      </c>
      <c r="L182" s="2" t="str">
        <f>"14101030109003"</f>
        <v>14101030109003</v>
      </c>
      <c r="M182" s="2" t="s">
        <v>2</v>
      </c>
      <c r="N182" s="18">
        <v>30905</v>
      </c>
      <c r="O182" s="2">
        <v>952</v>
      </c>
    </row>
    <row r="183" spans="1:15" s="2" customFormat="1" x14ac:dyDescent="0.25">
      <c r="A183" s="2">
        <v>183</v>
      </c>
      <c r="B183" s="2">
        <v>2</v>
      </c>
      <c r="C183" s="2">
        <v>76</v>
      </c>
      <c r="D183" s="2">
        <v>1</v>
      </c>
      <c r="E183" s="2">
        <v>10</v>
      </c>
      <c r="G183" s="2">
        <v>1</v>
      </c>
      <c r="H183" s="2">
        <v>39</v>
      </c>
      <c r="I183" s="2">
        <v>13184239</v>
      </c>
      <c r="J183" s="2" t="s">
        <v>170</v>
      </c>
      <c r="K183" s="2" t="s">
        <v>432</v>
      </c>
      <c r="L183" s="2" t="str">
        <f>"63445030101004"</f>
        <v>63445030101004</v>
      </c>
      <c r="M183" s="2" t="s">
        <v>2</v>
      </c>
      <c r="N183" s="18">
        <v>30906</v>
      </c>
      <c r="O183" s="2">
        <v>70</v>
      </c>
    </row>
    <row r="184" spans="1:15" s="2" customFormat="1" x14ac:dyDescent="0.25">
      <c r="A184" s="2">
        <v>184</v>
      </c>
      <c r="B184" s="2">
        <v>2</v>
      </c>
      <c r="C184" s="2">
        <v>76</v>
      </c>
      <c r="D184" s="2">
        <v>1</v>
      </c>
      <c r="E184" s="2">
        <v>10</v>
      </c>
      <c r="G184" s="2">
        <v>1</v>
      </c>
      <c r="H184" s="2">
        <v>39</v>
      </c>
      <c r="I184" s="2">
        <v>13184240</v>
      </c>
      <c r="J184" s="2" t="s">
        <v>170</v>
      </c>
      <c r="K184" s="2" t="s">
        <v>432</v>
      </c>
      <c r="L184" s="2" t="str">
        <f>"63445030101005"</f>
        <v>63445030101005</v>
      </c>
      <c r="M184" s="2" t="s">
        <v>2</v>
      </c>
      <c r="N184" s="18">
        <v>30907</v>
      </c>
      <c r="O184" s="2">
        <v>70</v>
      </c>
    </row>
    <row r="185" spans="1:15" s="2" customFormat="1" x14ac:dyDescent="0.25">
      <c r="A185" s="2">
        <v>185</v>
      </c>
      <c r="B185" s="2">
        <v>1</v>
      </c>
      <c r="C185" s="2">
        <v>42</v>
      </c>
      <c r="D185" s="2">
        <v>1</v>
      </c>
      <c r="E185" s="2">
        <v>20</v>
      </c>
      <c r="G185" s="2">
        <v>1</v>
      </c>
      <c r="H185" s="2">
        <v>4</v>
      </c>
      <c r="I185" s="2">
        <v>6794437</v>
      </c>
      <c r="J185" s="2" t="s">
        <v>196</v>
      </c>
      <c r="K185" s="2" t="s">
        <v>433</v>
      </c>
      <c r="L185" s="2" t="str">
        <f>"CNF8287TKN"</f>
        <v>CNF8287TKN</v>
      </c>
      <c r="M185" s="2" t="s">
        <v>2</v>
      </c>
      <c r="N185" s="18">
        <v>30908</v>
      </c>
      <c r="O185" s="19">
        <v>1450</v>
      </c>
    </row>
    <row r="186" spans="1:15" s="2" customFormat="1" x14ac:dyDescent="0.25">
      <c r="A186" s="2">
        <v>186</v>
      </c>
      <c r="B186" s="2">
        <v>1</v>
      </c>
      <c r="C186" s="2">
        <v>42</v>
      </c>
      <c r="D186" s="2">
        <v>2</v>
      </c>
      <c r="E186" s="2">
        <v>17</v>
      </c>
      <c r="G186" s="2">
        <v>1</v>
      </c>
      <c r="H186" s="2">
        <v>4</v>
      </c>
      <c r="I186" s="2">
        <v>6794453</v>
      </c>
      <c r="J186" s="2" t="s">
        <v>192</v>
      </c>
      <c r="K186" s="2" t="s">
        <v>434</v>
      </c>
      <c r="L186" s="2" t="str">
        <f>"CNB2S39294"</f>
        <v>CNB2S39294</v>
      </c>
      <c r="M186" s="2" t="s">
        <v>2</v>
      </c>
      <c r="N186" s="18">
        <v>30909</v>
      </c>
      <c r="O186" s="2">
        <v>281</v>
      </c>
    </row>
    <row r="187" spans="1:15" s="2" customFormat="1" x14ac:dyDescent="0.25">
      <c r="A187" s="2">
        <v>187</v>
      </c>
      <c r="B187" s="2">
        <v>1</v>
      </c>
      <c r="C187" s="2">
        <v>25</v>
      </c>
      <c r="D187" s="2">
        <v>1</v>
      </c>
      <c r="E187" s="2">
        <v>13</v>
      </c>
      <c r="G187" s="2">
        <v>1</v>
      </c>
      <c r="H187" s="2">
        <v>4</v>
      </c>
      <c r="I187" s="2">
        <v>6794517</v>
      </c>
      <c r="J187" s="2" t="s">
        <v>201</v>
      </c>
      <c r="K187" s="2" t="s">
        <v>435</v>
      </c>
      <c r="L187" s="2" t="str">
        <f>"BS6X1B2000025"</f>
        <v>BS6X1B2000025</v>
      </c>
      <c r="M187" s="2" t="s">
        <v>2</v>
      </c>
      <c r="N187" s="18">
        <v>30910</v>
      </c>
      <c r="O187" s="2">
        <v>384</v>
      </c>
    </row>
    <row r="188" spans="1:15" s="2" customFormat="1" x14ac:dyDescent="0.25">
      <c r="A188" s="2">
        <v>188</v>
      </c>
      <c r="B188" s="2">
        <v>1</v>
      </c>
      <c r="C188" s="2">
        <v>11</v>
      </c>
      <c r="D188" s="2">
        <v>2</v>
      </c>
      <c r="E188" s="2">
        <v>20</v>
      </c>
      <c r="G188" s="2">
        <v>1</v>
      </c>
      <c r="H188" s="2">
        <v>4</v>
      </c>
      <c r="I188" s="2">
        <v>13181987</v>
      </c>
      <c r="J188" s="2" t="s">
        <v>202</v>
      </c>
      <c r="K188" s="2" t="s">
        <v>436</v>
      </c>
      <c r="L188" s="2" t="str">
        <f>"Q5134692"</f>
        <v>Q5134692</v>
      </c>
      <c r="M188" s="2" t="s">
        <v>2</v>
      </c>
      <c r="N188" s="18">
        <v>30911</v>
      </c>
      <c r="O188" s="2" t="s">
        <v>437</v>
      </c>
    </row>
    <row r="189" spans="1:15" s="2" customFormat="1" x14ac:dyDescent="0.25">
      <c r="A189" s="2">
        <v>189</v>
      </c>
      <c r="B189" s="2">
        <v>1</v>
      </c>
      <c r="C189" s="2">
        <v>58</v>
      </c>
      <c r="D189" s="2">
        <v>1</v>
      </c>
      <c r="E189" s="2">
        <v>20</v>
      </c>
      <c r="G189" s="2">
        <v>1</v>
      </c>
      <c r="H189" s="2">
        <v>4</v>
      </c>
      <c r="I189" s="2">
        <v>13182000</v>
      </c>
      <c r="J189" s="2" t="s">
        <v>203</v>
      </c>
      <c r="K189" s="2" t="s">
        <v>438</v>
      </c>
      <c r="L189" s="2" t="str">
        <f>"8BBAC955117"</f>
        <v>8BBAC955117</v>
      </c>
      <c r="M189" s="2" t="s">
        <v>2</v>
      </c>
      <c r="N189" s="18">
        <v>30912</v>
      </c>
      <c r="O189" s="2">
        <v>19</v>
      </c>
    </row>
    <row r="190" spans="1:15" s="2" customFormat="1" x14ac:dyDescent="0.25">
      <c r="A190" s="2">
        <v>190</v>
      </c>
      <c r="B190" s="2">
        <v>1</v>
      </c>
      <c r="C190" s="2">
        <v>31</v>
      </c>
      <c r="D190" s="2">
        <v>2</v>
      </c>
      <c r="E190" s="2">
        <v>13</v>
      </c>
      <c r="G190" s="2">
        <v>1</v>
      </c>
      <c r="H190" s="2">
        <v>4</v>
      </c>
      <c r="I190" s="2">
        <v>6794449</v>
      </c>
      <c r="J190" s="2" t="s">
        <v>204</v>
      </c>
      <c r="K190" s="2" t="s">
        <v>439</v>
      </c>
      <c r="L190" s="2" t="str">
        <f>"E8BY367268"</f>
        <v>E8BY367268</v>
      </c>
      <c r="M190" s="2" t="s">
        <v>2</v>
      </c>
      <c r="N190" s="18">
        <v>30913</v>
      </c>
      <c r="O190" s="2">
        <v>426</v>
      </c>
    </row>
    <row r="191" spans="1:15" s="2" customFormat="1" x14ac:dyDescent="0.25">
      <c r="A191" s="2">
        <v>191</v>
      </c>
      <c r="B191" s="2">
        <v>1</v>
      </c>
      <c r="C191" s="2">
        <v>50</v>
      </c>
      <c r="D191" s="2">
        <v>1</v>
      </c>
      <c r="E191" s="2">
        <v>20</v>
      </c>
      <c r="G191" s="2">
        <v>1</v>
      </c>
      <c r="H191" s="2">
        <v>4</v>
      </c>
      <c r="I191" s="2">
        <v>7602809</v>
      </c>
      <c r="J191" s="2" t="s">
        <v>205</v>
      </c>
      <c r="K191" s="2" t="s">
        <v>440</v>
      </c>
      <c r="L191" s="2" t="str">
        <f>"805MXXQ1Y050"</f>
        <v>805MXXQ1Y050</v>
      </c>
      <c r="M191" s="2" t="s">
        <v>2</v>
      </c>
      <c r="N191" s="18">
        <v>30914</v>
      </c>
      <c r="O191" s="2" t="s">
        <v>441</v>
      </c>
    </row>
    <row r="192" spans="1:15" s="2" customFormat="1" x14ac:dyDescent="0.25">
      <c r="A192" s="2">
        <v>192</v>
      </c>
      <c r="B192" s="2">
        <v>1</v>
      </c>
      <c r="C192" s="2">
        <v>50</v>
      </c>
      <c r="D192" s="2">
        <v>1</v>
      </c>
      <c r="E192" s="2">
        <v>20</v>
      </c>
      <c r="G192" s="2">
        <v>1</v>
      </c>
      <c r="H192" s="2">
        <v>4</v>
      </c>
      <c r="I192" s="2">
        <v>7602810</v>
      </c>
      <c r="J192" s="2" t="s">
        <v>205</v>
      </c>
      <c r="K192" s="2" t="s">
        <v>442</v>
      </c>
      <c r="L192" s="2" t="str">
        <f>"806RMQK097620"</f>
        <v>806RMQK097620</v>
      </c>
      <c r="M192" s="2" t="s">
        <v>2</v>
      </c>
      <c r="N192" s="18">
        <v>30915</v>
      </c>
      <c r="O192" s="2" t="s">
        <v>443</v>
      </c>
    </row>
    <row r="193" spans="1:15" s="2" customFormat="1" x14ac:dyDescent="0.25">
      <c r="A193" s="2">
        <v>193</v>
      </c>
      <c r="B193" s="2">
        <v>1</v>
      </c>
      <c r="C193" s="2">
        <v>20</v>
      </c>
      <c r="D193" s="2">
        <v>1</v>
      </c>
      <c r="E193" s="2">
        <v>5</v>
      </c>
      <c r="G193" s="2">
        <v>1</v>
      </c>
      <c r="H193" s="2">
        <v>4</v>
      </c>
      <c r="I193" s="2">
        <v>7602822</v>
      </c>
      <c r="J193" s="2" t="s">
        <v>206</v>
      </c>
      <c r="K193" s="2" t="s">
        <v>444</v>
      </c>
      <c r="L193" s="2" t="str">
        <f>"TR08XEA9260143"</f>
        <v>TR08XEA9260143</v>
      </c>
      <c r="M193" s="2" t="s">
        <v>2</v>
      </c>
      <c r="N193" s="18">
        <v>30916</v>
      </c>
      <c r="O193" s="2" t="s">
        <v>445</v>
      </c>
    </row>
    <row r="194" spans="1:15" s="2" customFormat="1" x14ac:dyDescent="0.25">
      <c r="A194" s="2">
        <v>194</v>
      </c>
      <c r="B194" s="2">
        <v>2</v>
      </c>
      <c r="C194" s="2">
        <v>76</v>
      </c>
      <c r="D194" s="2">
        <v>1</v>
      </c>
      <c r="E194" s="2">
        <v>10</v>
      </c>
      <c r="G194" s="2">
        <v>1</v>
      </c>
      <c r="H194" s="2">
        <v>39</v>
      </c>
      <c r="I194" s="2">
        <v>7606326</v>
      </c>
      <c r="J194" s="2" t="s">
        <v>185</v>
      </c>
      <c r="K194" s="2" t="s">
        <v>381</v>
      </c>
      <c r="L194" s="2" t="str">
        <f>"14101030105008"</f>
        <v>14101030105008</v>
      </c>
      <c r="M194" s="2" t="s">
        <v>2</v>
      </c>
      <c r="N194" s="18">
        <v>30917</v>
      </c>
      <c r="O194" s="2">
        <v>220</v>
      </c>
    </row>
    <row r="195" spans="1:15" s="2" customFormat="1" x14ac:dyDescent="0.25">
      <c r="A195" s="2">
        <v>195</v>
      </c>
      <c r="B195" s="2">
        <v>2</v>
      </c>
      <c r="C195" s="2">
        <v>76</v>
      </c>
      <c r="D195" s="2">
        <v>2</v>
      </c>
      <c r="E195" s="2">
        <v>10</v>
      </c>
      <c r="G195" s="2">
        <v>1</v>
      </c>
      <c r="H195" s="2">
        <v>39</v>
      </c>
      <c r="I195" s="2">
        <v>7606327</v>
      </c>
      <c r="J195" s="2" t="s">
        <v>185</v>
      </c>
      <c r="K195" s="2" t="s">
        <v>350</v>
      </c>
      <c r="L195" s="2" t="str">
        <f>"14101030105009"</f>
        <v>14101030105009</v>
      </c>
      <c r="M195" s="2" t="s">
        <v>2</v>
      </c>
      <c r="N195" s="18">
        <v>30918</v>
      </c>
      <c r="O195" s="2">
        <v>170</v>
      </c>
    </row>
    <row r="196" spans="1:15" s="2" customFormat="1" x14ac:dyDescent="0.25">
      <c r="A196" s="2">
        <v>196</v>
      </c>
      <c r="B196" s="2">
        <v>2</v>
      </c>
      <c r="C196" s="2">
        <v>76</v>
      </c>
      <c r="D196" s="2">
        <v>2</v>
      </c>
      <c r="E196" s="2">
        <v>10</v>
      </c>
      <c r="G196" s="2">
        <v>1</v>
      </c>
      <c r="H196" s="2">
        <v>39</v>
      </c>
      <c r="I196" s="2">
        <v>7606328</v>
      </c>
      <c r="J196" s="2" t="s">
        <v>185</v>
      </c>
      <c r="K196" s="2" t="s">
        <v>350</v>
      </c>
      <c r="L196" s="2" t="str">
        <f>"14101030105010"</f>
        <v>14101030105010</v>
      </c>
      <c r="M196" s="2" t="s">
        <v>2</v>
      </c>
      <c r="N196" s="18">
        <v>30919</v>
      </c>
      <c r="O196" s="2">
        <v>170</v>
      </c>
    </row>
    <row r="197" spans="1:15" s="2" customFormat="1" x14ac:dyDescent="0.25">
      <c r="A197" s="2">
        <v>197</v>
      </c>
      <c r="B197" s="2">
        <v>2</v>
      </c>
      <c r="C197" s="2">
        <v>76</v>
      </c>
      <c r="D197" s="2">
        <v>1</v>
      </c>
      <c r="E197" s="2">
        <v>10</v>
      </c>
      <c r="G197" s="2">
        <v>1</v>
      </c>
      <c r="H197" s="2">
        <v>39</v>
      </c>
      <c r="I197" s="2">
        <v>7606329</v>
      </c>
      <c r="J197" s="2" t="s">
        <v>185</v>
      </c>
      <c r="K197" s="2" t="s">
        <v>350</v>
      </c>
      <c r="L197" s="2" t="str">
        <f>"14101030105011"</f>
        <v>14101030105011</v>
      </c>
      <c r="M197" s="2" t="s">
        <v>2</v>
      </c>
      <c r="N197" s="18">
        <v>30920</v>
      </c>
      <c r="O197" s="2">
        <v>170</v>
      </c>
    </row>
    <row r="198" spans="1:15" s="2" customFormat="1" x14ac:dyDescent="0.25">
      <c r="A198" s="2">
        <v>198</v>
      </c>
      <c r="B198" s="2">
        <v>2</v>
      </c>
      <c r="C198" s="2">
        <v>76</v>
      </c>
      <c r="D198" s="2">
        <v>2</v>
      </c>
      <c r="E198" s="2">
        <v>10</v>
      </c>
      <c r="G198" s="2">
        <v>1</v>
      </c>
      <c r="H198" s="2">
        <v>39</v>
      </c>
      <c r="I198" s="2">
        <v>7606330</v>
      </c>
      <c r="J198" s="2" t="s">
        <v>185</v>
      </c>
      <c r="K198" s="2" t="s">
        <v>350</v>
      </c>
      <c r="L198" s="2" t="str">
        <f>"14101030105012"</f>
        <v>14101030105012</v>
      </c>
      <c r="M198" s="2" t="s">
        <v>2</v>
      </c>
      <c r="N198" s="18">
        <v>30921</v>
      </c>
      <c r="O198" s="2">
        <v>170</v>
      </c>
    </row>
    <row r="199" spans="1:15" s="2" customFormat="1" x14ac:dyDescent="0.25">
      <c r="A199" s="2">
        <v>199</v>
      </c>
      <c r="B199" s="2">
        <v>2</v>
      </c>
      <c r="C199" s="2">
        <v>76</v>
      </c>
      <c r="D199" s="2">
        <v>2</v>
      </c>
      <c r="E199" s="2">
        <v>10</v>
      </c>
      <c r="G199" s="2">
        <v>1</v>
      </c>
      <c r="H199" s="2">
        <v>39</v>
      </c>
      <c r="I199" s="2">
        <v>7606331</v>
      </c>
      <c r="J199" s="2" t="s">
        <v>185</v>
      </c>
      <c r="K199" s="2" t="s">
        <v>350</v>
      </c>
      <c r="L199" s="2" t="str">
        <f>"14101030105013"</f>
        <v>14101030105013</v>
      </c>
      <c r="M199" s="2" t="s">
        <v>2</v>
      </c>
      <c r="N199" s="18">
        <v>30922</v>
      </c>
      <c r="O199" s="2">
        <v>170</v>
      </c>
    </row>
    <row r="200" spans="1:15" s="2" customFormat="1" x14ac:dyDescent="0.25">
      <c r="A200" s="2">
        <v>200</v>
      </c>
      <c r="B200" s="2">
        <v>2</v>
      </c>
      <c r="C200" s="2">
        <v>76</v>
      </c>
      <c r="D200" s="2">
        <v>2</v>
      </c>
      <c r="E200" s="2">
        <v>10</v>
      </c>
      <c r="G200" s="2">
        <v>1</v>
      </c>
      <c r="H200" s="2">
        <v>39</v>
      </c>
      <c r="I200" s="2">
        <v>7606332</v>
      </c>
      <c r="J200" s="2" t="s">
        <v>185</v>
      </c>
      <c r="K200" s="2" t="s">
        <v>350</v>
      </c>
      <c r="L200" s="2" t="str">
        <f>"14101030105014"</f>
        <v>14101030105014</v>
      </c>
      <c r="M200" s="2" t="s">
        <v>2</v>
      </c>
      <c r="N200" s="18">
        <v>30923</v>
      </c>
      <c r="O200" s="2">
        <v>170</v>
      </c>
    </row>
    <row r="201" spans="1:15" s="2" customFormat="1" x14ac:dyDescent="0.25">
      <c r="A201" s="2">
        <v>201</v>
      </c>
      <c r="B201" s="2">
        <v>2</v>
      </c>
      <c r="C201" s="2">
        <v>76</v>
      </c>
      <c r="D201" s="2">
        <v>2</v>
      </c>
      <c r="E201" s="2">
        <v>10</v>
      </c>
      <c r="G201" s="2">
        <v>1</v>
      </c>
      <c r="H201" s="2">
        <v>39</v>
      </c>
      <c r="I201" s="2">
        <v>7606333</v>
      </c>
      <c r="J201" s="2" t="s">
        <v>185</v>
      </c>
      <c r="K201" s="2" t="s">
        <v>350</v>
      </c>
      <c r="L201" s="2" t="str">
        <f>"14101030105015"</f>
        <v>14101030105015</v>
      </c>
      <c r="M201" s="2" t="s">
        <v>2</v>
      </c>
      <c r="N201" s="18">
        <v>30924</v>
      </c>
      <c r="O201" s="2">
        <v>170</v>
      </c>
    </row>
    <row r="202" spans="1:15" s="2" customFormat="1" x14ac:dyDescent="0.25">
      <c r="A202" s="2">
        <v>202</v>
      </c>
      <c r="B202" s="2">
        <v>2</v>
      </c>
      <c r="C202" s="2">
        <v>76</v>
      </c>
      <c r="D202" s="2">
        <v>2</v>
      </c>
      <c r="E202" s="2">
        <v>10</v>
      </c>
      <c r="G202" s="2">
        <v>1</v>
      </c>
      <c r="H202" s="2">
        <v>39</v>
      </c>
      <c r="I202" s="2">
        <v>7606334</v>
      </c>
      <c r="J202" s="2" t="s">
        <v>185</v>
      </c>
      <c r="K202" s="2" t="s">
        <v>350</v>
      </c>
      <c r="L202" s="2" t="str">
        <f>"14101030105016"</f>
        <v>14101030105016</v>
      </c>
      <c r="M202" s="2" t="s">
        <v>2</v>
      </c>
      <c r="N202" s="18">
        <v>30925</v>
      </c>
      <c r="O202" s="2">
        <v>170</v>
      </c>
    </row>
    <row r="203" spans="1:15" s="2" customFormat="1" x14ac:dyDescent="0.25">
      <c r="A203" s="2">
        <v>203</v>
      </c>
      <c r="B203" s="2">
        <v>2</v>
      </c>
      <c r="C203" s="2">
        <v>76</v>
      </c>
      <c r="D203" s="2">
        <v>1</v>
      </c>
      <c r="E203" s="2">
        <v>20</v>
      </c>
      <c r="G203" s="2">
        <v>1</v>
      </c>
      <c r="H203" s="2">
        <v>39</v>
      </c>
      <c r="I203" s="2">
        <v>13184391</v>
      </c>
      <c r="J203" s="2" t="s">
        <v>177</v>
      </c>
      <c r="K203" s="2" t="s">
        <v>364</v>
      </c>
      <c r="L203" s="2" t="str">
        <f>"63445030113150"</f>
        <v>63445030113150</v>
      </c>
      <c r="M203" s="2" t="s">
        <v>2</v>
      </c>
      <c r="N203" s="18">
        <v>30926</v>
      </c>
      <c r="O203" s="2">
        <v>26</v>
      </c>
    </row>
    <row r="204" spans="1:15" s="2" customFormat="1" x14ac:dyDescent="0.25">
      <c r="A204" s="2">
        <v>204</v>
      </c>
      <c r="B204" s="2">
        <v>2</v>
      </c>
      <c r="C204" s="2">
        <v>76</v>
      </c>
      <c r="D204" s="2">
        <v>1</v>
      </c>
      <c r="E204" s="2">
        <v>20</v>
      </c>
      <c r="G204" s="2">
        <v>1</v>
      </c>
      <c r="H204" s="2">
        <v>39</v>
      </c>
      <c r="I204" s="2">
        <v>13184392</v>
      </c>
      <c r="J204" s="2" t="s">
        <v>177</v>
      </c>
      <c r="K204" s="2" t="s">
        <v>364</v>
      </c>
      <c r="L204" s="2" t="str">
        <f>"63445030113151"</f>
        <v>63445030113151</v>
      </c>
      <c r="M204" s="2" t="s">
        <v>2</v>
      </c>
      <c r="N204" s="18">
        <v>30927</v>
      </c>
      <c r="O204" s="2">
        <v>26</v>
      </c>
    </row>
    <row r="205" spans="1:15" s="2" customFormat="1" x14ac:dyDescent="0.25">
      <c r="A205" s="2">
        <v>205</v>
      </c>
      <c r="B205" s="2">
        <v>2</v>
      </c>
      <c r="C205" s="2">
        <v>76</v>
      </c>
      <c r="D205" s="2">
        <v>1</v>
      </c>
      <c r="E205" s="2">
        <v>20</v>
      </c>
      <c r="G205" s="2">
        <v>1</v>
      </c>
      <c r="H205" s="2">
        <v>39</v>
      </c>
      <c r="I205" s="2">
        <v>13184393</v>
      </c>
      <c r="J205" s="2" t="s">
        <v>177</v>
      </c>
      <c r="K205" s="2" t="s">
        <v>364</v>
      </c>
      <c r="L205" s="2" t="str">
        <f>"63445030113152"</f>
        <v>63445030113152</v>
      </c>
      <c r="M205" s="2" t="s">
        <v>2</v>
      </c>
      <c r="N205" s="18">
        <v>30928</v>
      </c>
      <c r="O205" s="2">
        <v>26</v>
      </c>
    </row>
    <row r="206" spans="1:15" s="2" customFormat="1" x14ac:dyDescent="0.25">
      <c r="A206" s="2">
        <v>206</v>
      </c>
      <c r="B206" s="2">
        <v>2</v>
      </c>
      <c r="C206" s="2">
        <v>76</v>
      </c>
      <c r="D206" s="2">
        <v>1</v>
      </c>
      <c r="E206" s="2">
        <v>20</v>
      </c>
      <c r="G206" s="2">
        <v>1</v>
      </c>
      <c r="H206" s="2">
        <v>39</v>
      </c>
      <c r="I206" s="2">
        <v>13184394</v>
      </c>
      <c r="J206" s="2" t="s">
        <v>177</v>
      </c>
      <c r="K206" s="2" t="s">
        <v>364</v>
      </c>
      <c r="L206" s="2" t="str">
        <f>"63445030113153"</f>
        <v>63445030113153</v>
      </c>
      <c r="M206" s="2" t="s">
        <v>2</v>
      </c>
      <c r="N206" s="18">
        <v>30929</v>
      </c>
      <c r="O206" s="2">
        <v>26</v>
      </c>
    </row>
    <row r="207" spans="1:15" s="2" customFormat="1" x14ac:dyDescent="0.25">
      <c r="A207" s="2">
        <v>207</v>
      </c>
      <c r="B207" s="2">
        <v>2</v>
      </c>
      <c r="C207" s="2">
        <v>76</v>
      </c>
      <c r="D207" s="2">
        <v>1</v>
      </c>
      <c r="E207" s="2">
        <v>20</v>
      </c>
      <c r="G207" s="2">
        <v>1</v>
      </c>
      <c r="H207" s="2">
        <v>39</v>
      </c>
      <c r="I207" s="2">
        <v>13184395</v>
      </c>
      <c r="J207" s="2" t="s">
        <v>177</v>
      </c>
      <c r="K207" s="2" t="s">
        <v>364</v>
      </c>
      <c r="L207" s="2" t="str">
        <f>"63445030113154"</f>
        <v>63445030113154</v>
      </c>
      <c r="M207" s="2" t="s">
        <v>2</v>
      </c>
      <c r="N207" s="18">
        <v>30930</v>
      </c>
      <c r="O207" s="2">
        <v>26</v>
      </c>
    </row>
    <row r="208" spans="1:15" s="2" customFormat="1" x14ac:dyDescent="0.25">
      <c r="A208" s="2">
        <v>208</v>
      </c>
      <c r="B208" s="2">
        <v>2</v>
      </c>
      <c r="C208" s="2">
        <v>76</v>
      </c>
      <c r="D208" s="2">
        <v>1</v>
      </c>
      <c r="E208" s="2">
        <v>20</v>
      </c>
      <c r="G208" s="2">
        <v>1</v>
      </c>
      <c r="H208" s="2">
        <v>39</v>
      </c>
      <c r="I208" s="2">
        <v>13184396</v>
      </c>
      <c r="J208" s="2" t="s">
        <v>177</v>
      </c>
      <c r="K208" s="2" t="s">
        <v>364</v>
      </c>
      <c r="L208" s="2" t="str">
        <f>"63445030113155"</f>
        <v>63445030113155</v>
      </c>
      <c r="M208" s="2" t="s">
        <v>2</v>
      </c>
      <c r="N208" s="18">
        <v>30931</v>
      </c>
      <c r="O208" s="2">
        <v>26</v>
      </c>
    </row>
    <row r="209" spans="1:15" s="2" customFormat="1" x14ac:dyDescent="0.25">
      <c r="A209" s="2">
        <v>209</v>
      </c>
      <c r="B209" s="2">
        <v>2</v>
      </c>
      <c r="C209" s="2">
        <v>76</v>
      </c>
      <c r="D209" s="2">
        <v>2</v>
      </c>
      <c r="E209" s="2">
        <v>20</v>
      </c>
      <c r="G209" s="2">
        <v>1</v>
      </c>
      <c r="H209" s="2">
        <v>39</v>
      </c>
      <c r="I209" s="2">
        <v>13184397</v>
      </c>
      <c r="J209" s="2" t="s">
        <v>177</v>
      </c>
      <c r="K209" s="2" t="s">
        <v>364</v>
      </c>
      <c r="L209" s="2" t="str">
        <f>"63445030113156"</f>
        <v>63445030113156</v>
      </c>
      <c r="M209" s="2" t="s">
        <v>2</v>
      </c>
      <c r="N209" s="18">
        <v>30932</v>
      </c>
      <c r="O209" s="2">
        <v>26</v>
      </c>
    </row>
    <row r="210" spans="1:15" s="2" customFormat="1" x14ac:dyDescent="0.25">
      <c r="A210" s="2">
        <v>210</v>
      </c>
      <c r="B210" s="2">
        <v>2</v>
      </c>
      <c r="C210" s="2">
        <v>76</v>
      </c>
      <c r="D210" s="2">
        <v>2</v>
      </c>
      <c r="E210" s="2">
        <v>20</v>
      </c>
      <c r="G210" s="2">
        <v>1</v>
      </c>
      <c r="H210" s="2">
        <v>39</v>
      </c>
      <c r="I210" s="2">
        <v>13184398</v>
      </c>
      <c r="J210" s="2" t="s">
        <v>177</v>
      </c>
      <c r="K210" s="2" t="s">
        <v>364</v>
      </c>
      <c r="L210" s="2" t="str">
        <f>"63445030113157"</f>
        <v>63445030113157</v>
      </c>
      <c r="M210" s="2" t="s">
        <v>2</v>
      </c>
      <c r="N210" s="18">
        <v>30933</v>
      </c>
      <c r="O210" s="2">
        <v>26</v>
      </c>
    </row>
    <row r="211" spans="1:15" s="2" customFormat="1" x14ac:dyDescent="0.25">
      <c r="A211" s="2">
        <v>211</v>
      </c>
      <c r="B211" s="2">
        <v>2</v>
      </c>
      <c r="C211" s="2">
        <v>76</v>
      </c>
      <c r="D211" s="2">
        <v>1</v>
      </c>
      <c r="E211" s="2">
        <v>20</v>
      </c>
      <c r="G211" s="2">
        <v>1</v>
      </c>
      <c r="H211" s="2">
        <v>39</v>
      </c>
      <c r="I211" s="2">
        <v>13184399</v>
      </c>
      <c r="J211" s="2" t="s">
        <v>177</v>
      </c>
      <c r="K211" s="2" t="s">
        <v>364</v>
      </c>
      <c r="L211" s="2" t="str">
        <f>"63445030113158"</f>
        <v>63445030113158</v>
      </c>
      <c r="M211" s="2" t="s">
        <v>2</v>
      </c>
      <c r="N211" s="18">
        <v>30934</v>
      </c>
      <c r="O211" s="2">
        <v>26</v>
      </c>
    </row>
    <row r="212" spans="1:15" s="2" customFormat="1" x14ac:dyDescent="0.25">
      <c r="A212" s="2">
        <v>212</v>
      </c>
      <c r="B212" s="2">
        <v>2</v>
      </c>
      <c r="C212" s="2">
        <v>76</v>
      </c>
      <c r="D212" s="2">
        <v>1</v>
      </c>
      <c r="E212" s="2">
        <v>20</v>
      </c>
      <c r="G212" s="2">
        <v>1</v>
      </c>
      <c r="H212" s="2">
        <v>39</v>
      </c>
      <c r="I212" s="2">
        <v>13184400</v>
      </c>
      <c r="J212" s="2" t="s">
        <v>177</v>
      </c>
      <c r="K212" s="2" t="s">
        <v>364</v>
      </c>
      <c r="L212" s="2" t="str">
        <f>"63445030113159"</f>
        <v>63445030113159</v>
      </c>
      <c r="M212" s="2" t="s">
        <v>2</v>
      </c>
      <c r="N212" s="18">
        <v>30935</v>
      </c>
      <c r="O212" s="2">
        <v>26</v>
      </c>
    </row>
    <row r="213" spans="1:15" s="2" customFormat="1" x14ac:dyDescent="0.25">
      <c r="A213" s="2">
        <v>213</v>
      </c>
      <c r="B213" s="2">
        <v>2</v>
      </c>
      <c r="C213" s="2">
        <v>76</v>
      </c>
      <c r="D213" s="2">
        <v>1</v>
      </c>
      <c r="E213" s="2">
        <v>20</v>
      </c>
      <c r="G213" s="2">
        <v>1</v>
      </c>
      <c r="H213" s="2">
        <v>39</v>
      </c>
      <c r="I213" s="2">
        <v>13184401</v>
      </c>
      <c r="J213" s="2" t="s">
        <v>177</v>
      </c>
      <c r="K213" s="2" t="s">
        <v>364</v>
      </c>
      <c r="L213" s="2" t="str">
        <f>"63445030113160"</f>
        <v>63445030113160</v>
      </c>
      <c r="M213" s="2" t="s">
        <v>2</v>
      </c>
      <c r="N213" s="18">
        <v>30936</v>
      </c>
      <c r="O213" s="2">
        <v>26</v>
      </c>
    </row>
    <row r="214" spans="1:15" s="2" customFormat="1" x14ac:dyDescent="0.25">
      <c r="A214" s="2">
        <v>214</v>
      </c>
      <c r="B214" s="2">
        <v>2</v>
      </c>
      <c r="C214" s="2">
        <v>76</v>
      </c>
      <c r="D214" s="2">
        <v>1</v>
      </c>
      <c r="E214" s="2">
        <v>20</v>
      </c>
      <c r="G214" s="2">
        <v>1</v>
      </c>
      <c r="H214" s="2">
        <v>39</v>
      </c>
      <c r="I214" s="2">
        <v>13184402</v>
      </c>
      <c r="J214" s="2" t="s">
        <v>177</v>
      </c>
      <c r="K214" s="2" t="s">
        <v>364</v>
      </c>
      <c r="L214" s="2" t="str">
        <f>"63445030113161"</f>
        <v>63445030113161</v>
      </c>
      <c r="M214" s="2" t="s">
        <v>2</v>
      </c>
      <c r="N214" s="18">
        <v>30937</v>
      </c>
      <c r="O214" s="2">
        <v>26</v>
      </c>
    </row>
    <row r="215" spans="1:15" s="2" customFormat="1" x14ac:dyDescent="0.25">
      <c r="A215" s="2">
        <v>215</v>
      </c>
      <c r="B215" s="2">
        <v>2</v>
      </c>
      <c r="C215" s="2">
        <v>76</v>
      </c>
      <c r="D215" s="2">
        <v>1</v>
      </c>
      <c r="E215" s="2">
        <v>20</v>
      </c>
      <c r="G215" s="2">
        <v>1</v>
      </c>
      <c r="H215" s="2">
        <v>39</v>
      </c>
      <c r="I215" s="2">
        <v>13184403</v>
      </c>
      <c r="J215" s="2" t="s">
        <v>177</v>
      </c>
      <c r="K215" s="2" t="s">
        <v>364</v>
      </c>
      <c r="L215" s="2" t="str">
        <f>"63445030113162"</f>
        <v>63445030113162</v>
      </c>
      <c r="M215" s="2" t="s">
        <v>2</v>
      </c>
      <c r="N215" s="18">
        <v>30938</v>
      </c>
      <c r="O215" s="2">
        <v>26</v>
      </c>
    </row>
    <row r="216" spans="1:15" s="2" customFormat="1" x14ac:dyDescent="0.25">
      <c r="A216" s="2">
        <v>216</v>
      </c>
      <c r="B216" s="2">
        <v>1</v>
      </c>
      <c r="C216" s="2">
        <v>5</v>
      </c>
      <c r="D216" s="2">
        <v>1</v>
      </c>
      <c r="E216" s="2">
        <v>20</v>
      </c>
      <c r="G216" s="2">
        <v>1</v>
      </c>
      <c r="H216" s="2">
        <v>4</v>
      </c>
      <c r="I216" s="2">
        <v>13182044</v>
      </c>
      <c r="J216" s="2" t="s">
        <v>207</v>
      </c>
      <c r="K216" s="2" t="s">
        <v>446</v>
      </c>
      <c r="L216" s="2" t="str">
        <f>"80803294"</f>
        <v>80803294</v>
      </c>
      <c r="M216" s="2" t="s">
        <v>2</v>
      </c>
      <c r="N216" s="18">
        <v>30939</v>
      </c>
      <c r="O216" s="2">
        <v>14</v>
      </c>
    </row>
    <row r="217" spans="1:15" s="2" customFormat="1" x14ac:dyDescent="0.25">
      <c r="A217" s="2">
        <v>217</v>
      </c>
      <c r="B217" s="2">
        <v>1</v>
      </c>
      <c r="C217" s="2">
        <v>5</v>
      </c>
      <c r="D217" s="2">
        <v>2</v>
      </c>
      <c r="E217" s="2">
        <v>20</v>
      </c>
      <c r="G217" s="2">
        <v>1</v>
      </c>
      <c r="H217" s="2">
        <v>4</v>
      </c>
      <c r="I217" s="2">
        <v>13182042</v>
      </c>
      <c r="J217" s="2" t="s">
        <v>207</v>
      </c>
      <c r="K217" s="2" t="s">
        <v>447</v>
      </c>
      <c r="L217" s="2" t="str">
        <f>"81304070"</f>
        <v>81304070</v>
      </c>
      <c r="M217" s="2" t="s">
        <v>2</v>
      </c>
      <c r="N217" s="18">
        <v>30940</v>
      </c>
      <c r="O217" s="2">
        <v>14</v>
      </c>
    </row>
    <row r="218" spans="1:15" s="2" customFormat="1" x14ac:dyDescent="0.25">
      <c r="A218" s="2">
        <v>218</v>
      </c>
      <c r="B218" s="2">
        <v>1</v>
      </c>
      <c r="C218" s="2">
        <v>5</v>
      </c>
      <c r="D218" s="2">
        <v>1</v>
      </c>
      <c r="E218" s="2">
        <v>20</v>
      </c>
      <c r="G218" s="2">
        <v>1</v>
      </c>
      <c r="H218" s="2">
        <v>4</v>
      </c>
      <c r="I218" s="2">
        <v>13182043</v>
      </c>
      <c r="J218" s="2" t="s">
        <v>207</v>
      </c>
      <c r="K218" s="2" t="s">
        <v>447</v>
      </c>
      <c r="L218" s="2" t="str">
        <f>"80803292"</f>
        <v>80803292</v>
      </c>
      <c r="M218" s="2" t="s">
        <v>2</v>
      </c>
      <c r="N218" s="18">
        <v>30941</v>
      </c>
      <c r="O218" s="2">
        <v>14</v>
      </c>
    </row>
    <row r="219" spans="1:15" s="2" customFormat="1" x14ac:dyDescent="0.25">
      <c r="A219" s="2">
        <v>219</v>
      </c>
      <c r="B219" s="2">
        <v>1</v>
      </c>
      <c r="C219" s="2">
        <v>42</v>
      </c>
      <c r="D219" s="2">
        <v>1</v>
      </c>
      <c r="E219" s="2">
        <v>13</v>
      </c>
      <c r="G219" s="2">
        <v>1</v>
      </c>
      <c r="H219" s="2">
        <v>4</v>
      </c>
      <c r="I219" s="2">
        <v>6794483</v>
      </c>
      <c r="J219" s="2" t="s">
        <v>201</v>
      </c>
      <c r="K219" s="2" t="s">
        <v>448</v>
      </c>
      <c r="L219" s="2" t="str">
        <f>"CN08BWK94C"</f>
        <v>CN08BWK94C</v>
      </c>
      <c r="M219" s="2" t="s">
        <v>2</v>
      </c>
      <c r="N219" s="18">
        <v>30942</v>
      </c>
      <c r="O219" s="2">
        <v>166</v>
      </c>
    </row>
    <row r="220" spans="1:15" s="2" customFormat="1" x14ac:dyDescent="0.25">
      <c r="A220" s="2">
        <v>220</v>
      </c>
      <c r="B220" s="2">
        <v>1</v>
      </c>
      <c r="C220" s="2">
        <v>31</v>
      </c>
      <c r="D220" s="2">
        <v>1</v>
      </c>
      <c r="E220" s="2">
        <v>13</v>
      </c>
      <c r="G220" s="2">
        <v>1</v>
      </c>
      <c r="H220" s="2">
        <v>4</v>
      </c>
      <c r="I220" s="2">
        <v>7602774</v>
      </c>
      <c r="J220" s="2" t="s">
        <v>208</v>
      </c>
      <c r="K220" s="2" t="s">
        <v>449</v>
      </c>
      <c r="L220" s="2" t="str">
        <f>"JWUF834801L"</f>
        <v>JWUF834801L</v>
      </c>
      <c r="M220" s="2" t="s">
        <v>2</v>
      </c>
      <c r="N220" s="18">
        <v>30943</v>
      </c>
      <c r="O220" s="2">
        <v>745</v>
      </c>
    </row>
    <row r="221" spans="1:15" s="2" customFormat="1" x14ac:dyDescent="0.25">
      <c r="A221" s="2">
        <v>221</v>
      </c>
      <c r="B221" s="2">
        <v>1</v>
      </c>
      <c r="C221" s="2">
        <v>31</v>
      </c>
      <c r="D221" s="2">
        <v>2</v>
      </c>
      <c r="E221" s="2">
        <v>13</v>
      </c>
      <c r="G221" s="2">
        <v>1</v>
      </c>
      <c r="H221" s="2">
        <v>4</v>
      </c>
      <c r="I221" s="2">
        <v>7602775</v>
      </c>
      <c r="J221" s="2" t="s">
        <v>208</v>
      </c>
      <c r="K221" s="2" t="s">
        <v>449</v>
      </c>
      <c r="L221" s="2" t="str">
        <f>"JWUF835176L"</f>
        <v>JWUF835176L</v>
      </c>
      <c r="M221" s="2" t="s">
        <v>2</v>
      </c>
      <c r="N221" s="18">
        <v>30944</v>
      </c>
      <c r="O221" s="2">
        <v>745</v>
      </c>
    </row>
    <row r="222" spans="1:15" s="2" customFormat="1" x14ac:dyDescent="0.25">
      <c r="A222" s="2">
        <v>222</v>
      </c>
      <c r="B222" s="2">
        <v>1</v>
      </c>
      <c r="C222" s="2">
        <v>77</v>
      </c>
      <c r="D222" s="2">
        <v>1</v>
      </c>
      <c r="E222" s="2">
        <v>23</v>
      </c>
      <c r="G222" s="2">
        <v>1</v>
      </c>
      <c r="H222" s="2">
        <v>4</v>
      </c>
      <c r="I222" s="2">
        <v>7602797</v>
      </c>
      <c r="J222" s="2" t="s">
        <v>180</v>
      </c>
      <c r="K222" s="2" t="s">
        <v>450</v>
      </c>
      <c r="L222" s="2" t="str">
        <f>"1062178"</f>
        <v>1062178</v>
      </c>
      <c r="M222" s="2" t="s">
        <v>2</v>
      </c>
      <c r="N222" s="18">
        <v>30945</v>
      </c>
      <c r="O222" s="2" t="s">
        <v>451</v>
      </c>
    </row>
    <row r="223" spans="1:15" s="2" customFormat="1" x14ac:dyDescent="0.25">
      <c r="A223" s="2">
        <v>223</v>
      </c>
      <c r="B223" s="2">
        <v>1</v>
      </c>
      <c r="C223" s="2">
        <v>77</v>
      </c>
      <c r="D223" s="2">
        <v>1</v>
      </c>
      <c r="E223" s="2">
        <v>23</v>
      </c>
      <c r="G223" s="2">
        <v>1</v>
      </c>
      <c r="H223" s="2">
        <v>4</v>
      </c>
      <c r="I223" s="2">
        <v>7602798</v>
      </c>
      <c r="J223" s="2" t="s">
        <v>180</v>
      </c>
      <c r="K223" s="2" t="s">
        <v>450</v>
      </c>
      <c r="L223" s="2" t="str">
        <f>"1062561"</f>
        <v>1062561</v>
      </c>
      <c r="M223" s="2" t="s">
        <v>2</v>
      </c>
      <c r="N223" s="18">
        <v>30946</v>
      </c>
      <c r="O223" s="2" t="s">
        <v>451</v>
      </c>
    </row>
    <row r="224" spans="1:15" s="2" customFormat="1" x14ac:dyDescent="0.25">
      <c r="A224" s="2">
        <v>224</v>
      </c>
      <c r="B224" s="2">
        <v>1</v>
      </c>
      <c r="C224" s="2">
        <v>77</v>
      </c>
      <c r="D224" s="2">
        <v>1</v>
      </c>
      <c r="E224" s="2">
        <v>23</v>
      </c>
      <c r="G224" s="2">
        <v>1</v>
      </c>
      <c r="H224" s="2">
        <v>4</v>
      </c>
      <c r="I224" s="2">
        <v>7602799</v>
      </c>
      <c r="J224" s="2" t="s">
        <v>180</v>
      </c>
      <c r="K224" s="2" t="s">
        <v>450</v>
      </c>
      <c r="L224" s="2" t="str">
        <f>"1066419"</f>
        <v>1066419</v>
      </c>
      <c r="M224" s="2" t="s">
        <v>2</v>
      </c>
      <c r="N224" s="18">
        <v>30947</v>
      </c>
      <c r="O224" s="2" t="s">
        <v>451</v>
      </c>
    </row>
    <row r="225" spans="1:15" s="2" customFormat="1" x14ac:dyDescent="0.25">
      <c r="A225" s="2">
        <v>225</v>
      </c>
      <c r="B225" s="2">
        <v>1</v>
      </c>
      <c r="C225" s="2">
        <v>77</v>
      </c>
      <c r="D225" s="2">
        <v>1</v>
      </c>
      <c r="E225" s="2">
        <v>23</v>
      </c>
      <c r="G225" s="2">
        <v>1</v>
      </c>
      <c r="H225" s="2">
        <v>4</v>
      </c>
      <c r="I225" s="2">
        <v>7602800</v>
      </c>
      <c r="J225" s="2" t="s">
        <v>180</v>
      </c>
      <c r="K225" s="2" t="s">
        <v>450</v>
      </c>
      <c r="L225" s="2" t="str">
        <f>"1066448"</f>
        <v>1066448</v>
      </c>
      <c r="M225" s="2" t="s">
        <v>2</v>
      </c>
      <c r="N225" s="18">
        <v>30948</v>
      </c>
      <c r="O225" s="2" t="s">
        <v>451</v>
      </c>
    </row>
    <row r="226" spans="1:15" s="2" customFormat="1" x14ac:dyDescent="0.25">
      <c r="A226" s="2">
        <v>226</v>
      </c>
      <c r="B226" s="2">
        <v>1</v>
      </c>
      <c r="C226" s="2">
        <v>77</v>
      </c>
      <c r="D226" s="2">
        <v>1</v>
      </c>
      <c r="E226" s="2">
        <v>23</v>
      </c>
      <c r="G226" s="2">
        <v>1</v>
      </c>
      <c r="H226" s="2">
        <v>4</v>
      </c>
      <c r="I226" s="2">
        <v>7602801</v>
      </c>
      <c r="J226" s="2" t="s">
        <v>180</v>
      </c>
      <c r="K226" s="2" t="s">
        <v>450</v>
      </c>
      <c r="L226" s="2" t="str">
        <f>"1059075"</f>
        <v>1059075</v>
      </c>
      <c r="M226" s="2" t="s">
        <v>2</v>
      </c>
      <c r="N226" s="18">
        <v>30949</v>
      </c>
      <c r="O226" s="2" t="s">
        <v>451</v>
      </c>
    </row>
    <row r="227" spans="1:15" s="2" customFormat="1" x14ac:dyDescent="0.25">
      <c r="A227" s="2">
        <v>227</v>
      </c>
      <c r="B227" s="2">
        <v>1</v>
      </c>
      <c r="C227" s="2">
        <v>5</v>
      </c>
      <c r="D227" s="2">
        <v>1</v>
      </c>
      <c r="E227" s="2">
        <v>20</v>
      </c>
      <c r="G227" s="2">
        <v>1</v>
      </c>
      <c r="H227" s="2">
        <v>4</v>
      </c>
      <c r="I227" s="2">
        <v>13182045</v>
      </c>
      <c r="J227" s="2" t="s">
        <v>207</v>
      </c>
      <c r="K227" s="2" t="s">
        <v>447</v>
      </c>
      <c r="L227" s="2" t="str">
        <f>"81304068"</f>
        <v>81304068</v>
      </c>
      <c r="M227" s="2" t="s">
        <v>2</v>
      </c>
      <c r="N227" s="18">
        <v>30950</v>
      </c>
      <c r="O227" s="2">
        <v>14</v>
      </c>
    </row>
    <row r="228" spans="1:15" s="2" customFormat="1" x14ac:dyDescent="0.25">
      <c r="A228" s="2">
        <v>228</v>
      </c>
      <c r="B228" s="2">
        <v>1</v>
      </c>
      <c r="C228" s="2">
        <v>5</v>
      </c>
      <c r="D228" s="2">
        <v>1</v>
      </c>
      <c r="E228" s="2">
        <v>20</v>
      </c>
      <c r="G228" s="2">
        <v>1</v>
      </c>
      <c r="H228" s="2">
        <v>4</v>
      </c>
      <c r="I228" s="2">
        <v>13182046</v>
      </c>
      <c r="J228" s="2" t="s">
        <v>207</v>
      </c>
      <c r="K228" s="2" t="s">
        <v>447</v>
      </c>
      <c r="L228" s="2" t="str">
        <f>"81304071"</f>
        <v>81304071</v>
      </c>
      <c r="M228" s="2" t="s">
        <v>2</v>
      </c>
      <c r="N228" s="18">
        <v>30951</v>
      </c>
      <c r="O228" s="2">
        <v>14</v>
      </c>
    </row>
    <row r="229" spans="1:15" s="2" customFormat="1" x14ac:dyDescent="0.25">
      <c r="A229" s="2">
        <v>229</v>
      </c>
      <c r="B229" s="2">
        <v>2</v>
      </c>
      <c r="C229" s="2">
        <v>76</v>
      </c>
      <c r="D229" s="2">
        <v>1</v>
      </c>
      <c r="E229" s="2">
        <v>10</v>
      </c>
      <c r="G229" s="2">
        <v>1</v>
      </c>
      <c r="H229" s="2">
        <v>39</v>
      </c>
      <c r="I229" s="2">
        <v>13184241</v>
      </c>
      <c r="J229" s="2" t="s">
        <v>170</v>
      </c>
      <c r="K229" s="2" t="s">
        <v>432</v>
      </c>
      <c r="L229" s="2" t="str">
        <f>"63445030101006"</f>
        <v>63445030101006</v>
      </c>
      <c r="M229" s="2" t="s">
        <v>2</v>
      </c>
      <c r="N229" s="18">
        <v>30952</v>
      </c>
      <c r="O229" s="2">
        <v>70</v>
      </c>
    </row>
    <row r="230" spans="1:15" s="2" customFormat="1" x14ac:dyDescent="0.25">
      <c r="A230" s="2">
        <v>230</v>
      </c>
      <c r="B230" s="2">
        <v>2</v>
      </c>
      <c r="C230" s="2">
        <v>76</v>
      </c>
      <c r="D230" s="2">
        <v>1</v>
      </c>
      <c r="E230" s="2">
        <v>10</v>
      </c>
      <c r="G230" s="2">
        <v>1</v>
      </c>
      <c r="H230" s="2">
        <v>39</v>
      </c>
      <c r="I230" s="2">
        <v>13184242</v>
      </c>
      <c r="J230" s="2" t="s">
        <v>170</v>
      </c>
      <c r="K230" s="2" t="s">
        <v>432</v>
      </c>
      <c r="L230" s="2" t="str">
        <f>"63445030101007"</f>
        <v>63445030101007</v>
      </c>
      <c r="M230" s="2" t="s">
        <v>2</v>
      </c>
      <c r="N230" s="18">
        <v>30953</v>
      </c>
      <c r="O230" s="2">
        <v>70</v>
      </c>
    </row>
    <row r="231" spans="1:15" s="2" customFormat="1" x14ac:dyDescent="0.25">
      <c r="A231" s="2">
        <v>231</v>
      </c>
      <c r="B231" s="2">
        <v>2</v>
      </c>
      <c r="C231" s="2">
        <v>76</v>
      </c>
      <c r="D231" s="2">
        <v>1</v>
      </c>
      <c r="E231" s="2">
        <v>10</v>
      </c>
      <c r="G231" s="2">
        <v>1</v>
      </c>
      <c r="H231" s="2">
        <v>39</v>
      </c>
      <c r="I231" s="2">
        <v>13184243</v>
      </c>
      <c r="J231" s="2" t="s">
        <v>170</v>
      </c>
      <c r="K231" s="2" t="s">
        <v>432</v>
      </c>
      <c r="L231" s="2" t="str">
        <f>"63445030101008"</f>
        <v>63445030101008</v>
      </c>
      <c r="M231" s="2" t="s">
        <v>2</v>
      </c>
      <c r="N231" s="18">
        <v>30954</v>
      </c>
      <c r="O231" s="2">
        <v>70</v>
      </c>
    </row>
    <row r="232" spans="1:15" s="2" customFormat="1" x14ac:dyDescent="0.25">
      <c r="A232" s="2">
        <v>232</v>
      </c>
      <c r="B232" s="2">
        <v>2</v>
      </c>
      <c r="C232" s="2">
        <v>76</v>
      </c>
      <c r="D232" s="2">
        <v>2</v>
      </c>
      <c r="E232" s="2">
        <v>10</v>
      </c>
      <c r="G232" s="2">
        <v>1</v>
      </c>
      <c r="H232" s="2">
        <v>39</v>
      </c>
      <c r="I232" s="2">
        <v>13184296</v>
      </c>
      <c r="J232" s="2" t="s">
        <v>282</v>
      </c>
      <c r="K232" s="2" t="s">
        <v>350</v>
      </c>
      <c r="L232" s="2" t="str">
        <f>"63445030110017"</f>
        <v>63445030110017</v>
      </c>
      <c r="M232" s="2" t="s">
        <v>2</v>
      </c>
      <c r="N232" s="18">
        <v>30955</v>
      </c>
      <c r="O232" s="2" t="s">
        <v>452</v>
      </c>
    </row>
    <row r="233" spans="1:15" s="2" customFormat="1" x14ac:dyDescent="0.25">
      <c r="A233" s="2">
        <v>233</v>
      </c>
      <c r="B233" s="2">
        <v>2</v>
      </c>
      <c r="C233" s="2">
        <v>76</v>
      </c>
      <c r="D233" s="2">
        <v>2</v>
      </c>
      <c r="E233" s="2">
        <v>10</v>
      </c>
      <c r="G233" s="2">
        <v>1</v>
      </c>
      <c r="H233" s="2">
        <v>39</v>
      </c>
      <c r="I233" s="2">
        <v>13184297</v>
      </c>
      <c r="J233" s="2" t="s">
        <v>282</v>
      </c>
      <c r="K233" s="2" t="s">
        <v>350</v>
      </c>
      <c r="L233" s="2" t="str">
        <f>"63445030110018"</f>
        <v>63445030110018</v>
      </c>
      <c r="M233" s="2" t="s">
        <v>2</v>
      </c>
      <c r="N233" s="18">
        <v>30956</v>
      </c>
      <c r="O233" s="2" t="s">
        <v>452</v>
      </c>
    </row>
    <row r="234" spans="1:15" s="2" customFormat="1" x14ac:dyDescent="0.25">
      <c r="A234" s="2">
        <v>234</v>
      </c>
      <c r="B234" s="2">
        <v>2</v>
      </c>
      <c r="C234" s="2">
        <v>76</v>
      </c>
      <c r="D234" s="2">
        <v>2</v>
      </c>
      <c r="E234" s="2">
        <v>10</v>
      </c>
      <c r="G234" s="2">
        <v>1</v>
      </c>
      <c r="H234" s="2">
        <v>39</v>
      </c>
      <c r="I234" s="2">
        <v>13184298</v>
      </c>
      <c r="J234" s="2" t="s">
        <v>282</v>
      </c>
      <c r="K234" s="2" t="s">
        <v>350</v>
      </c>
      <c r="L234" s="2" t="str">
        <f>"63445030110019"</f>
        <v>63445030110019</v>
      </c>
      <c r="M234" s="2" t="s">
        <v>2</v>
      </c>
      <c r="N234" s="18">
        <v>30957</v>
      </c>
      <c r="O234" s="2" t="s">
        <v>452</v>
      </c>
    </row>
    <row r="235" spans="1:15" s="2" customFormat="1" x14ac:dyDescent="0.25">
      <c r="A235" s="2">
        <v>235</v>
      </c>
      <c r="B235" s="2">
        <v>2</v>
      </c>
      <c r="C235" s="2">
        <v>76</v>
      </c>
      <c r="D235" s="2">
        <v>2</v>
      </c>
      <c r="E235" s="2">
        <v>10</v>
      </c>
      <c r="G235" s="2">
        <v>1</v>
      </c>
      <c r="H235" s="2">
        <v>39</v>
      </c>
      <c r="I235" s="2">
        <v>13184299</v>
      </c>
      <c r="J235" s="2" t="s">
        <v>282</v>
      </c>
      <c r="K235" s="2" t="s">
        <v>350</v>
      </c>
      <c r="L235" s="2" t="str">
        <f>"63445030110020"</f>
        <v>63445030110020</v>
      </c>
      <c r="M235" s="2" t="s">
        <v>2</v>
      </c>
      <c r="N235" s="18">
        <v>30958</v>
      </c>
      <c r="O235" s="2" t="s">
        <v>452</v>
      </c>
    </row>
    <row r="236" spans="1:15" s="2" customFormat="1" x14ac:dyDescent="0.25">
      <c r="A236" s="2">
        <v>236</v>
      </c>
      <c r="B236" s="2">
        <v>2</v>
      </c>
      <c r="C236" s="2">
        <v>76</v>
      </c>
      <c r="D236" s="2">
        <v>2</v>
      </c>
      <c r="E236" s="2">
        <v>10</v>
      </c>
      <c r="G236" s="2">
        <v>1</v>
      </c>
      <c r="H236" s="2">
        <v>39</v>
      </c>
      <c r="I236" s="2">
        <v>13184300</v>
      </c>
      <c r="J236" s="2" t="s">
        <v>282</v>
      </c>
      <c r="K236" s="2" t="s">
        <v>350</v>
      </c>
      <c r="L236" s="2" t="str">
        <f>"63445030110021"</f>
        <v>63445030110021</v>
      </c>
      <c r="M236" s="2" t="s">
        <v>2</v>
      </c>
      <c r="N236" s="18">
        <v>30959</v>
      </c>
      <c r="O236" s="2" t="s">
        <v>452</v>
      </c>
    </row>
    <row r="237" spans="1:15" s="2" customFormat="1" x14ac:dyDescent="0.25">
      <c r="A237" s="2">
        <v>237</v>
      </c>
      <c r="B237" s="2">
        <v>2</v>
      </c>
      <c r="C237" s="2">
        <v>76</v>
      </c>
      <c r="D237" s="2">
        <v>2</v>
      </c>
      <c r="E237" s="2">
        <v>10</v>
      </c>
      <c r="G237" s="2">
        <v>1</v>
      </c>
      <c r="H237" s="2">
        <v>39</v>
      </c>
      <c r="I237" s="2">
        <v>13184301</v>
      </c>
      <c r="J237" s="2" t="s">
        <v>282</v>
      </c>
      <c r="K237" s="2" t="s">
        <v>350</v>
      </c>
      <c r="L237" s="2" t="str">
        <f>"63445030110022"</f>
        <v>63445030110022</v>
      </c>
      <c r="M237" s="2" t="s">
        <v>2</v>
      </c>
      <c r="N237" s="18">
        <v>30960</v>
      </c>
      <c r="O237" s="2" t="s">
        <v>452</v>
      </c>
    </row>
    <row r="238" spans="1:15" s="2" customFormat="1" x14ac:dyDescent="0.25">
      <c r="A238" s="2">
        <v>238</v>
      </c>
      <c r="B238" s="2">
        <v>2</v>
      </c>
      <c r="C238" s="2">
        <v>76</v>
      </c>
      <c r="D238" s="2">
        <v>2</v>
      </c>
      <c r="E238" s="2">
        <v>20</v>
      </c>
      <c r="G238" s="2">
        <v>1</v>
      </c>
      <c r="H238" s="2">
        <v>39</v>
      </c>
      <c r="I238" s="2">
        <v>13184326</v>
      </c>
      <c r="J238" s="2" t="s">
        <v>183</v>
      </c>
      <c r="K238" s="2" t="s">
        <v>387</v>
      </c>
      <c r="L238" s="2" t="str">
        <f>"63445030113021"</f>
        <v>63445030113021</v>
      </c>
      <c r="M238" s="2" t="s">
        <v>2</v>
      </c>
      <c r="N238" s="18">
        <v>30961</v>
      </c>
      <c r="O238" s="2">
        <v>55</v>
      </c>
    </row>
    <row r="239" spans="1:15" s="2" customFormat="1" x14ac:dyDescent="0.25">
      <c r="A239" s="2">
        <v>239</v>
      </c>
      <c r="B239" s="2">
        <v>2</v>
      </c>
      <c r="C239" s="2">
        <v>76</v>
      </c>
      <c r="D239" s="2">
        <v>2</v>
      </c>
      <c r="E239" s="2">
        <v>20</v>
      </c>
      <c r="G239" s="2">
        <v>1</v>
      </c>
      <c r="H239" s="2">
        <v>39</v>
      </c>
      <c r="I239" s="2">
        <v>7606385</v>
      </c>
      <c r="J239" s="2" t="s">
        <v>189</v>
      </c>
      <c r="K239" s="2" t="s">
        <v>381</v>
      </c>
      <c r="L239" s="2" t="str">
        <f>"14101030112017"</f>
        <v>14101030112017</v>
      </c>
      <c r="M239" s="2" t="s">
        <v>2</v>
      </c>
      <c r="N239" s="18">
        <v>30962</v>
      </c>
      <c r="O239" s="2">
        <v>165</v>
      </c>
    </row>
    <row r="240" spans="1:15" s="2" customFormat="1" x14ac:dyDescent="0.25">
      <c r="A240" s="2">
        <v>240</v>
      </c>
      <c r="B240" s="2">
        <v>2</v>
      </c>
      <c r="C240" s="2">
        <v>76</v>
      </c>
      <c r="D240" s="2">
        <v>2</v>
      </c>
      <c r="E240" s="2">
        <v>20</v>
      </c>
      <c r="G240" s="2">
        <v>1</v>
      </c>
      <c r="H240" s="2">
        <v>39</v>
      </c>
      <c r="I240" s="2">
        <v>7606386</v>
      </c>
      <c r="J240" s="2" t="s">
        <v>189</v>
      </c>
      <c r="K240" s="2" t="s">
        <v>404</v>
      </c>
      <c r="L240" s="2" t="str">
        <f>"14101030112020"</f>
        <v>14101030112020</v>
      </c>
      <c r="M240" s="2" t="s">
        <v>2</v>
      </c>
      <c r="N240" s="18">
        <v>30963</v>
      </c>
      <c r="O240" s="2">
        <v>110</v>
      </c>
    </row>
    <row r="241" spans="1:15" s="2" customFormat="1" x14ac:dyDescent="0.25">
      <c r="A241" s="2">
        <v>241</v>
      </c>
      <c r="B241" s="2">
        <v>2</v>
      </c>
      <c r="C241" s="2">
        <v>76</v>
      </c>
      <c r="D241" s="2">
        <v>1</v>
      </c>
      <c r="E241" s="2">
        <v>20</v>
      </c>
      <c r="G241" s="2">
        <v>1</v>
      </c>
      <c r="H241" s="2">
        <v>39</v>
      </c>
      <c r="I241" s="2">
        <v>7606387</v>
      </c>
      <c r="J241" s="2" t="s">
        <v>189</v>
      </c>
      <c r="K241" s="2" t="s">
        <v>404</v>
      </c>
      <c r="L241" s="2" t="str">
        <f>"14101030112021"</f>
        <v>14101030112021</v>
      </c>
      <c r="M241" s="2" t="s">
        <v>2</v>
      </c>
      <c r="N241" s="18">
        <v>30964</v>
      </c>
      <c r="O241" s="2">
        <v>110</v>
      </c>
    </row>
    <row r="242" spans="1:15" s="2" customFormat="1" x14ac:dyDescent="0.25">
      <c r="A242" s="2">
        <v>242</v>
      </c>
      <c r="B242" s="2">
        <v>2</v>
      </c>
      <c r="C242" s="2">
        <v>76</v>
      </c>
      <c r="D242" s="2">
        <v>3</v>
      </c>
      <c r="E242" s="2">
        <v>20</v>
      </c>
      <c r="G242" s="2">
        <v>1</v>
      </c>
      <c r="H242" s="2">
        <v>39</v>
      </c>
      <c r="I242" s="2">
        <v>7606388</v>
      </c>
      <c r="J242" s="2" t="s">
        <v>189</v>
      </c>
      <c r="K242" s="2" t="s">
        <v>404</v>
      </c>
      <c r="L242" s="2" t="str">
        <f>"14101030112022"</f>
        <v>14101030112022</v>
      </c>
      <c r="M242" s="2" t="s">
        <v>2</v>
      </c>
      <c r="N242" s="18">
        <v>30965</v>
      </c>
      <c r="O242" s="2">
        <v>110</v>
      </c>
    </row>
    <row r="243" spans="1:15" s="2" customFormat="1" x14ac:dyDescent="0.25">
      <c r="A243" s="2">
        <v>243</v>
      </c>
      <c r="B243" s="2">
        <v>2</v>
      </c>
      <c r="C243" s="2">
        <v>76</v>
      </c>
      <c r="D243" s="2">
        <v>2</v>
      </c>
      <c r="E243" s="2">
        <v>20</v>
      </c>
      <c r="G243" s="2">
        <v>1</v>
      </c>
      <c r="H243" s="2">
        <v>39</v>
      </c>
      <c r="I243" s="2">
        <v>7606389</v>
      </c>
      <c r="J243" s="2" t="s">
        <v>189</v>
      </c>
      <c r="K243" s="2" t="s">
        <v>404</v>
      </c>
      <c r="L243" s="2" t="str">
        <f>"14101030112023"</f>
        <v>14101030112023</v>
      </c>
      <c r="M243" s="2" t="s">
        <v>2</v>
      </c>
      <c r="N243" s="18">
        <v>30966</v>
      </c>
      <c r="O243" s="2">
        <v>110</v>
      </c>
    </row>
    <row r="244" spans="1:15" s="2" customFormat="1" x14ac:dyDescent="0.25">
      <c r="A244" s="2">
        <v>244</v>
      </c>
      <c r="B244" s="2">
        <v>2</v>
      </c>
      <c r="C244" s="2">
        <v>76</v>
      </c>
      <c r="D244" s="2">
        <v>3</v>
      </c>
      <c r="E244" s="2">
        <v>20</v>
      </c>
      <c r="G244" s="2">
        <v>1</v>
      </c>
      <c r="H244" s="2">
        <v>39</v>
      </c>
      <c r="I244" s="2">
        <v>7606390</v>
      </c>
      <c r="J244" s="2" t="s">
        <v>189</v>
      </c>
      <c r="K244" s="2" t="s">
        <v>404</v>
      </c>
      <c r="L244" s="2" t="str">
        <f>"14101030112024"</f>
        <v>14101030112024</v>
      </c>
      <c r="M244" s="2" t="s">
        <v>2</v>
      </c>
      <c r="N244" s="18">
        <v>30967</v>
      </c>
      <c r="O244" s="2">
        <v>110</v>
      </c>
    </row>
    <row r="245" spans="1:15" s="2" customFormat="1" x14ac:dyDescent="0.25">
      <c r="A245" s="2">
        <v>245</v>
      </c>
      <c r="B245" s="2">
        <v>2</v>
      </c>
      <c r="C245" s="2">
        <v>76</v>
      </c>
      <c r="D245" s="2">
        <v>2</v>
      </c>
      <c r="E245" s="2">
        <v>20</v>
      </c>
      <c r="G245" s="2">
        <v>1</v>
      </c>
      <c r="H245" s="2">
        <v>39</v>
      </c>
      <c r="I245" s="2">
        <v>13184387</v>
      </c>
      <c r="J245" s="2" t="s">
        <v>177</v>
      </c>
      <c r="K245" s="2" t="s">
        <v>364</v>
      </c>
      <c r="L245" s="2" t="str">
        <f>"63445030113146"</f>
        <v>63445030113146</v>
      </c>
      <c r="M245" s="2" t="s">
        <v>2</v>
      </c>
      <c r="N245" s="18">
        <v>30968</v>
      </c>
      <c r="O245" s="2">
        <v>26</v>
      </c>
    </row>
    <row r="246" spans="1:15" s="2" customFormat="1" x14ac:dyDescent="0.25">
      <c r="A246" s="2">
        <v>246</v>
      </c>
      <c r="B246" s="2">
        <v>2</v>
      </c>
      <c r="C246" s="2">
        <v>76</v>
      </c>
      <c r="D246" s="2">
        <v>2</v>
      </c>
      <c r="E246" s="2">
        <v>20</v>
      </c>
      <c r="G246" s="2">
        <v>1</v>
      </c>
      <c r="H246" s="2">
        <v>39</v>
      </c>
      <c r="I246" s="2">
        <v>13184388</v>
      </c>
      <c r="J246" s="2" t="s">
        <v>177</v>
      </c>
      <c r="K246" s="2" t="s">
        <v>364</v>
      </c>
      <c r="L246" s="2" t="str">
        <f>"63445030113147"</f>
        <v>63445030113147</v>
      </c>
      <c r="M246" s="2" t="s">
        <v>2</v>
      </c>
      <c r="N246" s="18">
        <v>30969</v>
      </c>
      <c r="O246" s="2">
        <v>26</v>
      </c>
    </row>
    <row r="247" spans="1:15" s="2" customFormat="1" x14ac:dyDescent="0.25">
      <c r="A247" s="2">
        <v>247</v>
      </c>
      <c r="B247" s="2">
        <v>2</v>
      </c>
      <c r="C247" s="2">
        <v>76</v>
      </c>
      <c r="D247" s="2">
        <v>2</v>
      </c>
      <c r="E247" s="2">
        <v>20</v>
      </c>
      <c r="G247" s="2">
        <v>1</v>
      </c>
      <c r="H247" s="2">
        <v>39</v>
      </c>
      <c r="I247" s="2">
        <v>13184389</v>
      </c>
      <c r="J247" s="2" t="s">
        <v>177</v>
      </c>
      <c r="K247" s="2" t="s">
        <v>364</v>
      </c>
      <c r="L247" s="2" t="str">
        <f>"63445030113148"</f>
        <v>63445030113148</v>
      </c>
      <c r="M247" s="2" t="s">
        <v>2</v>
      </c>
      <c r="N247" s="18">
        <v>30970</v>
      </c>
      <c r="O247" s="2">
        <v>26</v>
      </c>
    </row>
    <row r="248" spans="1:15" s="2" customFormat="1" x14ac:dyDescent="0.25">
      <c r="A248" s="2">
        <v>248</v>
      </c>
      <c r="B248" s="2">
        <v>2</v>
      </c>
      <c r="C248" s="2">
        <v>76</v>
      </c>
      <c r="D248" s="2">
        <v>2</v>
      </c>
      <c r="E248" s="2">
        <v>20</v>
      </c>
      <c r="G248" s="2">
        <v>1</v>
      </c>
      <c r="H248" s="2">
        <v>39</v>
      </c>
      <c r="I248" s="2">
        <v>13184390</v>
      </c>
      <c r="J248" s="2" t="s">
        <v>177</v>
      </c>
      <c r="K248" s="2" t="s">
        <v>364</v>
      </c>
      <c r="L248" s="2" t="str">
        <f>"63445030113149"</f>
        <v>63445030113149</v>
      </c>
      <c r="M248" s="2" t="s">
        <v>2</v>
      </c>
      <c r="N248" s="18">
        <v>30971</v>
      </c>
      <c r="O248" s="2">
        <v>26</v>
      </c>
    </row>
    <row r="249" spans="1:15" s="2" customFormat="1" x14ac:dyDescent="0.25">
      <c r="A249" s="2">
        <v>249</v>
      </c>
      <c r="B249" s="2">
        <v>2</v>
      </c>
      <c r="C249" s="2">
        <v>76</v>
      </c>
      <c r="D249" s="2">
        <v>1</v>
      </c>
      <c r="E249" s="2">
        <v>20</v>
      </c>
      <c r="G249" s="2">
        <v>1</v>
      </c>
      <c r="H249" s="2">
        <v>39</v>
      </c>
      <c r="I249" s="2">
        <v>13184404</v>
      </c>
      <c r="J249" s="2" t="s">
        <v>177</v>
      </c>
      <c r="K249" s="2" t="s">
        <v>364</v>
      </c>
      <c r="L249" s="2" t="str">
        <f>"63445030113163"</f>
        <v>63445030113163</v>
      </c>
      <c r="M249" s="2" t="s">
        <v>2</v>
      </c>
      <c r="N249" s="18">
        <v>30972</v>
      </c>
      <c r="O249" s="2">
        <v>26</v>
      </c>
    </row>
    <row r="250" spans="1:15" s="2" customFormat="1" x14ac:dyDescent="0.25">
      <c r="A250" s="2">
        <v>250</v>
      </c>
      <c r="B250" s="2">
        <v>2</v>
      </c>
      <c r="C250" s="2">
        <v>76</v>
      </c>
      <c r="D250" s="2">
        <v>1</v>
      </c>
      <c r="E250" s="2">
        <v>20</v>
      </c>
      <c r="G250" s="2">
        <v>1</v>
      </c>
      <c r="H250" s="2">
        <v>39</v>
      </c>
      <c r="I250" s="2">
        <v>13184405</v>
      </c>
      <c r="J250" s="2" t="s">
        <v>177</v>
      </c>
      <c r="K250" s="2" t="s">
        <v>364</v>
      </c>
      <c r="L250" s="2" t="str">
        <f>"63445030113164"</f>
        <v>63445030113164</v>
      </c>
      <c r="M250" s="2" t="s">
        <v>2</v>
      </c>
      <c r="N250" s="18">
        <v>30973</v>
      </c>
      <c r="O250" s="2">
        <v>26</v>
      </c>
    </row>
    <row r="251" spans="1:15" s="2" customFormat="1" x14ac:dyDescent="0.25">
      <c r="A251" s="2">
        <v>251</v>
      </c>
      <c r="B251" s="2">
        <v>2</v>
      </c>
      <c r="C251" s="2">
        <v>76</v>
      </c>
      <c r="D251" s="2">
        <v>1</v>
      </c>
      <c r="E251" s="2">
        <v>20</v>
      </c>
      <c r="G251" s="2">
        <v>1</v>
      </c>
      <c r="H251" s="2">
        <v>39</v>
      </c>
      <c r="I251" s="2">
        <v>13184406</v>
      </c>
      <c r="J251" s="2" t="s">
        <v>177</v>
      </c>
      <c r="K251" s="2" t="s">
        <v>364</v>
      </c>
      <c r="L251" s="2" t="str">
        <f>"63445030113165"</f>
        <v>63445030113165</v>
      </c>
      <c r="M251" s="2" t="s">
        <v>2</v>
      </c>
      <c r="N251" s="18">
        <v>30974</v>
      </c>
      <c r="O251" s="2">
        <v>26</v>
      </c>
    </row>
    <row r="252" spans="1:15" s="2" customFormat="1" x14ac:dyDescent="0.25">
      <c r="A252" s="2">
        <v>252</v>
      </c>
      <c r="B252" s="2">
        <v>2</v>
      </c>
      <c r="C252" s="2">
        <v>76</v>
      </c>
      <c r="D252" s="2">
        <v>1</v>
      </c>
      <c r="E252" s="2">
        <v>20</v>
      </c>
      <c r="G252" s="2">
        <v>1</v>
      </c>
      <c r="H252" s="2">
        <v>39</v>
      </c>
      <c r="I252" s="2">
        <v>13184407</v>
      </c>
      <c r="J252" s="2" t="s">
        <v>177</v>
      </c>
      <c r="K252" s="2" t="s">
        <v>364</v>
      </c>
      <c r="L252" s="2" t="str">
        <f>"63445030113166"</f>
        <v>63445030113166</v>
      </c>
      <c r="M252" s="2" t="s">
        <v>2</v>
      </c>
      <c r="N252" s="18">
        <v>30975</v>
      </c>
      <c r="O252" s="2">
        <v>26</v>
      </c>
    </row>
    <row r="253" spans="1:15" s="2" customFormat="1" x14ac:dyDescent="0.25">
      <c r="A253" s="2">
        <v>253</v>
      </c>
      <c r="B253" s="2">
        <v>2</v>
      </c>
      <c r="C253" s="2">
        <v>76</v>
      </c>
      <c r="D253" s="2">
        <v>1</v>
      </c>
      <c r="E253" s="2">
        <v>20</v>
      </c>
      <c r="G253" s="2">
        <v>1</v>
      </c>
      <c r="H253" s="2">
        <v>39</v>
      </c>
      <c r="I253" s="2">
        <v>13184408</v>
      </c>
      <c r="J253" s="2" t="s">
        <v>177</v>
      </c>
      <c r="K253" s="2" t="s">
        <v>364</v>
      </c>
      <c r="L253" s="2" t="str">
        <f>"63445030113167"</f>
        <v>63445030113167</v>
      </c>
      <c r="M253" s="2" t="s">
        <v>2</v>
      </c>
      <c r="N253" s="18">
        <v>30976</v>
      </c>
      <c r="O253" s="2">
        <v>26</v>
      </c>
    </row>
    <row r="254" spans="1:15" s="2" customFormat="1" x14ac:dyDescent="0.25">
      <c r="A254" s="2">
        <v>254</v>
      </c>
      <c r="B254" s="2">
        <v>2</v>
      </c>
      <c r="C254" s="2">
        <v>76</v>
      </c>
      <c r="D254" s="2">
        <v>1</v>
      </c>
      <c r="E254" s="2">
        <v>20</v>
      </c>
      <c r="G254" s="2">
        <v>1</v>
      </c>
      <c r="H254" s="2">
        <v>39</v>
      </c>
      <c r="I254" s="2">
        <v>13184409</v>
      </c>
      <c r="J254" s="2" t="s">
        <v>177</v>
      </c>
      <c r="K254" s="2" t="s">
        <v>364</v>
      </c>
      <c r="L254" s="2" t="str">
        <f>"63445030113168"</f>
        <v>63445030113168</v>
      </c>
      <c r="M254" s="2" t="s">
        <v>2</v>
      </c>
      <c r="N254" s="18">
        <v>30977</v>
      </c>
      <c r="O254" s="2">
        <v>26</v>
      </c>
    </row>
    <row r="255" spans="1:15" s="2" customFormat="1" x14ac:dyDescent="0.25">
      <c r="A255" s="2">
        <v>255</v>
      </c>
      <c r="B255" s="2">
        <v>2</v>
      </c>
      <c r="C255" s="2">
        <v>76</v>
      </c>
      <c r="D255" s="2">
        <v>1</v>
      </c>
      <c r="E255" s="2">
        <v>20</v>
      </c>
      <c r="G255" s="2">
        <v>1</v>
      </c>
      <c r="H255" s="2">
        <v>39</v>
      </c>
      <c r="I255" s="2">
        <v>13184410</v>
      </c>
      <c r="J255" s="2" t="s">
        <v>177</v>
      </c>
      <c r="K255" s="2" t="s">
        <v>364</v>
      </c>
      <c r="L255" s="2" t="str">
        <f>"63445030113169"</f>
        <v>63445030113169</v>
      </c>
      <c r="M255" s="2" t="s">
        <v>2</v>
      </c>
      <c r="N255" s="18">
        <v>30978</v>
      </c>
      <c r="O255" s="2">
        <v>26</v>
      </c>
    </row>
    <row r="256" spans="1:15" s="2" customFormat="1" x14ac:dyDescent="0.25">
      <c r="A256" s="2">
        <v>256</v>
      </c>
      <c r="B256" s="2">
        <v>2</v>
      </c>
      <c r="C256" s="2">
        <v>76</v>
      </c>
      <c r="D256" s="2">
        <v>1</v>
      </c>
      <c r="E256" s="2">
        <v>20</v>
      </c>
      <c r="G256" s="2">
        <v>1</v>
      </c>
      <c r="H256" s="2">
        <v>39</v>
      </c>
      <c r="I256" s="2">
        <v>13184411</v>
      </c>
      <c r="J256" s="2" t="s">
        <v>177</v>
      </c>
      <c r="K256" s="2" t="s">
        <v>364</v>
      </c>
      <c r="L256" s="2" t="str">
        <f>"63445030113170"</f>
        <v>63445030113170</v>
      </c>
      <c r="M256" s="2" t="s">
        <v>2</v>
      </c>
      <c r="N256" s="18">
        <v>30979</v>
      </c>
      <c r="O256" s="2">
        <v>26</v>
      </c>
    </row>
    <row r="257" spans="1:15" s="2" customFormat="1" x14ac:dyDescent="0.25">
      <c r="A257" s="2">
        <v>257</v>
      </c>
      <c r="B257" s="2">
        <v>2</v>
      </c>
      <c r="C257" s="2">
        <v>76</v>
      </c>
      <c r="D257" s="2">
        <v>1</v>
      </c>
      <c r="E257" s="2">
        <v>20</v>
      </c>
      <c r="G257" s="2">
        <v>1</v>
      </c>
      <c r="H257" s="2">
        <v>39</v>
      </c>
      <c r="I257" s="2">
        <v>13184412</v>
      </c>
      <c r="J257" s="2" t="s">
        <v>177</v>
      </c>
      <c r="K257" s="2" t="s">
        <v>364</v>
      </c>
      <c r="L257" s="2" t="str">
        <f>"63445030113171"</f>
        <v>63445030113171</v>
      </c>
      <c r="M257" s="2" t="s">
        <v>2</v>
      </c>
      <c r="N257" s="18">
        <v>30980</v>
      </c>
      <c r="O257" s="2">
        <v>26</v>
      </c>
    </row>
    <row r="258" spans="1:15" s="2" customFormat="1" x14ac:dyDescent="0.25">
      <c r="A258" s="2">
        <v>258</v>
      </c>
      <c r="B258" s="2">
        <v>2</v>
      </c>
      <c r="C258" s="2">
        <v>76</v>
      </c>
      <c r="D258" s="2">
        <v>1</v>
      </c>
      <c r="E258" s="2">
        <v>20</v>
      </c>
      <c r="G258" s="2">
        <v>1</v>
      </c>
      <c r="H258" s="2">
        <v>39</v>
      </c>
      <c r="I258" s="2">
        <v>13184413</v>
      </c>
      <c r="J258" s="2" t="s">
        <v>177</v>
      </c>
      <c r="K258" s="2" t="s">
        <v>364</v>
      </c>
      <c r="L258" s="2" t="str">
        <f>"63445030113172"</f>
        <v>63445030113172</v>
      </c>
      <c r="M258" s="2" t="s">
        <v>2</v>
      </c>
      <c r="N258" s="18">
        <v>30981</v>
      </c>
      <c r="O258" s="2">
        <v>26</v>
      </c>
    </row>
    <row r="259" spans="1:15" s="2" customFormat="1" x14ac:dyDescent="0.25">
      <c r="A259" s="2">
        <v>259</v>
      </c>
      <c r="B259" s="2">
        <v>2</v>
      </c>
      <c r="C259" s="2">
        <v>76</v>
      </c>
      <c r="D259" s="2">
        <v>1</v>
      </c>
      <c r="E259" s="2">
        <v>20</v>
      </c>
      <c r="G259" s="2">
        <v>1</v>
      </c>
      <c r="H259" s="2">
        <v>39</v>
      </c>
      <c r="I259" s="2">
        <v>13184414</v>
      </c>
      <c r="J259" s="2" t="s">
        <v>177</v>
      </c>
      <c r="K259" s="2" t="s">
        <v>364</v>
      </c>
      <c r="L259" s="2" t="str">
        <f>"63445030113173"</f>
        <v>63445030113173</v>
      </c>
      <c r="M259" s="2" t="s">
        <v>2</v>
      </c>
      <c r="N259" s="18">
        <v>30982</v>
      </c>
      <c r="O259" s="2">
        <v>26</v>
      </c>
    </row>
    <row r="260" spans="1:15" s="2" customFormat="1" x14ac:dyDescent="0.25">
      <c r="A260" s="2">
        <v>260</v>
      </c>
      <c r="B260" s="2">
        <v>2</v>
      </c>
      <c r="C260" s="2">
        <v>76</v>
      </c>
      <c r="D260" s="2">
        <v>1</v>
      </c>
      <c r="E260" s="2">
        <v>20</v>
      </c>
      <c r="G260" s="2">
        <v>1</v>
      </c>
      <c r="H260" s="2">
        <v>39</v>
      </c>
      <c r="I260" s="2">
        <v>13184418</v>
      </c>
      <c r="J260" s="2" t="s">
        <v>177</v>
      </c>
      <c r="K260" s="2" t="s">
        <v>364</v>
      </c>
      <c r="L260" s="2" t="str">
        <f>"63445030113177"</f>
        <v>63445030113177</v>
      </c>
      <c r="M260" s="2" t="s">
        <v>2</v>
      </c>
      <c r="N260" s="18">
        <v>30983</v>
      </c>
      <c r="O260" s="2">
        <v>26</v>
      </c>
    </row>
    <row r="261" spans="1:15" s="2" customFormat="1" x14ac:dyDescent="0.25">
      <c r="A261" s="2">
        <v>261</v>
      </c>
      <c r="B261" s="2">
        <v>1</v>
      </c>
      <c r="C261" s="2">
        <v>5</v>
      </c>
      <c r="D261" s="2">
        <v>1</v>
      </c>
      <c r="E261" s="2">
        <v>20</v>
      </c>
      <c r="G261" s="2">
        <v>1</v>
      </c>
      <c r="H261" s="2">
        <v>4</v>
      </c>
      <c r="I261" s="2">
        <v>13382728</v>
      </c>
      <c r="J261" s="2" t="s">
        <v>209</v>
      </c>
      <c r="K261" s="2" t="s">
        <v>453</v>
      </c>
      <c r="L261" s="2" t="str">
        <f>"81305046"</f>
        <v>81305046</v>
      </c>
      <c r="M261" s="2" t="s">
        <v>2</v>
      </c>
      <c r="N261" s="18">
        <v>30984</v>
      </c>
      <c r="O261" s="2" t="s">
        <v>454</v>
      </c>
    </row>
    <row r="262" spans="1:15" s="2" customFormat="1" x14ac:dyDescent="0.25">
      <c r="A262" s="2">
        <v>262</v>
      </c>
      <c r="B262" s="2">
        <v>1</v>
      </c>
      <c r="C262" s="2">
        <v>5</v>
      </c>
      <c r="D262" s="2">
        <v>1</v>
      </c>
      <c r="E262" s="2">
        <v>20</v>
      </c>
      <c r="G262" s="2">
        <v>1</v>
      </c>
      <c r="H262" s="2">
        <v>4</v>
      </c>
      <c r="I262" s="2">
        <v>13382729</v>
      </c>
      <c r="J262" s="2" t="s">
        <v>209</v>
      </c>
      <c r="K262" s="2" t="s">
        <v>453</v>
      </c>
      <c r="L262" s="2" t="str">
        <f>"81305514"</f>
        <v>81305514</v>
      </c>
      <c r="M262" s="2" t="s">
        <v>2</v>
      </c>
      <c r="N262" s="18">
        <v>30985</v>
      </c>
      <c r="O262" s="2" t="s">
        <v>454</v>
      </c>
    </row>
    <row r="263" spans="1:15" s="2" customFormat="1" x14ac:dyDescent="0.25">
      <c r="A263" s="2">
        <v>263</v>
      </c>
      <c r="B263" s="2">
        <v>2</v>
      </c>
      <c r="C263" s="2">
        <v>76</v>
      </c>
      <c r="D263" s="2">
        <v>1</v>
      </c>
      <c r="E263" s="2">
        <v>20</v>
      </c>
      <c r="G263" s="2">
        <v>1</v>
      </c>
      <c r="H263" s="2">
        <v>39</v>
      </c>
      <c r="I263" s="2">
        <v>13184415</v>
      </c>
      <c r="J263" s="2" t="s">
        <v>177</v>
      </c>
      <c r="K263" s="2" t="s">
        <v>364</v>
      </c>
      <c r="L263" s="2" t="str">
        <f>"63445030113174"</f>
        <v>63445030113174</v>
      </c>
      <c r="M263" s="2" t="s">
        <v>2</v>
      </c>
      <c r="N263" s="18">
        <v>30986</v>
      </c>
      <c r="O263" s="2">
        <v>26</v>
      </c>
    </row>
    <row r="264" spans="1:15" s="2" customFormat="1" x14ac:dyDescent="0.25">
      <c r="A264" s="2">
        <v>264</v>
      </c>
      <c r="B264" s="2">
        <v>2</v>
      </c>
      <c r="C264" s="2">
        <v>76</v>
      </c>
      <c r="D264" s="2">
        <v>1</v>
      </c>
      <c r="E264" s="2">
        <v>20</v>
      </c>
      <c r="G264" s="2">
        <v>1</v>
      </c>
      <c r="H264" s="2">
        <v>39</v>
      </c>
      <c r="I264" s="2">
        <v>13184416</v>
      </c>
      <c r="J264" s="2" t="s">
        <v>177</v>
      </c>
      <c r="K264" s="2" t="s">
        <v>364</v>
      </c>
      <c r="L264" s="2" t="str">
        <f>"63445030113175"</f>
        <v>63445030113175</v>
      </c>
      <c r="M264" s="2" t="s">
        <v>2</v>
      </c>
      <c r="N264" s="18">
        <v>30987</v>
      </c>
      <c r="O264" s="2">
        <v>26</v>
      </c>
    </row>
    <row r="265" spans="1:15" s="2" customFormat="1" x14ac:dyDescent="0.25">
      <c r="A265" s="2">
        <v>265</v>
      </c>
      <c r="B265" s="2">
        <v>2</v>
      </c>
      <c r="C265" s="2">
        <v>76</v>
      </c>
      <c r="D265" s="2">
        <v>1</v>
      </c>
      <c r="E265" s="2">
        <v>20</v>
      </c>
      <c r="G265" s="2">
        <v>1</v>
      </c>
      <c r="H265" s="2">
        <v>39</v>
      </c>
      <c r="I265" s="2">
        <v>13184417</v>
      </c>
      <c r="J265" s="2" t="s">
        <v>177</v>
      </c>
      <c r="K265" s="2" t="s">
        <v>364</v>
      </c>
      <c r="L265" s="2" t="str">
        <f>"63445030113176"</f>
        <v>63445030113176</v>
      </c>
      <c r="M265" s="2" t="s">
        <v>2</v>
      </c>
      <c r="N265" s="18">
        <v>30988</v>
      </c>
      <c r="O265" s="2">
        <v>26</v>
      </c>
    </row>
    <row r="266" spans="1:15" s="2" customFormat="1" x14ac:dyDescent="0.25">
      <c r="A266" s="2">
        <v>266</v>
      </c>
      <c r="B266" s="2">
        <v>2</v>
      </c>
      <c r="C266" s="2">
        <v>76</v>
      </c>
      <c r="D266" s="2">
        <v>1</v>
      </c>
      <c r="E266" s="2">
        <v>20</v>
      </c>
      <c r="G266" s="2">
        <v>1</v>
      </c>
      <c r="H266" s="2">
        <v>39</v>
      </c>
      <c r="I266" s="2">
        <v>13184419</v>
      </c>
      <c r="J266" s="2" t="s">
        <v>177</v>
      </c>
      <c r="K266" s="2" t="s">
        <v>364</v>
      </c>
      <c r="L266" s="2" t="str">
        <f>"63445030113178"</f>
        <v>63445030113178</v>
      </c>
      <c r="M266" s="2" t="s">
        <v>2</v>
      </c>
      <c r="N266" s="18">
        <v>30989</v>
      </c>
      <c r="O266" s="2">
        <v>26</v>
      </c>
    </row>
    <row r="267" spans="1:15" s="2" customFormat="1" x14ac:dyDescent="0.25">
      <c r="A267" s="2">
        <v>267</v>
      </c>
      <c r="B267" s="2">
        <v>2</v>
      </c>
      <c r="C267" s="2">
        <v>76</v>
      </c>
      <c r="D267" s="2">
        <v>1</v>
      </c>
      <c r="E267" s="2">
        <v>20</v>
      </c>
      <c r="G267" s="2">
        <v>1</v>
      </c>
      <c r="H267" s="2">
        <v>39</v>
      </c>
      <c r="I267" s="2">
        <v>13184420</v>
      </c>
      <c r="J267" s="2" t="s">
        <v>177</v>
      </c>
      <c r="K267" s="2" t="s">
        <v>364</v>
      </c>
      <c r="L267" s="2" t="str">
        <f>"63445030113179"</f>
        <v>63445030113179</v>
      </c>
      <c r="M267" s="2" t="s">
        <v>2</v>
      </c>
      <c r="N267" s="18">
        <v>30990</v>
      </c>
      <c r="O267" s="2">
        <v>26</v>
      </c>
    </row>
    <row r="268" spans="1:15" s="2" customFormat="1" x14ac:dyDescent="0.25">
      <c r="A268" s="2">
        <v>268</v>
      </c>
      <c r="B268" s="2">
        <v>2</v>
      </c>
      <c r="C268" s="2">
        <v>76</v>
      </c>
      <c r="D268" s="2">
        <v>1</v>
      </c>
      <c r="E268" s="2">
        <v>20</v>
      </c>
      <c r="G268" s="2">
        <v>1</v>
      </c>
      <c r="H268" s="2">
        <v>39</v>
      </c>
      <c r="I268" s="2">
        <v>13184421</v>
      </c>
      <c r="J268" s="2" t="s">
        <v>177</v>
      </c>
      <c r="K268" s="2" t="s">
        <v>364</v>
      </c>
      <c r="L268" s="2" t="str">
        <f>"63445030113180"</f>
        <v>63445030113180</v>
      </c>
      <c r="M268" s="2" t="s">
        <v>2</v>
      </c>
      <c r="N268" s="18">
        <v>30991</v>
      </c>
      <c r="O268" s="2">
        <v>26</v>
      </c>
    </row>
    <row r="269" spans="1:15" s="2" customFormat="1" x14ac:dyDescent="0.25">
      <c r="A269" s="2">
        <v>269</v>
      </c>
      <c r="B269" s="2">
        <v>2</v>
      </c>
      <c r="C269" s="2">
        <v>76</v>
      </c>
      <c r="D269" s="2">
        <v>1</v>
      </c>
      <c r="E269" s="2">
        <v>20</v>
      </c>
      <c r="G269" s="2">
        <v>1</v>
      </c>
      <c r="H269" s="2">
        <v>39</v>
      </c>
      <c r="I269" s="2">
        <v>13184422</v>
      </c>
      <c r="J269" s="2" t="s">
        <v>177</v>
      </c>
      <c r="K269" s="2" t="s">
        <v>364</v>
      </c>
      <c r="L269" s="2" t="str">
        <f>"63445030113181"</f>
        <v>63445030113181</v>
      </c>
      <c r="M269" s="2" t="s">
        <v>2</v>
      </c>
      <c r="N269" s="18">
        <v>30992</v>
      </c>
      <c r="O269" s="2">
        <v>26</v>
      </c>
    </row>
    <row r="270" spans="1:15" s="2" customFormat="1" x14ac:dyDescent="0.25">
      <c r="A270" s="2">
        <v>270</v>
      </c>
      <c r="B270" s="2">
        <v>2</v>
      </c>
      <c r="C270" s="2">
        <v>76</v>
      </c>
      <c r="D270" s="2">
        <v>1</v>
      </c>
      <c r="E270" s="2">
        <v>20</v>
      </c>
      <c r="G270" s="2">
        <v>1</v>
      </c>
      <c r="H270" s="2">
        <v>39</v>
      </c>
      <c r="I270" s="2">
        <v>13184423</v>
      </c>
      <c r="J270" s="2" t="s">
        <v>177</v>
      </c>
      <c r="K270" s="2" t="s">
        <v>364</v>
      </c>
      <c r="L270" s="2" t="str">
        <f>"63445030113182"</f>
        <v>63445030113182</v>
      </c>
      <c r="M270" s="2" t="s">
        <v>2</v>
      </c>
      <c r="N270" s="18">
        <v>30993</v>
      </c>
      <c r="O270" s="2">
        <v>26</v>
      </c>
    </row>
    <row r="271" spans="1:15" s="2" customFormat="1" x14ac:dyDescent="0.25">
      <c r="A271" s="2">
        <v>271</v>
      </c>
      <c r="B271" s="2">
        <v>2</v>
      </c>
      <c r="C271" s="2">
        <v>76</v>
      </c>
      <c r="D271" s="2">
        <v>1</v>
      </c>
      <c r="E271" s="2">
        <v>20</v>
      </c>
      <c r="G271" s="2">
        <v>1</v>
      </c>
      <c r="H271" s="2">
        <v>39</v>
      </c>
      <c r="I271" s="2">
        <v>13184424</v>
      </c>
      <c r="J271" s="2" t="s">
        <v>177</v>
      </c>
      <c r="K271" s="2" t="s">
        <v>364</v>
      </c>
      <c r="L271" s="2" t="str">
        <f>"63445030113183"</f>
        <v>63445030113183</v>
      </c>
      <c r="M271" s="2" t="s">
        <v>2</v>
      </c>
      <c r="N271" s="18">
        <v>30994</v>
      </c>
      <c r="O271" s="2">
        <v>26</v>
      </c>
    </row>
    <row r="272" spans="1:15" s="2" customFormat="1" x14ac:dyDescent="0.25">
      <c r="A272" s="2">
        <v>272</v>
      </c>
      <c r="B272" s="2">
        <v>2</v>
      </c>
      <c r="C272" s="2">
        <v>76</v>
      </c>
      <c r="D272" s="2">
        <v>1</v>
      </c>
      <c r="E272" s="2">
        <v>20</v>
      </c>
      <c r="G272" s="2">
        <v>1</v>
      </c>
      <c r="H272" s="2">
        <v>39</v>
      </c>
      <c r="I272" s="2">
        <v>13184425</v>
      </c>
      <c r="J272" s="2" t="s">
        <v>177</v>
      </c>
      <c r="K272" s="2" t="s">
        <v>364</v>
      </c>
      <c r="L272" s="2" t="str">
        <f>"63445030113184"</f>
        <v>63445030113184</v>
      </c>
      <c r="M272" s="2" t="s">
        <v>2</v>
      </c>
      <c r="N272" s="18">
        <v>30995</v>
      </c>
      <c r="O272" s="2">
        <v>26</v>
      </c>
    </row>
    <row r="273" spans="1:15" s="2" customFormat="1" x14ac:dyDescent="0.25">
      <c r="A273" s="2">
        <v>273</v>
      </c>
      <c r="B273" s="2">
        <v>2</v>
      </c>
      <c r="C273" s="2">
        <v>76</v>
      </c>
      <c r="D273" s="2">
        <v>1</v>
      </c>
      <c r="E273" s="2">
        <v>20</v>
      </c>
      <c r="G273" s="2">
        <v>1</v>
      </c>
      <c r="H273" s="2">
        <v>39</v>
      </c>
      <c r="I273" s="2">
        <v>13184426</v>
      </c>
      <c r="J273" s="2" t="s">
        <v>177</v>
      </c>
      <c r="K273" s="2" t="s">
        <v>364</v>
      </c>
      <c r="L273" s="2" t="str">
        <f>"63445030113185"</f>
        <v>63445030113185</v>
      </c>
      <c r="M273" s="2" t="s">
        <v>2</v>
      </c>
      <c r="N273" s="18">
        <v>30996</v>
      </c>
      <c r="O273" s="2">
        <v>26</v>
      </c>
    </row>
    <row r="274" spans="1:15" s="2" customFormat="1" x14ac:dyDescent="0.25">
      <c r="A274" s="2">
        <v>274</v>
      </c>
      <c r="B274" s="2">
        <v>2</v>
      </c>
      <c r="C274" s="2">
        <v>76</v>
      </c>
      <c r="D274" s="2">
        <v>1</v>
      </c>
      <c r="E274" s="2">
        <v>20</v>
      </c>
      <c r="G274" s="2">
        <v>1</v>
      </c>
      <c r="H274" s="2">
        <v>39</v>
      </c>
      <c r="I274" s="2">
        <v>13184427</v>
      </c>
      <c r="J274" s="2" t="s">
        <v>177</v>
      </c>
      <c r="K274" s="2" t="s">
        <v>364</v>
      </c>
      <c r="L274" s="2" t="str">
        <f>"63445030113186"</f>
        <v>63445030113186</v>
      </c>
      <c r="M274" s="2" t="s">
        <v>2</v>
      </c>
      <c r="N274" s="18">
        <v>30997</v>
      </c>
      <c r="O274" s="2">
        <v>26</v>
      </c>
    </row>
    <row r="275" spans="1:15" s="2" customFormat="1" x14ac:dyDescent="0.25">
      <c r="A275" s="2">
        <v>275</v>
      </c>
      <c r="B275" s="2">
        <v>2</v>
      </c>
      <c r="C275" s="2">
        <v>76</v>
      </c>
      <c r="D275" s="2">
        <v>1</v>
      </c>
      <c r="E275" s="2">
        <v>20</v>
      </c>
      <c r="G275" s="2">
        <v>1</v>
      </c>
      <c r="H275" s="2">
        <v>39</v>
      </c>
      <c r="I275" s="2">
        <v>13184428</v>
      </c>
      <c r="J275" s="2" t="s">
        <v>177</v>
      </c>
      <c r="K275" s="2" t="s">
        <v>364</v>
      </c>
      <c r="L275" s="2" t="str">
        <f>"63445030113187"</f>
        <v>63445030113187</v>
      </c>
      <c r="M275" s="2" t="s">
        <v>2</v>
      </c>
      <c r="N275" s="18">
        <v>30998</v>
      </c>
      <c r="O275" s="2">
        <v>26</v>
      </c>
    </row>
    <row r="276" spans="1:15" s="2" customFormat="1" x14ac:dyDescent="0.25">
      <c r="A276" s="2">
        <v>276</v>
      </c>
      <c r="B276" s="2">
        <v>2</v>
      </c>
      <c r="C276" s="2">
        <v>76</v>
      </c>
      <c r="D276" s="2">
        <v>1</v>
      </c>
      <c r="E276" s="2">
        <v>20</v>
      </c>
      <c r="G276" s="2">
        <v>1</v>
      </c>
      <c r="H276" s="2">
        <v>39</v>
      </c>
      <c r="I276" s="2">
        <v>13184429</v>
      </c>
      <c r="J276" s="2" t="s">
        <v>177</v>
      </c>
      <c r="K276" s="2" t="s">
        <v>364</v>
      </c>
      <c r="L276" s="2" t="str">
        <f>"63445030113188"</f>
        <v>63445030113188</v>
      </c>
      <c r="M276" s="2" t="s">
        <v>2</v>
      </c>
      <c r="N276" s="18">
        <v>30999</v>
      </c>
      <c r="O276" s="2">
        <v>26</v>
      </c>
    </row>
    <row r="277" spans="1:15" s="2" customFormat="1" x14ac:dyDescent="0.25">
      <c r="A277" s="2">
        <v>277</v>
      </c>
      <c r="B277" s="2">
        <v>2</v>
      </c>
      <c r="C277" s="2">
        <v>76</v>
      </c>
      <c r="D277" s="2">
        <v>1</v>
      </c>
      <c r="E277" s="2">
        <v>20</v>
      </c>
      <c r="G277" s="2">
        <v>1</v>
      </c>
      <c r="H277" s="2">
        <v>39</v>
      </c>
      <c r="I277" s="2">
        <v>13184430</v>
      </c>
      <c r="J277" s="2" t="s">
        <v>177</v>
      </c>
      <c r="K277" s="2" t="s">
        <v>364</v>
      </c>
      <c r="L277" s="2" t="str">
        <f>"63445030113189"</f>
        <v>63445030113189</v>
      </c>
      <c r="M277" s="2" t="s">
        <v>2</v>
      </c>
      <c r="N277" s="18">
        <v>31000</v>
      </c>
      <c r="O277" s="2">
        <v>26</v>
      </c>
    </row>
    <row r="278" spans="1:15" s="2" customFormat="1" x14ac:dyDescent="0.25">
      <c r="A278" s="2">
        <v>278</v>
      </c>
      <c r="B278" s="2">
        <v>2</v>
      </c>
      <c r="C278" s="2">
        <v>76</v>
      </c>
      <c r="D278" s="2">
        <v>1</v>
      </c>
      <c r="E278" s="2">
        <v>20</v>
      </c>
      <c r="G278" s="2">
        <v>1</v>
      </c>
      <c r="H278" s="2">
        <v>39</v>
      </c>
      <c r="I278" s="2">
        <v>13184431</v>
      </c>
      <c r="J278" s="2" t="s">
        <v>177</v>
      </c>
      <c r="K278" s="2" t="s">
        <v>364</v>
      </c>
      <c r="L278" s="2" t="str">
        <f>"63445030113190"</f>
        <v>63445030113190</v>
      </c>
      <c r="M278" s="2" t="s">
        <v>2</v>
      </c>
      <c r="N278" s="18">
        <v>31001</v>
      </c>
      <c r="O278" s="2">
        <v>26</v>
      </c>
    </row>
    <row r="279" spans="1:15" s="2" customFormat="1" x14ac:dyDescent="0.25">
      <c r="A279" s="2">
        <v>279</v>
      </c>
      <c r="B279" s="2">
        <v>2</v>
      </c>
      <c r="C279" s="2">
        <v>76</v>
      </c>
      <c r="D279" s="2">
        <v>1</v>
      </c>
      <c r="E279" s="2">
        <v>20</v>
      </c>
      <c r="G279" s="2">
        <v>1</v>
      </c>
      <c r="H279" s="2">
        <v>39</v>
      </c>
      <c r="I279" s="2">
        <v>13184432</v>
      </c>
      <c r="J279" s="2" t="s">
        <v>177</v>
      </c>
      <c r="K279" s="2" t="s">
        <v>364</v>
      </c>
      <c r="L279" s="2" t="str">
        <f>"63445030113191"</f>
        <v>63445030113191</v>
      </c>
      <c r="M279" s="2" t="s">
        <v>2</v>
      </c>
      <c r="N279" s="18">
        <v>31002</v>
      </c>
      <c r="O279" s="2">
        <v>26</v>
      </c>
    </row>
    <row r="280" spans="1:15" s="2" customFormat="1" x14ac:dyDescent="0.25">
      <c r="A280" s="2">
        <v>280</v>
      </c>
      <c r="B280" s="2">
        <v>2</v>
      </c>
      <c r="C280" s="2">
        <v>76</v>
      </c>
      <c r="D280" s="2">
        <v>1</v>
      </c>
      <c r="E280" s="2">
        <v>20</v>
      </c>
      <c r="G280" s="2">
        <v>1</v>
      </c>
      <c r="H280" s="2">
        <v>39</v>
      </c>
      <c r="I280" s="2">
        <v>13184433</v>
      </c>
      <c r="J280" s="2" t="s">
        <v>177</v>
      </c>
      <c r="K280" s="2" t="s">
        <v>364</v>
      </c>
      <c r="L280" s="2" t="str">
        <f>"63445030113192"</f>
        <v>63445030113192</v>
      </c>
      <c r="M280" s="2" t="s">
        <v>2</v>
      </c>
      <c r="N280" s="18">
        <v>31003</v>
      </c>
      <c r="O280" s="2">
        <v>26</v>
      </c>
    </row>
    <row r="281" spans="1:15" s="2" customFormat="1" x14ac:dyDescent="0.25">
      <c r="A281" s="2">
        <v>281</v>
      </c>
      <c r="B281" s="2">
        <v>2</v>
      </c>
      <c r="C281" s="2">
        <v>76</v>
      </c>
      <c r="D281" s="2">
        <v>1</v>
      </c>
      <c r="E281" s="2">
        <v>20</v>
      </c>
      <c r="G281" s="2">
        <v>1</v>
      </c>
      <c r="H281" s="2">
        <v>39</v>
      </c>
      <c r="I281" s="2">
        <v>13184434</v>
      </c>
      <c r="J281" s="2" t="s">
        <v>177</v>
      </c>
      <c r="K281" s="2" t="s">
        <v>364</v>
      </c>
      <c r="L281" s="2" t="str">
        <f>"63445030113193"</f>
        <v>63445030113193</v>
      </c>
      <c r="M281" s="2" t="s">
        <v>2</v>
      </c>
      <c r="N281" s="18">
        <v>31004</v>
      </c>
      <c r="O281" s="2">
        <v>26</v>
      </c>
    </row>
    <row r="282" spans="1:15" s="2" customFormat="1" x14ac:dyDescent="0.25">
      <c r="A282" s="2">
        <v>282</v>
      </c>
      <c r="B282" s="2">
        <v>2</v>
      </c>
      <c r="C282" s="2">
        <v>76</v>
      </c>
      <c r="D282" s="2">
        <v>1</v>
      </c>
      <c r="E282" s="2">
        <v>20</v>
      </c>
      <c r="G282" s="2">
        <v>1</v>
      </c>
      <c r="H282" s="2">
        <v>39</v>
      </c>
      <c r="I282" s="2">
        <v>13184435</v>
      </c>
      <c r="J282" s="2" t="s">
        <v>177</v>
      </c>
      <c r="K282" s="2" t="s">
        <v>364</v>
      </c>
      <c r="L282" s="2" t="str">
        <f>"63445030113194"</f>
        <v>63445030113194</v>
      </c>
      <c r="M282" s="2" t="s">
        <v>2</v>
      </c>
      <c r="N282" s="18">
        <v>31005</v>
      </c>
      <c r="O282" s="2">
        <v>26</v>
      </c>
    </row>
    <row r="283" spans="1:15" s="2" customFormat="1" x14ac:dyDescent="0.25">
      <c r="A283" s="2">
        <v>283</v>
      </c>
      <c r="B283" s="2">
        <v>2</v>
      </c>
      <c r="C283" s="2">
        <v>76</v>
      </c>
      <c r="D283" s="2">
        <v>1</v>
      </c>
      <c r="E283" s="2">
        <v>20</v>
      </c>
      <c r="G283" s="2">
        <v>1</v>
      </c>
      <c r="H283" s="2">
        <v>39</v>
      </c>
      <c r="I283" s="2">
        <v>13184436</v>
      </c>
      <c r="J283" s="2" t="s">
        <v>177</v>
      </c>
      <c r="K283" s="2" t="s">
        <v>364</v>
      </c>
      <c r="L283" s="2" t="str">
        <f>"63445030113195"</f>
        <v>63445030113195</v>
      </c>
      <c r="M283" s="2" t="s">
        <v>2</v>
      </c>
      <c r="N283" s="18">
        <v>31006</v>
      </c>
      <c r="O283" s="2">
        <v>26</v>
      </c>
    </row>
    <row r="284" spans="1:15" s="2" customFormat="1" x14ac:dyDescent="0.25">
      <c r="A284" s="2">
        <v>284</v>
      </c>
      <c r="B284" s="2">
        <v>2</v>
      </c>
      <c r="C284" s="2">
        <v>76</v>
      </c>
      <c r="D284" s="2">
        <v>1</v>
      </c>
      <c r="E284" s="2">
        <v>20</v>
      </c>
      <c r="G284" s="2">
        <v>1</v>
      </c>
      <c r="H284" s="2">
        <v>39</v>
      </c>
      <c r="I284" s="2">
        <v>13184437</v>
      </c>
      <c r="J284" s="2" t="s">
        <v>177</v>
      </c>
      <c r="K284" s="2" t="s">
        <v>364</v>
      </c>
      <c r="L284" s="2" t="str">
        <f>"63445030113196"</f>
        <v>63445030113196</v>
      </c>
      <c r="M284" s="2" t="s">
        <v>2</v>
      </c>
      <c r="N284" s="18">
        <v>31007</v>
      </c>
      <c r="O284" s="2">
        <v>26</v>
      </c>
    </row>
    <row r="285" spans="1:15" s="2" customFormat="1" x14ac:dyDescent="0.25">
      <c r="A285" s="2">
        <v>285</v>
      </c>
      <c r="B285" s="2">
        <v>2</v>
      </c>
      <c r="C285" s="2">
        <v>76</v>
      </c>
      <c r="D285" s="2">
        <v>1</v>
      </c>
      <c r="E285" s="2">
        <v>20</v>
      </c>
      <c r="G285" s="2">
        <v>1</v>
      </c>
      <c r="H285" s="2">
        <v>39</v>
      </c>
      <c r="I285" s="2">
        <v>13184438</v>
      </c>
      <c r="J285" s="2" t="s">
        <v>177</v>
      </c>
      <c r="K285" s="2" t="s">
        <v>364</v>
      </c>
      <c r="L285" s="2" t="str">
        <f>"63445030113197"</f>
        <v>63445030113197</v>
      </c>
      <c r="M285" s="2" t="s">
        <v>2</v>
      </c>
      <c r="N285" s="18">
        <v>31008</v>
      </c>
      <c r="O285" s="2">
        <v>26</v>
      </c>
    </row>
    <row r="286" spans="1:15" s="2" customFormat="1" x14ac:dyDescent="0.25">
      <c r="A286" s="2">
        <v>286</v>
      </c>
      <c r="B286" s="2">
        <v>2</v>
      </c>
      <c r="C286" s="2">
        <v>76</v>
      </c>
      <c r="D286" s="2">
        <v>1</v>
      </c>
      <c r="E286" s="2">
        <v>20</v>
      </c>
      <c r="G286" s="2">
        <v>1</v>
      </c>
      <c r="H286" s="2">
        <v>39</v>
      </c>
      <c r="I286" s="2">
        <v>13184439</v>
      </c>
      <c r="J286" s="2" t="s">
        <v>177</v>
      </c>
      <c r="K286" s="2" t="s">
        <v>364</v>
      </c>
      <c r="L286" s="2" t="str">
        <f>"63445030113198"</f>
        <v>63445030113198</v>
      </c>
      <c r="M286" s="2" t="s">
        <v>2</v>
      </c>
      <c r="N286" s="18">
        <v>31009</v>
      </c>
      <c r="O286" s="2">
        <v>26</v>
      </c>
    </row>
    <row r="287" spans="1:15" s="2" customFormat="1" x14ac:dyDescent="0.25">
      <c r="A287" s="2">
        <v>287</v>
      </c>
      <c r="B287" s="2">
        <v>2</v>
      </c>
      <c r="C287" s="2">
        <v>76</v>
      </c>
      <c r="D287" s="2">
        <v>1</v>
      </c>
      <c r="E287" s="2">
        <v>20</v>
      </c>
      <c r="G287" s="2">
        <v>1</v>
      </c>
      <c r="H287" s="2">
        <v>39</v>
      </c>
      <c r="I287" s="2">
        <v>13184440</v>
      </c>
      <c r="J287" s="2" t="s">
        <v>177</v>
      </c>
      <c r="K287" s="2" t="s">
        <v>364</v>
      </c>
      <c r="L287" s="2" t="str">
        <f>"63445030113199"</f>
        <v>63445030113199</v>
      </c>
      <c r="M287" s="2" t="s">
        <v>2</v>
      </c>
      <c r="N287" s="18">
        <v>31010</v>
      </c>
      <c r="O287" s="2">
        <v>26</v>
      </c>
    </row>
    <row r="288" spans="1:15" s="2" customFormat="1" x14ac:dyDescent="0.25">
      <c r="A288" s="2">
        <v>288</v>
      </c>
      <c r="B288" s="2">
        <v>2</v>
      </c>
      <c r="C288" s="2">
        <v>76</v>
      </c>
      <c r="D288" s="2">
        <v>1</v>
      </c>
      <c r="E288" s="2">
        <v>20</v>
      </c>
      <c r="G288" s="2">
        <v>1</v>
      </c>
      <c r="H288" s="2">
        <v>39</v>
      </c>
      <c r="I288" s="2">
        <v>13184441</v>
      </c>
      <c r="J288" s="2" t="s">
        <v>177</v>
      </c>
      <c r="K288" s="2" t="s">
        <v>364</v>
      </c>
      <c r="L288" s="2" t="str">
        <f>"63445030113200"</f>
        <v>63445030113200</v>
      </c>
      <c r="M288" s="2" t="s">
        <v>2</v>
      </c>
      <c r="N288" s="18">
        <v>31011</v>
      </c>
      <c r="O288" s="2">
        <v>26</v>
      </c>
    </row>
    <row r="289" spans="1:15" s="2" customFormat="1" x14ac:dyDescent="0.25">
      <c r="A289" s="2">
        <v>289</v>
      </c>
      <c r="B289" s="2">
        <v>2</v>
      </c>
      <c r="C289" s="2">
        <v>76</v>
      </c>
      <c r="D289" s="2">
        <v>1</v>
      </c>
      <c r="E289" s="2">
        <v>20</v>
      </c>
      <c r="G289" s="2">
        <v>1</v>
      </c>
      <c r="H289" s="2">
        <v>39</v>
      </c>
      <c r="I289" s="2">
        <v>13184442</v>
      </c>
      <c r="J289" s="2" t="s">
        <v>177</v>
      </c>
      <c r="K289" s="2" t="s">
        <v>364</v>
      </c>
      <c r="L289" s="2" t="str">
        <f>"63445030113201"</f>
        <v>63445030113201</v>
      </c>
      <c r="M289" s="2" t="s">
        <v>2</v>
      </c>
      <c r="N289" s="18">
        <v>31012</v>
      </c>
      <c r="O289" s="2">
        <v>26</v>
      </c>
    </row>
    <row r="290" spans="1:15" s="2" customFormat="1" x14ac:dyDescent="0.25">
      <c r="A290" s="2">
        <v>290</v>
      </c>
      <c r="B290" s="2">
        <v>2</v>
      </c>
      <c r="C290" s="2">
        <v>76</v>
      </c>
      <c r="D290" s="2">
        <v>1</v>
      </c>
      <c r="E290" s="2">
        <v>20</v>
      </c>
      <c r="G290" s="2">
        <v>1</v>
      </c>
      <c r="H290" s="2">
        <v>39</v>
      </c>
      <c r="I290" s="2">
        <v>13184443</v>
      </c>
      <c r="J290" s="2" t="s">
        <v>177</v>
      </c>
      <c r="K290" s="2" t="s">
        <v>364</v>
      </c>
      <c r="L290" s="2" t="str">
        <f>"63445030113202"</f>
        <v>63445030113202</v>
      </c>
      <c r="M290" s="2" t="s">
        <v>2</v>
      </c>
      <c r="N290" s="18">
        <v>31013</v>
      </c>
      <c r="O290" s="2">
        <v>26</v>
      </c>
    </row>
    <row r="291" spans="1:15" s="2" customFormat="1" x14ac:dyDescent="0.25">
      <c r="A291" s="2">
        <v>291</v>
      </c>
      <c r="B291" s="2">
        <v>2</v>
      </c>
      <c r="C291" s="2">
        <v>76</v>
      </c>
      <c r="D291" s="2">
        <v>1</v>
      </c>
      <c r="E291" s="2">
        <v>20</v>
      </c>
      <c r="G291" s="2">
        <v>1</v>
      </c>
      <c r="H291" s="2">
        <v>39</v>
      </c>
      <c r="I291" s="2">
        <v>13184444</v>
      </c>
      <c r="J291" s="2" t="s">
        <v>177</v>
      </c>
      <c r="K291" s="2" t="s">
        <v>364</v>
      </c>
      <c r="L291" s="2" t="str">
        <f>"63445030113203"</f>
        <v>63445030113203</v>
      </c>
      <c r="M291" s="2" t="s">
        <v>2</v>
      </c>
      <c r="N291" s="18">
        <v>31014</v>
      </c>
      <c r="O291" s="2">
        <v>26</v>
      </c>
    </row>
    <row r="292" spans="1:15" s="2" customFormat="1" x14ac:dyDescent="0.25">
      <c r="A292" s="2">
        <v>292</v>
      </c>
      <c r="B292" s="2">
        <v>2</v>
      </c>
      <c r="C292" s="2">
        <v>76</v>
      </c>
      <c r="D292" s="2">
        <v>1</v>
      </c>
      <c r="E292" s="2">
        <v>20</v>
      </c>
      <c r="G292" s="2">
        <v>1</v>
      </c>
      <c r="H292" s="2">
        <v>39</v>
      </c>
      <c r="I292" s="2">
        <v>13184445</v>
      </c>
      <c r="J292" s="2" t="s">
        <v>177</v>
      </c>
      <c r="K292" s="2" t="s">
        <v>364</v>
      </c>
      <c r="L292" s="2" t="str">
        <f>"63445030113204"</f>
        <v>63445030113204</v>
      </c>
      <c r="M292" s="2" t="s">
        <v>2</v>
      </c>
      <c r="N292" s="18">
        <v>31015</v>
      </c>
      <c r="O292" s="2">
        <v>26</v>
      </c>
    </row>
    <row r="293" spans="1:15" s="2" customFormat="1" x14ac:dyDescent="0.25">
      <c r="A293" s="2">
        <v>293</v>
      </c>
      <c r="B293" s="2">
        <v>2</v>
      </c>
      <c r="C293" s="2">
        <v>76</v>
      </c>
      <c r="D293" s="2">
        <v>1</v>
      </c>
      <c r="E293" s="2">
        <v>20</v>
      </c>
      <c r="G293" s="2">
        <v>1</v>
      </c>
      <c r="H293" s="2">
        <v>39</v>
      </c>
      <c r="I293" s="2">
        <v>13184446</v>
      </c>
      <c r="J293" s="2" t="s">
        <v>177</v>
      </c>
      <c r="K293" s="2" t="s">
        <v>364</v>
      </c>
      <c r="L293" s="2" t="str">
        <f>"63445030113205"</f>
        <v>63445030113205</v>
      </c>
      <c r="M293" s="2" t="s">
        <v>2</v>
      </c>
      <c r="N293" s="18">
        <v>31016</v>
      </c>
      <c r="O293" s="2">
        <v>26</v>
      </c>
    </row>
    <row r="294" spans="1:15" s="2" customFormat="1" x14ac:dyDescent="0.25">
      <c r="A294" s="2">
        <v>294</v>
      </c>
      <c r="B294" s="2">
        <v>2</v>
      </c>
      <c r="C294" s="2">
        <v>76</v>
      </c>
      <c r="D294" s="2">
        <v>1</v>
      </c>
      <c r="E294" s="2">
        <v>20</v>
      </c>
      <c r="G294" s="2">
        <v>1</v>
      </c>
      <c r="H294" s="2">
        <v>39</v>
      </c>
      <c r="I294" s="2">
        <v>13184447</v>
      </c>
      <c r="J294" s="2" t="s">
        <v>177</v>
      </c>
      <c r="K294" s="2" t="s">
        <v>364</v>
      </c>
      <c r="L294" s="2" t="str">
        <f>"63445030113206"</f>
        <v>63445030113206</v>
      </c>
      <c r="M294" s="2" t="s">
        <v>2</v>
      </c>
      <c r="N294" s="18">
        <v>31017</v>
      </c>
      <c r="O294" s="2">
        <v>26</v>
      </c>
    </row>
    <row r="295" spans="1:15" s="2" customFormat="1" x14ac:dyDescent="0.25">
      <c r="A295" s="2">
        <v>295</v>
      </c>
      <c r="B295" s="2">
        <v>2</v>
      </c>
      <c r="C295" s="2">
        <v>76</v>
      </c>
      <c r="D295" s="2">
        <v>1</v>
      </c>
      <c r="E295" s="2">
        <v>20</v>
      </c>
      <c r="G295" s="2">
        <v>1</v>
      </c>
      <c r="H295" s="2">
        <v>39</v>
      </c>
      <c r="I295" s="2">
        <v>13184448</v>
      </c>
      <c r="J295" s="2" t="s">
        <v>177</v>
      </c>
      <c r="K295" s="2" t="s">
        <v>364</v>
      </c>
      <c r="L295" s="2" t="str">
        <f>"63445030113207"</f>
        <v>63445030113207</v>
      </c>
      <c r="M295" s="2" t="s">
        <v>2</v>
      </c>
      <c r="N295" s="18">
        <v>31018</v>
      </c>
      <c r="O295" s="2">
        <v>26</v>
      </c>
    </row>
    <row r="296" spans="1:15" s="2" customFormat="1" x14ac:dyDescent="0.25">
      <c r="A296" s="2">
        <v>296</v>
      </c>
      <c r="B296" s="2">
        <v>2</v>
      </c>
      <c r="C296" s="2">
        <v>76</v>
      </c>
      <c r="D296" s="2">
        <v>1</v>
      </c>
      <c r="E296" s="2">
        <v>20</v>
      </c>
      <c r="G296" s="2">
        <v>1</v>
      </c>
      <c r="H296" s="2">
        <v>39</v>
      </c>
      <c r="I296" s="2">
        <v>13184449</v>
      </c>
      <c r="J296" s="2" t="s">
        <v>177</v>
      </c>
      <c r="K296" s="2" t="s">
        <v>364</v>
      </c>
      <c r="L296" s="2" t="str">
        <f>"63445030113208"</f>
        <v>63445030113208</v>
      </c>
      <c r="M296" s="2" t="s">
        <v>2</v>
      </c>
      <c r="N296" s="18">
        <v>31019</v>
      </c>
      <c r="O296" s="2">
        <v>26</v>
      </c>
    </row>
    <row r="297" spans="1:15" s="2" customFormat="1" x14ac:dyDescent="0.25">
      <c r="A297" s="2">
        <v>297</v>
      </c>
      <c r="B297" s="2">
        <v>2</v>
      </c>
      <c r="C297" s="2">
        <v>76</v>
      </c>
      <c r="D297" s="2">
        <v>2</v>
      </c>
      <c r="E297" s="2">
        <v>20</v>
      </c>
      <c r="G297" s="2">
        <v>1</v>
      </c>
      <c r="H297" s="2">
        <v>39</v>
      </c>
      <c r="I297" s="2">
        <v>13184462</v>
      </c>
      <c r="J297" s="2" t="s">
        <v>177</v>
      </c>
      <c r="K297" s="2" t="s">
        <v>350</v>
      </c>
      <c r="L297" s="2" t="str">
        <f>"63445030114005"</f>
        <v>63445030114005</v>
      </c>
      <c r="M297" s="2" t="s">
        <v>2</v>
      </c>
      <c r="N297" s="18">
        <v>31020</v>
      </c>
      <c r="O297" s="2">
        <v>90</v>
      </c>
    </row>
    <row r="298" spans="1:15" s="2" customFormat="1" x14ac:dyDescent="0.25">
      <c r="A298" s="2">
        <v>298</v>
      </c>
      <c r="B298" s="2">
        <v>2</v>
      </c>
      <c r="C298" s="2">
        <v>76</v>
      </c>
      <c r="D298" s="2">
        <v>1</v>
      </c>
      <c r="E298" s="2">
        <v>20</v>
      </c>
      <c r="G298" s="2">
        <v>1</v>
      </c>
      <c r="H298" s="2">
        <v>39</v>
      </c>
      <c r="I298" s="2">
        <v>13184463</v>
      </c>
      <c r="J298" s="2" t="s">
        <v>177</v>
      </c>
      <c r="K298" s="2" t="s">
        <v>350</v>
      </c>
      <c r="L298" s="2" t="str">
        <f>"63445030114006"</f>
        <v>63445030114006</v>
      </c>
      <c r="M298" s="2" t="s">
        <v>2</v>
      </c>
      <c r="N298" s="18">
        <v>31021</v>
      </c>
      <c r="O298" s="2">
        <v>90</v>
      </c>
    </row>
    <row r="299" spans="1:15" s="2" customFormat="1" x14ac:dyDescent="0.25">
      <c r="A299" s="2">
        <v>299</v>
      </c>
      <c r="B299" s="2">
        <v>2</v>
      </c>
      <c r="C299" s="2">
        <v>76</v>
      </c>
      <c r="D299" s="2">
        <v>2</v>
      </c>
      <c r="E299" s="2">
        <v>20</v>
      </c>
      <c r="G299" s="2">
        <v>1</v>
      </c>
      <c r="H299" s="2">
        <v>39</v>
      </c>
      <c r="I299" s="2">
        <v>13184464</v>
      </c>
      <c r="J299" s="2" t="s">
        <v>177</v>
      </c>
      <c r="K299" s="2" t="s">
        <v>350</v>
      </c>
      <c r="L299" s="2" t="str">
        <f>"63445030114007"</f>
        <v>63445030114007</v>
      </c>
      <c r="M299" s="2" t="s">
        <v>2</v>
      </c>
      <c r="N299" s="18">
        <v>31022</v>
      </c>
      <c r="O299" s="2">
        <v>90</v>
      </c>
    </row>
    <row r="300" spans="1:15" s="2" customFormat="1" x14ac:dyDescent="0.25">
      <c r="A300" s="2">
        <v>300</v>
      </c>
      <c r="B300" s="2">
        <v>2</v>
      </c>
      <c r="C300" s="2">
        <v>76</v>
      </c>
      <c r="D300" s="2">
        <v>2</v>
      </c>
      <c r="E300" s="2">
        <v>20</v>
      </c>
      <c r="G300" s="2">
        <v>1</v>
      </c>
      <c r="H300" s="2">
        <v>39</v>
      </c>
      <c r="I300" s="2">
        <v>13184465</v>
      </c>
      <c r="J300" s="2" t="s">
        <v>177</v>
      </c>
      <c r="K300" s="2" t="s">
        <v>350</v>
      </c>
      <c r="L300" s="2" t="str">
        <f>"63445030114008"</f>
        <v>63445030114008</v>
      </c>
      <c r="M300" s="2" t="s">
        <v>2</v>
      </c>
      <c r="N300" s="18">
        <v>31023</v>
      </c>
      <c r="O300" s="2">
        <v>90</v>
      </c>
    </row>
    <row r="301" spans="1:15" s="2" customFormat="1" x14ac:dyDescent="0.25">
      <c r="A301" s="2">
        <v>301</v>
      </c>
      <c r="B301" s="2">
        <v>2</v>
      </c>
      <c r="C301" s="2">
        <v>76</v>
      </c>
      <c r="D301" s="2">
        <v>2</v>
      </c>
      <c r="E301" s="2">
        <v>20</v>
      </c>
      <c r="G301" s="2">
        <v>1</v>
      </c>
      <c r="H301" s="2">
        <v>39</v>
      </c>
      <c r="I301" s="2">
        <v>13184466</v>
      </c>
      <c r="J301" s="2" t="s">
        <v>177</v>
      </c>
      <c r="K301" s="2" t="s">
        <v>350</v>
      </c>
      <c r="L301" s="2" t="str">
        <f>"63445030114009"</f>
        <v>63445030114009</v>
      </c>
      <c r="M301" s="2" t="s">
        <v>2</v>
      </c>
      <c r="N301" s="18">
        <v>31024</v>
      </c>
      <c r="O301" s="2">
        <v>90</v>
      </c>
    </row>
    <row r="302" spans="1:15" s="2" customFormat="1" x14ac:dyDescent="0.25">
      <c r="A302" s="2">
        <v>302</v>
      </c>
      <c r="B302" s="2">
        <v>2</v>
      </c>
      <c r="C302" s="2">
        <v>76</v>
      </c>
      <c r="D302" s="2">
        <v>2</v>
      </c>
      <c r="E302" s="2">
        <v>20</v>
      </c>
      <c r="G302" s="2">
        <v>1</v>
      </c>
      <c r="H302" s="2">
        <v>39</v>
      </c>
      <c r="I302" s="2">
        <v>13184467</v>
      </c>
      <c r="J302" s="2" t="s">
        <v>177</v>
      </c>
      <c r="K302" s="2" t="s">
        <v>350</v>
      </c>
      <c r="L302" s="2" t="str">
        <f>"63445030114010"</f>
        <v>63445030114010</v>
      </c>
      <c r="M302" s="2" t="s">
        <v>2</v>
      </c>
      <c r="N302" s="18">
        <v>31025</v>
      </c>
      <c r="O302" s="2">
        <v>90</v>
      </c>
    </row>
    <row r="303" spans="1:15" s="2" customFormat="1" x14ac:dyDescent="0.25">
      <c r="A303" s="2">
        <v>303</v>
      </c>
      <c r="B303" s="2">
        <v>2</v>
      </c>
      <c r="C303" s="2">
        <v>76</v>
      </c>
      <c r="D303" s="2">
        <v>1</v>
      </c>
      <c r="E303" s="2">
        <v>20</v>
      </c>
      <c r="G303" s="2">
        <v>1</v>
      </c>
      <c r="H303" s="2">
        <v>39</v>
      </c>
      <c r="I303" s="2">
        <v>13184468</v>
      </c>
      <c r="J303" s="2" t="s">
        <v>177</v>
      </c>
      <c r="K303" s="2" t="s">
        <v>455</v>
      </c>
      <c r="L303" s="2" t="str">
        <f>"63445030114011"</f>
        <v>63445030114011</v>
      </c>
      <c r="M303" s="2" t="s">
        <v>2</v>
      </c>
      <c r="N303" s="18">
        <v>31026</v>
      </c>
      <c r="O303" s="2">
        <v>90</v>
      </c>
    </row>
    <row r="304" spans="1:15" s="2" customFormat="1" x14ac:dyDescent="0.25">
      <c r="A304" s="2">
        <v>304</v>
      </c>
      <c r="B304" s="2">
        <v>2</v>
      </c>
      <c r="C304" s="2">
        <v>76</v>
      </c>
      <c r="D304" s="2">
        <v>1</v>
      </c>
      <c r="E304" s="2">
        <v>20</v>
      </c>
      <c r="G304" s="2">
        <v>1</v>
      </c>
      <c r="H304" s="2">
        <v>39</v>
      </c>
      <c r="I304" s="2">
        <v>13184322</v>
      </c>
      <c r="J304" s="2" t="s">
        <v>183</v>
      </c>
      <c r="K304" s="2" t="s">
        <v>387</v>
      </c>
      <c r="L304" s="2" t="str">
        <f>"63445030113017"</f>
        <v>63445030113017</v>
      </c>
      <c r="M304" s="2" t="s">
        <v>2</v>
      </c>
      <c r="N304" s="18">
        <v>31027</v>
      </c>
      <c r="O304" s="2">
        <v>75</v>
      </c>
    </row>
    <row r="305" spans="1:15" s="2" customFormat="1" x14ac:dyDescent="0.25">
      <c r="A305" s="2">
        <v>305</v>
      </c>
      <c r="B305" s="2">
        <v>2</v>
      </c>
      <c r="C305" s="2">
        <v>76</v>
      </c>
      <c r="D305" s="2">
        <v>2</v>
      </c>
      <c r="E305" s="2">
        <v>20</v>
      </c>
      <c r="G305" s="2">
        <v>1</v>
      </c>
      <c r="H305" s="2">
        <v>39</v>
      </c>
      <c r="I305" s="2">
        <v>13184323</v>
      </c>
      <c r="J305" s="2" t="s">
        <v>183</v>
      </c>
      <c r="K305" s="2" t="s">
        <v>387</v>
      </c>
      <c r="L305" s="2" t="str">
        <f>"63445030113018"</f>
        <v>63445030113018</v>
      </c>
      <c r="M305" s="2" t="s">
        <v>2</v>
      </c>
      <c r="N305" s="18">
        <v>31028</v>
      </c>
      <c r="O305" s="2" t="s">
        <v>456</v>
      </c>
    </row>
    <row r="306" spans="1:15" s="2" customFormat="1" x14ac:dyDescent="0.25">
      <c r="A306" s="2">
        <v>306</v>
      </c>
      <c r="B306" s="2">
        <v>2</v>
      </c>
      <c r="C306" s="2">
        <v>76</v>
      </c>
      <c r="D306" s="2">
        <v>1</v>
      </c>
      <c r="E306" s="2">
        <v>20</v>
      </c>
      <c r="G306" s="2">
        <v>1</v>
      </c>
      <c r="H306" s="2">
        <v>39</v>
      </c>
      <c r="I306" s="2">
        <v>13184324</v>
      </c>
      <c r="J306" s="2" t="s">
        <v>183</v>
      </c>
      <c r="K306" s="2" t="s">
        <v>387</v>
      </c>
      <c r="L306" s="2" t="str">
        <f>"63445030113019"</f>
        <v>63445030113019</v>
      </c>
      <c r="M306" s="2" t="s">
        <v>2</v>
      </c>
      <c r="N306" s="18">
        <v>31029</v>
      </c>
      <c r="O306" s="2" t="s">
        <v>456</v>
      </c>
    </row>
    <row r="307" spans="1:15" s="2" customFormat="1" x14ac:dyDescent="0.25">
      <c r="A307" s="2">
        <v>307</v>
      </c>
      <c r="B307" s="2">
        <v>2</v>
      </c>
      <c r="C307" s="2">
        <v>76</v>
      </c>
      <c r="D307" s="2">
        <v>2</v>
      </c>
      <c r="E307" s="2">
        <v>20</v>
      </c>
      <c r="G307" s="2">
        <v>1</v>
      </c>
      <c r="H307" s="2">
        <v>39</v>
      </c>
      <c r="I307" s="2">
        <v>13184325</v>
      </c>
      <c r="J307" s="2" t="s">
        <v>183</v>
      </c>
      <c r="K307" s="2" t="s">
        <v>387</v>
      </c>
      <c r="L307" s="2" t="str">
        <f>"63445030113020"</f>
        <v>63445030113020</v>
      </c>
      <c r="M307" s="2" t="s">
        <v>2</v>
      </c>
      <c r="N307" s="18">
        <v>31030</v>
      </c>
      <c r="O307" s="2">
        <v>55</v>
      </c>
    </row>
    <row r="308" spans="1:15" s="2" customFormat="1" x14ac:dyDescent="0.25">
      <c r="A308" s="2">
        <v>308</v>
      </c>
      <c r="B308" s="2">
        <v>1</v>
      </c>
      <c r="C308" s="2">
        <v>76</v>
      </c>
      <c r="D308" s="2">
        <v>1</v>
      </c>
      <c r="E308" s="2">
        <v>5</v>
      </c>
      <c r="G308" s="2">
        <v>1</v>
      </c>
      <c r="H308" s="2">
        <v>4</v>
      </c>
      <c r="I308" s="2">
        <v>13181989</v>
      </c>
      <c r="J308" s="2" t="s">
        <v>169</v>
      </c>
      <c r="K308" s="2" t="s">
        <v>360</v>
      </c>
      <c r="L308" s="2" t="str">
        <f>"63445040103002"</f>
        <v>63445040103002</v>
      </c>
      <c r="M308" s="2" t="s">
        <v>2</v>
      </c>
      <c r="N308" s="18">
        <v>31031</v>
      </c>
      <c r="O308" s="2">
        <v>28</v>
      </c>
    </row>
    <row r="309" spans="1:15" s="2" customFormat="1" x14ac:dyDescent="0.25">
      <c r="A309" s="2">
        <v>309</v>
      </c>
      <c r="B309" s="2">
        <v>1</v>
      </c>
      <c r="C309" s="2">
        <v>76</v>
      </c>
      <c r="D309" s="2">
        <v>1</v>
      </c>
      <c r="E309" s="2">
        <v>5</v>
      </c>
      <c r="G309" s="2">
        <v>1</v>
      </c>
      <c r="H309" s="2">
        <v>4</v>
      </c>
      <c r="I309" s="2">
        <v>13181990</v>
      </c>
      <c r="J309" s="2" t="s">
        <v>169</v>
      </c>
      <c r="K309" s="2" t="s">
        <v>360</v>
      </c>
      <c r="L309" s="2" t="str">
        <f>"63445040103003"</f>
        <v>63445040103003</v>
      </c>
      <c r="M309" s="2" t="s">
        <v>2</v>
      </c>
      <c r="N309" s="18">
        <v>31032</v>
      </c>
      <c r="O309" s="2">
        <v>28</v>
      </c>
    </row>
    <row r="310" spans="1:15" s="2" customFormat="1" x14ac:dyDescent="0.25">
      <c r="A310" s="2">
        <v>310</v>
      </c>
      <c r="B310" s="2">
        <v>1</v>
      </c>
      <c r="C310" s="2">
        <v>76</v>
      </c>
      <c r="D310" s="2">
        <v>1</v>
      </c>
      <c r="E310" s="2">
        <v>5</v>
      </c>
      <c r="G310" s="2">
        <v>1</v>
      </c>
      <c r="H310" s="2">
        <v>4</v>
      </c>
      <c r="I310" s="2">
        <v>13181991</v>
      </c>
      <c r="J310" s="2" t="s">
        <v>169</v>
      </c>
      <c r="K310" s="2" t="s">
        <v>360</v>
      </c>
      <c r="L310" s="2" t="str">
        <f>"63445040103004"</f>
        <v>63445040103004</v>
      </c>
      <c r="M310" s="2" t="s">
        <v>2</v>
      </c>
      <c r="N310" s="18">
        <v>31033</v>
      </c>
      <c r="O310" s="2">
        <v>28</v>
      </c>
    </row>
    <row r="311" spans="1:15" s="2" customFormat="1" x14ac:dyDescent="0.25">
      <c r="A311" s="2">
        <v>311</v>
      </c>
      <c r="B311" s="2">
        <v>1</v>
      </c>
      <c r="C311" s="2">
        <v>76</v>
      </c>
      <c r="D311" s="2">
        <v>1</v>
      </c>
      <c r="E311" s="2">
        <v>5</v>
      </c>
      <c r="G311" s="2">
        <v>1</v>
      </c>
      <c r="H311" s="2">
        <v>4</v>
      </c>
      <c r="I311" s="2">
        <v>13181992</v>
      </c>
      <c r="J311" s="2" t="s">
        <v>169</v>
      </c>
      <c r="K311" s="2" t="s">
        <v>360</v>
      </c>
      <c r="L311" s="2" t="str">
        <f>"63445040103005"</f>
        <v>63445040103005</v>
      </c>
      <c r="M311" s="2" t="s">
        <v>2</v>
      </c>
      <c r="N311" s="18">
        <v>31034</v>
      </c>
      <c r="O311" s="2">
        <v>28</v>
      </c>
    </row>
    <row r="312" spans="1:15" s="2" customFormat="1" x14ac:dyDescent="0.25">
      <c r="A312" s="2">
        <v>312</v>
      </c>
      <c r="B312" s="2">
        <v>1</v>
      </c>
      <c r="C312" s="2">
        <v>76</v>
      </c>
      <c r="D312" s="2">
        <v>1</v>
      </c>
      <c r="E312" s="2">
        <v>5</v>
      </c>
      <c r="G312" s="2">
        <v>1</v>
      </c>
      <c r="H312" s="2">
        <v>4</v>
      </c>
      <c r="I312" s="2">
        <v>13181993</v>
      </c>
      <c r="J312" s="2" t="s">
        <v>169</v>
      </c>
      <c r="K312" s="2" t="s">
        <v>360</v>
      </c>
      <c r="L312" s="2" t="str">
        <f>"63445040103006"</f>
        <v>63445040103006</v>
      </c>
      <c r="M312" s="2" t="s">
        <v>2</v>
      </c>
      <c r="N312" s="18">
        <v>31035</v>
      </c>
      <c r="O312" s="2">
        <v>28</v>
      </c>
    </row>
    <row r="313" spans="1:15" s="2" customFormat="1" x14ac:dyDescent="0.25">
      <c r="A313" s="2">
        <v>313</v>
      </c>
      <c r="B313" s="2">
        <v>1</v>
      </c>
      <c r="C313" s="2">
        <v>76</v>
      </c>
      <c r="D313" s="2">
        <v>1</v>
      </c>
      <c r="E313" s="2">
        <v>5</v>
      </c>
      <c r="G313" s="2">
        <v>1</v>
      </c>
      <c r="H313" s="2">
        <v>4</v>
      </c>
      <c r="I313" s="2">
        <v>13181994</v>
      </c>
      <c r="J313" s="2" t="s">
        <v>169</v>
      </c>
      <c r="K313" s="2" t="s">
        <v>360</v>
      </c>
      <c r="L313" s="2" t="str">
        <f>"63445040103007"</f>
        <v>63445040103007</v>
      </c>
      <c r="M313" s="2" t="s">
        <v>2</v>
      </c>
      <c r="N313" s="18">
        <v>31036</v>
      </c>
      <c r="O313" s="2">
        <v>28</v>
      </c>
    </row>
    <row r="314" spans="1:15" s="2" customFormat="1" x14ac:dyDescent="0.25">
      <c r="A314" s="2">
        <v>314</v>
      </c>
      <c r="B314" s="2">
        <v>1</v>
      </c>
      <c r="C314" s="2">
        <v>76</v>
      </c>
      <c r="D314" s="2">
        <v>1</v>
      </c>
      <c r="E314" s="2">
        <v>5</v>
      </c>
      <c r="G314" s="2">
        <v>1</v>
      </c>
      <c r="H314" s="2">
        <v>4</v>
      </c>
      <c r="I314" s="2">
        <v>13181995</v>
      </c>
      <c r="J314" s="2" t="s">
        <v>169</v>
      </c>
      <c r="K314" s="2" t="s">
        <v>360</v>
      </c>
      <c r="L314" s="2" t="str">
        <f>"63445040103008"</f>
        <v>63445040103008</v>
      </c>
      <c r="M314" s="2" t="s">
        <v>2</v>
      </c>
      <c r="N314" s="18">
        <v>31037</v>
      </c>
      <c r="O314" s="2">
        <v>28</v>
      </c>
    </row>
    <row r="315" spans="1:15" s="2" customFormat="1" x14ac:dyDescent="0.25">
      <c r="A315" s="2">
        <v>315</v>
      </c>
      <c r="B315" s="2">
        <v>1</v>
      </c>
      <c r="C315" s="2">
        <v>9</v>
      </c>
      <c r="D315" s="2">
        <v>1</v>
      </c>
      <c r="E315" s="2">
        <v>20</v>
      </c>
      <c r="G315" s="2">
        <v>1</v>
      </c>
      <c r="H315" s="2">
        <v>4</v>
      </c>
      <c r="I315" s="2">
        <v>7602782</v>
      </c>
      <c r="J315" s="2" t="s">
        <v>210</v>
      </c>
      <c r="K315" s="2" t="s">
        <v>457</v>
      </c>
      <c r="L315" s="2" t="str">
        <f>"14101040201001"</f>
        <v>14101040201001</v>
      </c>
      <c r="M315" s="2" t="s">
        <v>2</v>
      </c>
      <c r="N315" s="18">
        <v>31038</v>
      </c>
      <c r="O315" s="2">
        <v>240</v>
      </c>
    </row>
    <row r="316" spans="1:15" s="2" customFormat="1" x14ac:dyDescent="0.25">
      <c r="A316" s="2">
        <v>316</v>
      </c>
      <c r="B316" s="2">
        <v>1</v>
      </c>
      <c r="C316" s="2">
        <v>52</v>
      </c>
      <c r="D316" s="2">
        <v>2</v>
      </c>
      <c r="E316" s="2">
        <v>13</v>
      </c>
      <c r="G316" s="2">
        <v>1</v>
      </c>
      <c r="H316" s="2">
        <v>4</v>
      </c>
      <c r="I316" s="2">
        <v>7602783</v>
      </c>
      <c r="J316" s="2" t="s">
        <v>211</v>
      </c>
      <c r="K316" s="2" t="s">
        <v>458</v>
      </c>
      <c r="L316" s="2" t="str">
        <f>"PX27112"</f>
        <v>PX27112</v>
      </c>
      <c r="M316" s="2" t="s">
        <v>2</v>
      </c>
      <c r="N316" s="18">
        <v>31039</v>
      </c>
      <c r="O316" s="19">
        <v>1008</v>
      </c>
    </row>
    <row r="317" spans="1:15" s="2" customFormat="1" x14ac:dyDescent="0.25">
      <c r="A317" s="2">
        <v>317</v>
      </c>
      <c r="B317" s="2">
        <v>1</v>
      </c>
      <c r="C317" s="2">
        <v>62</v>
      </c>
      <c r="D317" s="2">
        <v>1</v>
      </c>
      <c r="E317" s="2">
        <v>20</v>
      </c>
      <c r="G317" s="2">
        <v>1</v>
      </c>
      <c r="H317" s="2">
        <v>4</v>
      </c>
      <c r="I317" s="2">
        <v>7602784</v>
      </c>
      <c r="J317" s="2" t="s">
        <v>212</v>
      </c>
      <c r="K317" s="2" t="s">
        <v>459</v>
      </c>
      <c r="L317" s="2" t="str">
        <f>"HHMP010128LW"</f>
        <v>HHMP010128LW</v>
      </c>
      <c r="M317" s="2" t="s">
        <v>2</v>
      </c>
      <c r="N317" s="18">
        <v>31040</v>
      </c>
      <c r="O317" s="2">
        <v>896</v>
      </c>
    </row>
    <row r="318" spans="1:15" s="2" customFormat="1" x14ac:dyDescent="0.25">
      <c r="A318" s="2">
        <v>318</v>
      </c>
      <c r="B318" s="2">
        <v>1</v>
      </c>
      <c r="C318" s="2">
        <v>4</v>
      </c>
      <c r="D318" s="2">
        <v>1</v>
      </c>
      <c r="E318" s="2">
        <v>20</v>
      </c>
      <c r="G318" s="2">
        <v>1</v>
      </c>
      <c r="H318" s="2">
        <v>4</v>
      </c>
      <c r="I318" s="2">
        <v>7602785</v>
      </c>
      <c r="J318" s="2" t="s">
        <v>213</v>
      </c>
      <c r="K318" s="2" t="s">
        <v>460</v>
      </c>
      <c r="L318" s="2" t="str">
        <f>"V08101607860"</f>
        <v>V08101607860</v>
      </c>
      <c r="M318" s="2" t="s">
        <v>2</v>
      </c>
      <c r="N318" s="18">
        <v>31041</v>
      </c>
      <c r="O318" s="2" t="s">
        <v>461</v>
      </c>
    </row>
    <row r="319" spans="1:15" s="2" customFormat="1" x14ac:dyDescent="0.25">
      <c r="A319" s="2">
        <v>319</v>
      </c>
      <c r="B319" s="2">
        <v>1</v>
      </c>
      <c r="C319" s="2">
        <v>4</v>
      </c>
      <c r="D319" s="2">
        <v>1</v>
      </c>
      <c r="E319" s="2">
        <v>20</v>
      </c>
      <c r="G319" s="2">
        <v>1</v>
      </c>
      <c r="H319" s="2">
        <v>4</v>
      </c>
      <c r="I319" s="2">
        <v>7602786</v>
      </c>
      <c r="J319" s="2" t="s">
        <v>213</v>
      </c>
      <c r="K319" s="2" t="s">
        <v>462</v>
      </c>
      <c r="L319" s="2" t="str">
        <f>"VO8100601935"</f>
        <v>VO8100601935</v>
      </c>
      <c r="M319" s="2" t="s">
        <v>2</v>
      </c>
      <c r="N319" s="18">
        <v>31042</v>
      </c>
      <c r="O319" s="2" t="s">
        <v>463</v>
      </c>
    </row>
    <row r="320" spans="1:15" s="2" customFormat="1" x14ac:dyDescent="0.25">
      <c r="A320" s="2">
        <v>320</v>
      </c>
      <c r="B320" s="2">
        <v>1</v>
      </c>
      <c r="C320" s="2">
        <v>4</v>
      </c>
      <c r="D320" s="2">
        <v>1</v>
      </c>
      <c r="E320" s="2">
        <v>20</v>
      </c>
      <c r="G320" s="2">
        <v>1</v>
      </c>
      <c r="H320" s="2">
        <v>4</v>
      </c>
      <c r="I320" s="2">
        <v>7602787</v>
      </c>
      <c r="J320" s="2" t="s">
        <v>214</v>
      </c>
      <c r="K320" s="2" t="s">
        <v>464</v>
      </c>
      <c r="L320" s="2" t="str">
        <f>"14101040201006"</f>
        <v>14101040201006</v>
      </c>
      <c r="M320" s="2" t="s">
        <v>2</v>
      </c>
      <c r="N320" s="18">
        <v>31043</v>
      </c>
      <c r="O320" s="2">
        <v>448</v>
      </c>
    </row>
    <row r="321" spans="1:15" s="2" customFormat="1" x14ac:dyDescent="0.25">
      <c r="A321" s="2">
        <v>321</v>
      </c>
      <c r="B321" s="2">
        <v>1</v>
      </c>
      <c r="C321" s="2">
        <v>87</v>
      </c>
      <c r="D321" s="2">
        <v>1</v>
      </c>
      <c r="E321" s="2">
        <v>20</v>
      </c>
      <c r="G321" s="2">
        <v>1</v>
      </c>
      <c r="H321" s="2">
        <v>4</v>
      </c>
      <c r="I321" s="2">
        <v>7602794</v>
      </c>
      <c r="J321" s="2" t="s">
        <v>215</v>
      </c>
      <c r="K321" s="2" t="s">
        <v>465</v>
      </c>
      <c r="L321" s="2" t="str">
        <f>"SVPX15000060B"</f>
        <v>SVPX15000060B</v>
      </c>
      <c r="M321" s="2" t="s">
        <v>2</v>
      </c>
      <c r="N321" s="18">
        <v>31044</v>
      </c>
      <c r="O321" s="2">
        <v>200</v>
      </c>
    </row>
    <row r="322" spans="1:15" s="2" customFormat="1" x14ac:dyDescent="0.25">
      <c r="A322" s="2">
        <v>322</v>
      </c>
      <c r="B322" s="2">
        <v>1</v>
      </c>
      <c r="C322" s="2">
        <v>88</v>
      </c>
      <c r="D322" s="2">
        <v>1</v>
      </c>
      <c r="E322" s="2">
        <v>20</v>
      </c>
      <c r="G322" s="2">
        <v>1</v>
      </c>
      <c r="H322" s="2">
        <v>4</v>
      </c>
      <c r="I322" s="2">
        <v>7602795</v>
      </c>
      <c r="J322" s="2" t="s">
        <v>215</v>
      </c>
      <c r="K322" s="2" t="s">
        <v>466</v>
      </c>
      <c r="L322" s="2" t="str">
        <f>"470174I0199"</f>
        <v>470174I0199</v>
      </c>
      <c r="M322" s="2" t="s">
        <v>2</v>
      </c>
      <c r="N322" s="18">
        <v>31045</v>
      </c>
      <c r="O322" s="19">
        <v>1008</v>
      </c>
    </row>
    <row r="323" spans="1:15" s="2" customFormat="1" x14ac:dyDescent="0.25">
      <c r="A323" s="2">
        <v>323</v>
      </c>
      <c r="B323" s="2">
        <v>1</v>
      </c>
      <c r="C323" s="2">
        <v>88</v>
      </c>
      <c r="D323" s="2">
        <v>1</v>
      </c>
      <c r="E323" s="2">
        <v>20</v>
      </c>
      <c r="G323" s="2">
        <v>1</v>
      </c>
      <c r="H323" s="2">
        <v>4</v>
      </c>
      <c r="I323" s="2">
        <v>7602796</v>
      </c>
      <c r="J323" s="2" t="s">
        <v>215</v>
      </c>
      <c r="K323" s="2" t="s">
        <v>466</v>
      </c>
      <c r="L323" s="2" t="str">
        <f>"470174I0171"</f>
        <v>470174I0171</v>
      </c>
      <c r="M323" s="2" t="s">
        <v>2</v>
      </c>
      <c r="N323" s="18">
        <v>31046</v>
      </c>
      <c r="O323" s="19">
        <v>1008</v>
      </c>
    </row>
    <row r="324" spans="1:15" s="2" customFormat="1" x14ac:dyDescent="0.25">
      <c r="A324" s="2">
        <v>324</v>
      </c>
      <c r="B324" s="2">
        <v>1</v>
      </c>
      <c r="C324" s="2">
        <v>37</v>
      </c>
      <c r="D324" s="2">
        <v>2</v>
      </c>
      <c r="E324" s="2">
        <v>23</v>
      </c>
      <c r="G324" s="2">
        <v>1</v>
      </c>
      <c r="H324" s="2">
        <v>4</v>
      </c>
      <c r="I324" s="2">
        <v>6794398</v>
      </c>
      <c r="J324" s="2" t="s">
        <v>145</v>
      </c>
      <c r="K324" s="2" t="s">
        <v>350</v>
      </c>
      <c r="L324" s="2" t="str">
        <f>"14101070101024"</f>
        <v>14101070101024</v>
      </c>
      <c r="M324" s="2" t="s">
        <v>2</v>
      </c>
      <c r="N324" s="18">
        <v>31047</v>
      </c>
      <c r="O324" s="2" t="s">
        <v>467</v>
      </c>
    </row>
    <row r="325" spans="1:15" s="2" customFormat="1" x14ac:dyDescent="0.25">
      <c r="A325" s="2">
        <v>325</v>
      </c>
      <c r="B325" s="2">
        <v>1</v>
      </c>
      <c r="C325" s="2">
        <v>37</v>
      </c>
      <c r="D325" s="2">
        <v>2</v>
      </c>
      <c r="E325" s="2">
        <v>23</v>
      </c>
      <c r="G325" s="2">
        <v>1</v>
      </c>
      <c r="H325" s="2">
        <v>4</v>
      </c>
      <c r="I325" s="2">
        <v>6794401</v>
      </c>
      <c r="J325" s="2" t="s">
        <v>145</v>
      </c>
      <c r="K325" s="2" t="s">
        <v>350</v>
      </c>
      <c r="L325" s="2" t="str">
        <f>"14101070101027"</f>
        <v>14101070101027</v>
      </c>
      <c r="M325" s="2" t="s">
        <v>2</v>
      </c>
      <c r="N325" s="18">
        <v>31048</v>
      </c>
      <c r="O325" s="2" t="s">
        <v>467</v>
      </c>
    </row>
    <row r="326" spans="1:15" s="2" customFormat="1" x14ac:dyDescent="0.25">
      <c r="A326" s="2">
        <v>326</v>
      </c>
      <c r="B326" s="2">
        <v>1</v>
      </c>
      <c r="C326" s="2">
        <v>74</v>
      </c>
      <c r="D326" s="2">
        <v>1</v>
      </c>
      <c r="E326" s="2">
        <v>20</v>
      </c>
      <c r="G326" s="2">
        <v>1</v>
      </c>
      <c r="H326" s="2">
        <v>4</v>
      </c>
      <c r="I326" s="2">
        <v>6794522</v>
      </c>
      <c r="J326" s="2" t="s">
        <v>195</v>
      </c>
      <c r="K326" s="2" t="s">
        <v>414</v>
      </c>
      <c r="L326" s="2" t="str">
        <f>"HA19H9FM342095L"</f>
        <v>HA19H9FM342095L</v>
      </c>
      <c r="M326" s="2" t="s">
        <v>2</v>
      </c>
      <c r="N326" s="18">
        <v>31049</v>
      </c>
      <c r="O326" s="2" t="s">
        <v>468</v>
      </c>
    </row>
    <row r="327" spans="1:15" s="2" customFormat="1" x14ac:dyDescent="0.25">
      <c r="A327" s="2">
        <v>327</v>
      </c>
      <c r="B327" s="2">
        <v>1</v>
      </c>
      <c r="C327" s="2">
        <v>50</v>
      </c>
      <c r="D327" s="2">
        <v>1</v>
      </c>
      <c r="E327" s="2">
        <v>20</v>
      </c>
      <c r="G327" s="2">
        <v>1</v>
      </c>
      <c r="H327" s="2">
        <v>4</v>
      </c>
      <c r="I327" s="2">
        <v>6794525</v>
      </c>
      <c r="J327" s="2" t="s">
        <v>195</v>
      </c>
      <c r="K327" s="2" t="s">
        <v>469</v>
      </c>
      <c r="L327" s="2" t="str">
        <f>"102UXUN58878"</f>
        <v>102UXUN58878</v>
      </c>
      <c r="M327" s="2" t="s">
        <v>2</v>
      </c>
      <c r="N327" s="18">
        <v>31050</v>
      </c>
      <c r="O327" s="2" t="s">
        <v>468</v>
      </c>
    </row>
    <row r="328" spans="1:15" s="2" customFormat="1" x14ac:dyDescent="0.25">
      <c r="A328" s="2">
        <v>328</v>
      </c>
      <c r="B328" s="2">
        <v>1</v>
      </c>
      <c r="C328" s="2">
        <v>42</v>
      </c>
      <c r="D328" s="2">
        <v>1</v>
      </c>
      <c r="E328" s="2">
        <v>20</v>
      </c>
      <c r="G328" s="2">
        <v>1</v>
      </c>
      <c r="H328" s="2">
        <v>4</v>
      </c>
      <c r="I328" s="2">
        <v>13382654</v>
      </c>
      <c r="J328" s="2" t="s">
        <v>198</v>
      </c>
      <c r="K328" s="2" t="s">
        <v>470</v>
      </c>
      <c r="L328" s="2" t="str">
        <f>"BC3370FVBW36NM"</f>
        <v>BC3370FVBW36NM</v>
      </c>
      <c r="M328" s="2" t="s">
        <v>2</v>
      </c>
      <c r="N328" s="18">
        <v>31051</v>
      </c>
      <c r="O328" s="2" t="s">
        <v>471</v>
      </c>
    </row>
    <row r="329" spans="1:15" s="2" customFormat="1" x14ac:dyDescent="0.25">
      <c r="A329" s="2">
        <v>329</v>
      </c>
      <c r="B329" s="2">
        <v>1</v>
      </c>
      <c r="C329" s="2">
        <v>38</v>
      </c>
      <c r="D329" s="2">
        <v>1</v>
      </c>
      <c r="E329" s="2">
        <v>20</v>
      </c>
      <c r="G329" s="2">
        <v>1</v>
      </c>
      <c r="H329" s="2">
        <v>4</v>
      </c>
      <c r="I329" s="2">
        <v>13382657</v>
      </c>
      <c r="J329" s="2" t="s">
        <v>198</v>
      </c>
      <c r="K329" s="2" t="s">
        <v>472</v>
      </c>
      <c r="L329" s="2" t="str">
        <f>"ZM4803200439"</f>
        <v>ZM4803200439</v>
      </c>
      <c r="M329" s="2" t="s">
        <v>2</v>
      </c>
      <c r="N329" s="18">
        <v>31052</v>
      </c>
      <c r="O329" s="2" t="s">
        <v>471</v>
      </c>
    </row>
    <row r="330" spans="1:15" s="2" customFormat="1" x14ac:dyDescent="0.25">
      <c r="A330" s="2">
        <v>330</v>
      </c>
      <c r="B330" s="2">
        <v>1</v>
      </c>
      <c r="C330" s="2">
        <v>38</v>
      </c>
      <c r="D330" s="2">
        <v>1</v>
      </c>
      <c r="E330" s="2">
        <v>20</v>
      </c>
      <c r="G330" s="2">
        <v>1</v>
      </c>
      <c r="H330" s="2">
        <v>4</v>
      </c>
      <c r="I330" s="2">
        <v>13382693</v>
      </c>
      <c r="J330" s="2" t="s">
        <v>197</v>
      </c>
      <c r="K330" s="2" t="s">
        <v>420</v>
      </c>
      <c r="L330" s="2" t="str">
        <f>"133735704685"</f>
        <v>133735704685</v>
      </c>
      <c r="M330" s="2" t="s">
        <v>2</v>
      </c>
      <c r="N330" s="18">
        <v>31053</v>
      </c>
      <c r="O330" s="2" t="s">
        <v>473</v>
      </c>
    </row>
    <row r="331" spans="1:15" s="2" customFormat="1" x14ac:dyDescent="0.25">
      <c r="A331" s="2">
        <v>331</v>
      </c>
      <c r="B331" s="2">
        <v>1</v>
      </c>
      <c r="C331" s="2">
        <v>38</v>
      </c>
      <c r="D331" s="2">
        <v>1</v>
      </c>
      <c r="E331" s="2">
        <v>23</v>
      </c>
      <c r="G331" s="2">
        <v>1</v>
      </c>
      <c r="H331" s="2">
        <v>4</v>
      </c>
      <c r="I331" s="2">
        <v>13382696</v>
      </c>
      <c r="J331" s="2" t="s">
        <v>197</v>
      </c>
      <c r="K331" s="2" t="s">
        <v>474</v>
      </c>
      <c r="L331" s="2" t="str">
        <f>"121095006810"</f>
        <v>121095006810</v>
      </c>
      <c r="M331" s="2" t="s">
        <v>2</v>
      </c>
      <c r="N331" s="18">
        <v>31054</v>
      </c>
      <c r="O331" s="2" t="s">
        <v>473</v>
      </c>
    </row>
    <row r="332" spans="1:15" s="2" customFormat="1" x14ac:dyDescent="0.25">
      <c r="A332" s="2">
        <v>332</v>
      </c>
      <c r="B332" s="2">
        <v>1</v>
      </c>
      <c r="C332" s="2">
        <v>31</v>
      </c>
      <c r="D332" s="2">
        <v>1</v>
      </c>
      <c r="E332" s="2">
        <v>13</v>
      </c>
      <c r="G332" s="2">
        <v>1</v>
      </c>
      <c r="H332" s="2">
        <v>4</v>
      </c>
      <c r="I332" s="2">
        <v>6794450</v>
      </c>
      <c r="J332" s="2" t="s">
        <v>204</v>
      </c>
      <c r="K332" s="2" t="s">
        <v>439</v>
      </c>
      <c r="L332" s="2" t="str">
        <f>"E8BY316807"</f>
        <v>E8BY316807</v>
      </c>
      <c r="M332" s="2" t="s">
        <v>2</v>
      </c>
      <c r="N332" s="18">
        <v>31055</v>
      </c>
      <c r="O332" s="2">
        <v>598</v>
      </c>
    </row>
    <row r="333" spans="1:15" s="2" customFormat="1" x14ac:dyDescent="0.25">
      <c r="A333" s="2">
        <v>333</v>
      </c>
      <c r="B333" s="2">
        <v>1</v>
      </c>
      <c r="C333" s="2">
        <v>42</v>
      </c>
      <c r="D333" s="2">
        <v>1</v>
      </c>
      <c r="E333" s="2">
        <v>13</v>
      </c>
      <c r="G333" s="2">
        <v>1</v>
      </c>
      <c r="H333" s="2">
        <v>4</v>
      </c>
      <c r="I333" s="2">
        <v>6794452</v>
      </c>
      <c r="J333" s="2" t="s">
        <v>192</v>
      </c>
      <c r="K333" s="2" t="s">
        <v>475</v>
      </c>
      <c r="L333" s="2" t="str">
        <f>"CNDX118445"</f>
        <v>CNDX118445</v>
      </c>
      <c r="M333" s="2" t="s">
        <v>2</v>
      </c>
      <c r="N333" s="18">
        <v>31056</v>
      </c>
      <c r="O333" s="19">
        <v>1105</v>
      </c>
    </row>
    <row r="334" spans="1:15" s="2" customFormat="1" x14ac:dyDescent="0.25">
      <c r="A334" s="2">
        <v>334</v>
      </c>
      <c r="B334" s="2">
        <v>1</v>
      </c>
      <c r="C334" s="2">
        <v>42</v>
      </c>
      <c r="D334" s="2">
        <v>1</v>
      </c>
      <c r="E334" s="2">
        <v>20</v>
      </c>
      <c r="G334" s="2">
        <v>1</v>
      </c>
      <c r="H334" s="2">
        <v>4</v>
      </c>
      <c r="I334" s="2">
        <v>6794594</v>
      </c>
      <c r="J334" s="2" t="s">
        <v>216</v>
      </c>
      <c r="K334" s="2" t="s">
        <v>476</v>
      </c>
      <c r="L334" s="2" t="str">
        <f>"MXS9120ERV"</f>
        <v>MXS9120ERV</v>
      </c>
      <c r="M334" s="2" t="s">
        <v>2</v>
      </c>
      <c r="N334" s="18">
        <v>31057</v>
      </c>
      <c r="O334" s="2" t="s">
        <v>477</v>
      </c>
    </row>
    <row r="335" spans="1:15" s="2" customFormat="1" x14ac:dyDescent="0.25">
      <c r="A335" s="2">
        <v>335</v>
      </c>
      <c r="B335" s="2">
        <v>1</v>
      </c>
      <c r="C335" s="2">
        <v>42</v>
      </c>
      <c r="D335" s="2">
        <v>1</v>
      </c>
      <c r="E335" s="2">
        <v>20</v>
      </c>
      <c r="G335" s="2">
        <v>1</v>
      </c>
      <c r="H335" s="2">
        <v>4</v>
      </c>
      <c r="I335" s="2">
        <v>6794595</v>
      </c>
      <c r="J335" s="2" t="s">
        <v>216</v>
      </c>
      <c r="K335" s="2" t="s">
        <v>476</v>
      </c>
      <c r="L335" s="2" t="str">
        <f>"MXS9120ERW"</f>
        <v>MXS9120ERW</v>
      </c>
      <c r="M335" s="2" t="s">
        <v>2</v>
      </c>
      <c r="N335" s="18">
        <v>31058</v>
      </c>
      <c r="O335" s="2" t="s">
        <v>477</v>
      </c>
    </row>
    <row r="336" spans="1:15" s="2" customFormat="1" x14ac:dyDescent="0.25">
      <c r="A336" s="2">
        <v>336</v>
      </c>
      <c r="B336" s="2">
        <v>1</v>
      </c>
      <c r="C336" s="2">
        <v>42</v>
      </c>
      <c r="D336" s="2">
        <v>1</v>
      </c>
      <c r="E336" s="2">
        <v>20</v>
      </c>
      <c r="G336" s="2">
        <v>1</v>
      </c>
      <c r="H336" s="2">
        <v>4</v>
      </c>
      <c r="I336" s="2">
        <v>6794596</v>
      </c>
      <c r="J336" s="2" t="s">
        <v>216</v>
      </c>
      <c r="K336" s="2" t="s">
        <v>476</v>
      </c>
      <c r="L336" s="2" t="str">
        <f>"MXS9110ENP"</f>
        <v>MXS9110ENP</v>
      </c>
      <c r="M336" s="2" t="s">
        <v>2</v>
      </c>
      <c r="N336" s="18">
        <v>31059</v>
      </c>
      <c r="O336" s="2" t="s">
        <v>477</v>
      </c>
    </row>
    <row r="337" spans="1:15" s="2" customFormat="1" x14ac:dyDescent="0.25">
      <c r="A337" s="2">
        <v>337</v>
      </c>
      <c r="B337" s="2">
        <v>2</v>
      </c>
      <c r="C337" s="2">
        <v>76</v>
      </c>
      <c r="D337" s="2">
        <v>2</v>
      </c>
      <c r="E337" s="2">
        <v>5</v>
      </c>
      <c r="G337" s="2">
        <v>1</v>
      </c>
      <c r="H337" s="2">
        <v>39</v>
      </c>
      <c r="I337" s="2">
        <v>13184473</v>
      </c>
      <c r="J337" s="2" t="s">
        <v>217</v>
      </c>
      <c r="K337" s="2" t="s">
        <v>478</v>
      </c>
      <c r="L337" s="2" t="str">
        <f>"63445030126001"</f>
        <v>63445030126001</v>
      </c>
      <c r="M337" s="2" t="s">
        <v>2</v>
      </c>
      <c r="N337" s="18">
        <v>31060</v>
      </c>
      <c r="O337" s="2">
        <v>55</v>
      </c>
    </row>
    <row r="338" spans="1:15" s="2" customFormat="1" x14ac:dyDescent="0.25">
      <c r="A338" s="2">
        <v>338</v>
      </c>
      <c r="B338" s="2">
        <v>2</v>
      </c>
      <c r="C338" s="2">
        <v>76</v>
      </c>
      <c r="D338" s="2">
        <v>1</v>
      </c>
      <c r="E338" s="2">
        <v>5</v>
      </c>
      <c r="G338" s="2">
        <v>1</v>
      </c>
      <c r="H338" s="2">
        <v>39</v>
      </c>
      <c r="I338" s="2">
        <v>13184474</v>
      </c>
      <c r="J338" s="2" t="s">
        <v>217</v>
      </c>
      <c r="K338" s="2" t="s">
        <v>478</v>
      </c>
      <c r="L338" s="2" t="str">
        <f>"63445030126002"</f>
        <v>63445030126002</v>
      </c>
      <c r="M338" s="2" t="s">
        <v>2</v>
      </c>
      <c r="N338" s="18">
        <v>31061</v>
      </c>
      <c r="O338" s="2" t="s">
        <v>479</v>
      </c>
    </row>
    <row r="339" spans="1:15" s="2" customFormat="1" x14ac:dyDescent="0.25">
      <c r="A339" s="2">
        <v>339</v>
      </c>
      <c r="B339" s="2">
        <v>2</v>
      </c>
      <c r="C339" s="2">
        <v>76</v>
      </c>
      <c r="D339" s="2">
        <v>2</v>
      </c>
      <c r="E339" s="2">
        <v>5</v>
      </c>
      <c r="G339" s="2">
        <v>1</v>
      </c>
      <c r="H339" s="2">
        <v>39</v>
      </c>
      <c r="I339" s="2">
        <v>7606360</v>
      </c>
      <c r="J339" s="2" t="s">
        <v>274</v>
      </c>
      <c r="K339" s="2" t="s">
        <v>350</v>
      </c>
      <c r="L339" s="2" t="str">
        <f>"14101030110001"</f>
        <v>14101030110001</v>
      </c>
      <c r="M339" s="2" t="s">
        <v>2</v>
      </c>
      <c r="N339" s="18">
        <v>31062</v>
      </c>
      <c r="O339" s="2">
        <v>125</v>
      </c>
    </row>
    <row r="340" spans="1:15" s="2" customFormat="1" x14ac:dyDescent="0.25">
      <c r="A340" s="2">
        <v>340</v>
      </c>
      <c r="B340" s="2">
        <v>2</v>
      </c>
      <c r="C340" s="2">
        <v>76</v>
      </c>
      <c r="D340" s="2">
        <v>2</v>
      </c>
      <c r="E340" s="2">
        <v>5</v>
      </c>
      <c r="G340" s="2">
        <v>1</v>
      </c>
      <c r="H340" s="2">
        <v>39</v>
      </c>
      <c r="I340" s="2">
        <v>7606361</v>
      </c>
      <c r="J340" s="2" t="s">
        <v>274</v>
      </c>
      <c r="K340" s="2" t="s">
        <v>350</v>
      </c>
      <c r="L340" s="2" t="str">
        <f>"14101030110002"</f>
        <v>14101030110002</v>
      </c>
      <c r="M340" s="2" t="s">
        <v>2</v>
      </c>
      <c r="N340" s="18">
        <v>31063</v>
      </c>
      <c r="O340" s="2">
        <v>125</v>
      </c>
    </row>
    <row r="341" spans="1:15" s="2" customFormat="1" x14ac:dyDescent="0.25">
      <c r="A341" s="2">
        <v>341</v>
      </c>
      <c r="B341" s="2">
        <v>2</v>
      </c>
      <c r="C341" s="2">
        <v>76</v>
      </c>
      <c r="D341" s="2">
        <v>2</v>
      </c>
      <c r="E341" s="2">
        <v>5</v>
      </c>
      <c r="G341" s="2">
        <v>1</v>
      </c>
      <c r="H341" s="2">
        <v>39</v>
      </c>
      <c r="I341" s="2">
        <v>7606362</v>
      </c>
      <c r="J341" s="2" t="s">
        <v>274</v>
      </c>
      <c r="K341" s="2" t="s">
        <v>350</v>
      </c>
      <c r="L341" s="2" t="str">
        <f>"14101030110003"</f>
        <v>14101030110003</v>
      </c>
      <c r="M341" s="2" t="s">
        <v>2</v>
      </c>
      <c r="N341" s="18">
        <v>31064</v>
      </c>
      <c r="O341" s="2">
        <v>125</v>
      </c>
    </row>
    <row r="342" spans="1:15" s="2" customFormat="1" x14ac:dyDescent="0.25">
      <c r="A342" s="2">
        <v>342</v>
      </c>
      <c r="B342" s="2">
        <v>1</v>
      </c>
      <c r="C342" s="2">
        <v>28</v>
      </c>
      <c r="D342" s="2">
        <v>1</v>
      </c>
      <c r="E342" s="2">
        <v>20</v>
      </c>
      <c r="G342" s="2">
        <v>1</v>
      </c>
      <c r="H342" s="2">
        <v>4</v>
      </c>
      <c r="I342" s="2">
        <v>7602765</v>
      </c>
      <c r="J342" s="2" t="s">
        <v>193</v>
      </c>
      <c r="K342" s="2" t="s">
        <v>480</v>
      </c>
      <c r="L342" s="2" t="str">
        <f>"5208212150"</f>
        <v>5208212150</v>
      </c>
      <c r="M342" s="2" t="s">
        <v>2</v>
      </c>
      <c r="N342" s="18">
        <v>31065</v>
      </c>
      <c r="O342" s="2">
        <v>145</v>
      </c>
    </row>
    <row r="343" spans="1:15" s="2" customFormat="1" x14ac:dyDescent="0.25">
      <c r="A343" s="2">
        <v>343</v>
      </c>
      <c r="B343" s="2">
        <v>1</v>
      </c>
      <c r="C343" s="2">
        <v>81</v>
      </c>
      <c r="D343" s="2">
        <v>1</v>
      </c>
      <c r="E343" s="2">
        <v>13</v>
      </c>
      <c r="G343" s="2">
        <v>1</v>
      </c>
      <c r="H343" s="2">
        <v>4</v>
      </c>
      <c r="I343" s="2">
        <v>7602766</v>
      </c>
      <c r="J343" s="2" t="s">
        <v>193</v>
      </c>
      <c r="K343" s="2" t="s">
        <v>412</v>
      </c>
      <c r="L343" s="2" t="str">
        <f>"Y48M9Y"</f>
        <v>Y48M9Y</v>
      </c>
      <c r="M343" s="2" t="s">
        <v>2</v>
      </c>
      <c r="N343" s="18">
        <v>31066</v>
      </c>
      <c r="O343" s="2">
        <v>193</v>
      </c>
    </row>
    <row r="344" spans="1:15" s="2" customFormat="1" x14ac:dyDescent="0.25">
      <c r="A344" s="2">
        <v>344</v>
      </c>
      <c r="B344" s="2">
        <v>1</v>
      </c>
      <c r="C344" s="2">
        <v>87</v>
      </c>
      <c r="D344" s="2">
        <v>2</v>
      </c>
      <c r="E344" s="2">
        <v>20</v>
      </c>
      <c r="G344" s="2">
        <v>1</v>
      </c>
      <c r="H344" s="2">
        <v>4</v>
      </c>
      <c r="I344" s="2">
        <v>13182003</v>
      </c>
      <c r="J344" s="2" t="s">
        <v>218</v>
      </c>
      <c r="K344" s="2" t="s">
        <v>481</v>
      </c>
      <c r="L344" s="2" t="str">
        <f>"63445040203001"</f>
        <v>63445040203001</v>
      </c>
      <c r="M344" s="2" t="s">
        <v>2</v>
      </c>
      <c r="N344" s="18">
        <v>31067</v>
      </c>
      <c r="O344" s="2">
        <v>28</v>
      </c>
    </row>
    <row r="345" spans="1:15" s="2" customFormat="1" x14ac:dyDescent="0.25">
      <c r="A345" s="2">
        <v>345</v>
      </c>
      <c r="B345" s="2">
        <v>1</v>
      </c>
      <c r="C345" s="2">
        <v>68</v>
      </c>
      <c r="D345" s="2">
        <v>1</v>
      </c>
      <c r="E345" s="2">
        <v>20</v>
      </c>
      <c r="G345" s="2">
        <v>1</v>
      </c>
      <c r="H345" s="2">
        <v>4</v>
      </c>
      <c r="I345" s="2">
        <v>13182004</v>
      </c>
      <c r="J345" s="2" t="s">
        <v>218</v>
      </c>
      <c r="K345" s="2" t="s">
        <v>482</v>
      </c>
      <c r="L345" s="2" t="str">
        <f>"63445040203002"</f>
        <v>63445040203002</v>
      </c>
      <c r="M345" s="2" t="s">
        <v>2</v>
      </c>
      <c r="N345" s="18">
        <v>31068</v>
      </c>
      <c r="O345" s="2" t="s">
        <v>483</v>
      </c>
    </row>
    <row r="346" spans="1:15" s="2" customFormat="1" x14ac:dyDescent="0.25">
      <c r="A346" s="2">
        <v>346</v>
      </c>
      <c r="B346" s="2">
        <v>1</v>
      </c>
      <c r="C346" s="2">
        <v>68</v>
      </c>
      <c r="D346" s="2">
        <v>1</v>
      </c>
      <c r="E346" s="2">
        <v>20</v>
      </c>
      <c r="G346" s="2">
        <v>1</v>
      </c>
      <c r="H346" s="2">
        <v>4</v>
      </c>
      <c r="I346" s="2">
        <v>13182005</v>
      </c>
      <c r="J346" s="2" t="s">
        <v>218</v>
      </c>
      <c r="K346" s="2" t="s">
        <v>482</v>
      </c>
      <c r="L346" s="2" t="str">
        <f>"63445040203003"</f>
        <v>63445040203003</v>
      </c>
      <c r="M346" s="2" t="s">
        <v>2</v>
      </c>
      <c r="N346" s="18">
        <v>31069</v>
      </c>
      <c r="O346" s="2" t="s">
        <v>483</v>
      </c>
    </row>
    <row r="347" spans="1:15" s="2" customFormat="1" x14ac:dyDescent="0.25">
      <c r="A347" s="2">
        <v>347</v>
      </c>
      <c r="B347" s="2">
        <v>1</v>
      </c>
      <c r="C347" s="2">
        <v>59</v>
      </c>
      <c r="D347" s="2">
        <v>1</v>
      </c>
      <c r="E347" s="2">
        <v>20</v>
      </c>
      <c r="G347" s="2">
        <v>1</v>
      </c>
      <c r="H347" s="2">
        <v>4</v>
      </c>
      <c r="I347" s="2">
        <v>7602816</v>
      </c>
      <c r="J347" s="2" t="s">
        <v>219</v>
      </c>
      <c r="K347" s="2" t="s">
        <v>484</v>
      </c>
      <c r="L347" s="2" t="str">
        <f>"U219497T"</f>
        <v>U219497T</v>
      </c>
      <c r="M347" s="2" t="s">
        <v>2</v>
      </c>
      <c r="N347" s="18">
        <v>31070</v>
      </c>
      <c r="O347" s="2" t="s">
        <v>485</v>
      </c>
    </row>
    <row r="348" spans="1:15" s="2" customFormat="1" x14ac:dyDescent="0.25">
      <c r="A348" s="2">
        <v>348</v>
      </c>
      <c r="B348" s="2">
        <v>1</v>
      </c>
      <c r="C348" s="2">
        <v>35</v>
      </c>
      <c r="D348" s="2">
        <v>2</v>
      </c>
      <c r="E348" s="2">
        <v>13</v>
      </c>
      <c r="G348" s="2">
        <v>1</v>
      </c>
      <c r="H348" s="2">
        <v>4</v>
      </c>
      <c r="I348" s="2">
        <v>7602830</v>
      </c>
      <c r="J348" s="2" t="s">
        <v>194</v>
      </c>
      <c r="K348" s="2" t="s">
        <v>486</v>
      </c>
      <c r="L348" s="2" t="str">
        <f>"1MY024349"</f>
        <v>1MY024349</v>
      </c>
      <c r="M348" s="2" t="s">
        <v>2</v>
      </c>
      <c r="N348" s="18">
        <v>31071</v>
      </c>
      <c r="O348" s="2">
        <v>595</v>
      </c>
    </row>
    <row r="349" spans="1:15" s="2" customFormat="1" x14ac:dyDescent="0.25">
      <c r="A349" s="2">
        <v>349</v>
      </c>
      <c r="B349" s="2">
        <v>1</v>
      </c>
      <c r="C349" s="2">
        <v>35</v>
      </c>
      <c r="D349" s="2">
        <v>2</v>
      </c>
      <c r="E349" s="2">
        <v>13</v>
      </c>
      <c r="G349" s="2">
        <v>1</v>
      </c>
      <c r="H349" s="2">
        <v>4</v>
      </c>
      <c r="I349" s="2">
        <v>7602831</v>
      </c>
      <c r="J349" s="2" t="s">
        <v>194</v>
      </c>
      <c r="K349" s="2" t="s">
        <v>486</v>
      </c>
      <c r="L349" s="2" t="str">
        <f>"1MY024348"</f>
        <v>1MY024348</v>
      </c>
      <c r="M349" s="2" t="s">
        <v>2</v>
      </c>
      <c r="N349" s="18">
        <v>31072</v>
      </c>
      <c r="O349" s="2">
        <v>595</v>
      </c>
    </row>
    <row r="350" spans="1:15" s="2" customFormat="1" x14ac:dyDescent="0.25">
      <c r="A350" s="2">
        <v>350</v>
      </c>
      <c r="B350" s="2">
        <v>1</v>
      </c>
      <c r="C350" s="2">
        <v>40</v>
      </c>
      <c r="D350" s="2">
        <v>1</v>
      </c>
      <c r="E350" s="2">
        <v>20</v>
      </c>
      <c r="G350" s="2">
        <v>1</v>
      </c>
      <c r="H350" s="2">
        <v>4</v>
      </c>
      <c r="I350" s="2">
        <v>6794495</v>
      </c>
      <c r="J350" s="2" t="s">
        <v>220</v>
      </c>
      <c r="K350" s="2" t="s">
        <v>487</v>
      </c>
      <c r="L350" s="2" t="str">
        <f>"20EYVGNA8029CA18"</f>
        <v>20EYVGNA8029CA18</v>
      </c>
      <c r="M350" s="2" t="s">
        <v>2</v>
      </c>
      <c r="N350" s="18">
        <v>31073</v>
      </c>
      <c r="O350" s="2">
        <v>131</v>
      </c>
    </row>
    <row r="351" spans="1:15" s="2" customFormat="1" x14ac:dyDescent="0.25">
      <c r="A351" s="2">
        <v>351</v>
      </c>
      <c r="B351" s="2">
        <v>1</v>
      </c>
      <c r="C351" s="2">
        <v>40</v>
      </c>
      <c r="D351" s="2">
        <v>1</v>
      </c>
      <c r="E351" s="2">
        <v>20</v>
      </c>
      <c r="G351" s="2">
        <v>1</v>
      </c>
      <c r="H351" s="2">
        <v>4</v>
      </c>
      <c r="I351" s="2">
        <v>6794496</v>
      </c>
      <c r="J351" s="2" t="s">
        <v>220</v>
      </c>
      <c r="K351" s="2" t="s">
        <v>487</v>
      </c>
      <c r="L351" s="2" t="str">
        <f>"20EYVGNA8029CA1A"</f>
        <v>20EYVGNA8029CA1A</v>
      </c>
      <c r="M351" s="2" t="s">
        <v>2</v>
      </c>
      <c r="N351" s="18">
        <v>31074</v>
      </c>
      <c r="O351" s="2">
        <v>131</v>
      </c>
    </row>
    <row r="352" spans="1:15" s="2" customFormat="1" x14ac:dyDescent="0.25">
      <c r="A352" s="2">
        <v>352</v>
      </c>
      <c r="B352" s="2">
        <v>1</v>
      </c>
      <c r="C352" s="2">
        <v>40</v>
      </c>
      <c r="D352" s="2">
        <v>1</v>
      </c>
      <c r="E352" s="2">
        <v>20</v>
      </c>
      <c r="G352" s="2">
        <v>1</v>
      </c>
      <c r="H352" s="2">
        <v>4</v>
      </c>
      <c r="I352" s="2">
        <v>6794499</v>
      </c>
      <c r="J352" s="2" t="s">
        <v>220</v>
      </c>
      <c r="K352" s="2" t="s">
        <v>487</v>
      </c>
      <c r="L352" s="2" t="str">
        <f>"20EYVGNA8029CA1C"</f>
        <v>20EYVGNA8029CA1C</v>
      </c>
      <c r="M352" s="2" t="s">
        <v>2</v>
      </c>
      <c r="N352" s="18">
        <v>31075</v>
      </c>
      <c r="O352" s="2">
        <v>131</v>
      </c>
    </row>
    <row r="353" spans="1:15" s="2" customFormat="1" x14ac:dyDescent="0.25">
      <c r="A353" s="2">
        <v>353</v>
      </c>
      <c r="B353" s="2">
        <v>1</v>
      </c>
      <c r="C353" s="2">
        <v>40</v>
      </c>
      <c r="D353" s="2">
        <v>1</v>
      </c>
      <c r="E353" s="2">
        <v>20</v>
      </c>
      <c r="G353" s="2">
        <v>1</v>
      </c>
      <c r="H353" s="2">
        <v>4</v>
      </c>
      <c r="I353" s="2">
        <v>6794500</v>
      </c>
      <c r="J353" s="2" t="s">
        <v>220</v>
      </c>
      <c r="K353" s="2" t="s">
        <v>487</v>
      </c>
      <c r="L353" s="2" t="str">
        <f>"20EYVGNA8029CA1D"</f>
        <v>20EYVGNA8029CA1D</v>
      </c>
      <c r="M353" s="2" t="s">
        <v>2</v>
      </c>
      <c r="N353" s="18">
        <v>31076</v>
      </c>
      <c r="O353" s="2">
        <v>131</v>
      </c>
    </row>
    <row r="354" spans="1:15" s="2" customFormat="1" x14ac:dyDescent="0.25">
      <c r="A354" s="2">
        <v>354</v>
      </c>
      <c r="B354" s="2">
        <v>1</v>
      </c>
      <c r="C354" s="2">
        <v>40</v>
      </c>
      <c r="D354" s="2">
        <v>2</v>
      </c>
      <c r="E354" s="2">
        <v>20</v>
      </c>
      <c r="G354" s="2">
        <v>1</v>
      </c>
      <c r="H354" s="2">
        <v>4</v>
      </c>
      <c r="I354" s="2">
        <v>6794501</v>
      </c>
      <c r="J354" s="2" t="s">
        <v>220</v>
      </c>
      <c r="K354" s="2" t="s">
        <v>487</v>
      </c>
      <c r="L354" s="2" t="str">
        <f>"20EYVGNA8029CA1E"</f>
        <v>20EYVGNA8029CA1E</v>
      </c>
      <c r="M354" s="2" t="s">
        <v>2</v>
      </c>
      <c r="N354" s="18">
        <v>31077</v>
      </c>
      <c r="O354" s="2">
        <v>131</v>
      </c>
    </row>
    <row r="355" spans="1:15" s="2" customFormat="1" x14ac:dyDescent="0.25">
      <c r="A355" s="2">
        <v>355</v>
      </c>
      <c r="B355" s="2">
        <v>1</v>
      </c>
      <c r="C355" s="2">
        <v>40</v>
      </c>
      <c r="D355" s="2">
        <v>1</v>
      </c>
      <c r="E355" s="2">
        <v>20</v>
      </c>
      <c r="G355" s="2">
        <v>1</v>
      </c>
      <c r="H355" s="2">
        <v>4</v>
      </c>
      <c r="I355" s="2">
        <v>6794502</v>
      </c>
      <c r="J355" s="2" t="s">
        <v>220</v>
      </c>
      <c r="K355" s="2" t="s">
        <v>487</v>
      </c>
      <c r="L355" s="2" t="str">
        <f>"20EYVGNA8029CA1F"</f>
        <v>20EYVGNA8029CA1F</v>
      </c>
      <c r="M355" s="2" t="s">
        <v>2</v>
      </c>
      <c r="N355" s="18">
        <v>31078</v>
      </c>
      <c r="O355" s="2">
        <v>131</v>
      </c>
    </row>
    <row r="356" spans="1:15" s="2" customFormat="1" x14ac:dyDescent="0.25">
      <c r="A356" s="2">
        <v>356</v>
      </c>
      <c r="B356" s="2">
        <v>1</v>
      </c>
      <c r="C356" s="2">
        <v>42</v>
      </c>
      <c r="D356" s="2">
        <v>1</v>
      </c>
      <c r="E356" s="2">
        <v>17</v>
      </c>
      <c r="G356" s="2">
        <v>1</v>
      </c>
      <c r="H356" s="2">
        <v>4</v>
      </c>
      <c r="I356" s="2">
        <v>6794569</v>
      </c>
      <c r="J356" s="2" t="s">
        <v>192</v>
      </c>
      <c r="K356" s="2" t="s">
        <v>488</v>
      </c>
      <c r="L356" s="2" t="str">
        <f>"CNGS448387"</f>
        <v>CNGS448387</v>
      </c>
      <c r="M356" s="2" t="s">
        <v>2</v>
      </c>
      <c r="N356" s="18">
        <v>31079</v>
      </c>
      <c r="O356" s="2" t="s">
        <v>489</v>
      </c>
    </row>
    <row r="357" spans="1:15" s="2" customFormat="1" x14ac:dyDescent="0.25">
      <c r="A357" s="2">
        <v>357</v>
      </c>
      <c r="B357" s="2">
        <v>1</v>
      </c>
      <c r="C357" s="2">
        <v>42</v>
      </c>
      <c r="D357" s="2">
        <v>1</v>
      </c>
      <c r="E357" s="2">
        <v>20</v>
      </c>
      <c r="G357" s="2">
        <v>1</v>
      </c>
      <c r="H357" s="2">
        <v>4</v>
      </c>
      <c r="I357" s="2">
        <v>6794592</v>
      </c>
      <c r="J357" s="2" t="s">
        <v>216</v>
      </c>
      <c r="K357" s="2" t="s">
        <v>490</v>
      </c>
      <c r="L357" s="2" t="str">
        <f>"MXL10318JM"</f>
        <v>MXL10318JM</v>
      </c>
      <c r="M357" s="2" t="s">
        <v>2</v>
      </c>
      <c r="N357" s="18">
        <v>31080</v>
      </c>
      <c r="O357" s="2" t="s">
        <v>491</v>
      </c>
    </row>
    <row r="358" spans="1:15" s="2" customFormat="1" x14ac:dyDescent="0.25">
      <c r="A358" s="2">
        <v>358</v>
      </c>
      <c r="B358" s="2">
        <v>1</v>
      </c>
      <c r="C358" s="2">
        <v>42</v>
      </c>
      <c r="D358" s="2">
        <v>1</v>
      </c>
      <c r="E358" s="2">
        <v>20</v>
      </c>
      <c r="G358" s="2">
        <v>1</v>
      </c>
      <c r="H358" s="2">
        <v>4</v>
      </c>
      <c r="I358" s="2">
        <v>6794593</v>
      </c>
      <c r="J358" s="2" t="s">
        <v>216</v>
      </c>
      <c r="K358" s="2" t="s">
        <v>490</v>
      </c>
      <c r="L358" s="2" t="str">
        <f>"MXL10318LJ"</f>
        <v>MXL10318LJ</v>
      </c>
      <c r="M358" s="2" t="s">
        <v>2</v>
      </c>
      <c r="N358" s="18">
        <v>31081</v>
      </c>
      <c r="O358" s="2" t="s">
        <v>491</v>
      </c>
    </row>
    <row r="359" spans="1:15" s="2" customFormat="1" x14ac:dyDescent="0.25">
      <c r="A359" s="2">
        <v>359</v>
      </c>
      <c r="B359" s="2">
        <v>1</v>
      </c>
      <c r="C359" s="2">
        <v>42</v>
      </c>
      <c r="D359" s="2">
        <v>1</v>
      </c>
      <c r="E359" s="2">
        <v>20</v>
      </c>
      <c r="G359" s="2">
        <v>1</v>
      </c>
      <c r="H359" s="2">
        <v>4</v>
      </c>
      <c r="I359" s="2">
        <v>6794600</v>
      </c>
      <c r="J359" s="2" t="s">
        <v>195</v>
      </c>
      <c r="K359" s="2" t="s">
        <v>492</v>
      </c>
      <c r="L359" s="2" t="str">
        <f>"CNC044SBRN"</f>
        <v>CNC044SBRN</v>
      </c>
      <c r="M359" s="2" t="s">
        <v>2</v>
      </c>
      <c r="N359" s="18">
        <v>31082</v>
      </c>
      <c r="O359" s="2">
        <v>198</v>
      </c>
    </row>
    <row r="360" spans="1:15" s="2" customFormat="1" x14ac:dyDescent="0.25">
      <c r="A360" s="2">
        <v>360</v>
      </c>
      <c r="B360" s="2">
        <v>1</v>
      </c>
      <c r="C360" s="2">
        <v>42</v>
      </c>
      <c r="D360" s="2">
        <v>1</v>
      </c>
      <c r="E360" s="2">
        <v>20</v>
      </c>
      <c r="G360" s="2">
        <v>1</v>
      </c>
      <c r="H360" s="2">
        <v>4</v>
      </c>
      <c r="I360" s="2">
        <v>13382738</v>
      </c>
      <c r="J360" s="2" t="s">
        <v>197</v>
      </c>
      <c r="K360" s="2" t="s">
        <v>493</v>
      </c>
      <c r="L360" s="2" t="str">
        <f>"F93AA6AN3VHOP16"</f>
        <v>F93AA6AN3VHOP16</v>
      </c>
      <c r="M360" s="2" t="s">
        <v>2</v>
      </c>
      <c r="N360" s="18">
        <v>31083</v>
      </c>
      <c r="O360" s="2">
        <v>10</v>
      </c>
    </row>
    <row r="361" spans="1:15" s="2" customFormat="1" x14ac:dyDescent="0.25">
      <c r="A361" s="2">
        <v>361</v>
      </c>
      <c r="B361" s="2">
        <v>1</v>
      </c>
      <c r="C361" s="2">
        <v>42</v>
      </c>
      <c r="D361" s="2">
        <v>1</v>
      </c>
      <c r="E361" s="2">
        <v>20</v>
      </c>
      <c r="G361" s="2">
        <v>1</v>
      </c>
      <c r="H361" s="2">
        <v>4</v>
      </c>
      <c r="I361" s="2">
        <v>13382739</v>
      </c>
      <c r="J361" s="2" t="s">
        <v>197</v>
      </c>
      <c r="K361" s="2" t="s">
        <v>426</v>
      </c>
      <c r="L361" s="2" t="str">
        <f>"FATSK0JUJZFTZ"</f>
        <v>FATSK0JUJZFTZ</v>
      </c>
      <c r="M361" s="2" t="s">
        <v>2</v>
      </c>
      <c r="N361" s="18">
        <v>31084</v>
      </c>
      <c r="O361" s="2">
        <v>10</v>
      </c>
    </row>
    <row r="362" spans="1:15" s="2" customFormat="1" x14ac:dyDescent="0.25">
      <c r="A362" s="2">
        <v>362</v>
      </c>
      <c r="B362" s="2">
        <v>1</v>
      </c>
      <c r="C362" s="2">
        <v>69</v>
      </c>
      <c r="D362" s="2">
        <v>1</v>
      </c>
      <c r="E362" s="2">
        <v>20</v>
      </c>
      <c r="G362" s="2">
        <v>1</v>
      </c>
      <c r="H362" s="2">
        <v>4</v>
      </c>
      <c r="I362" s="2">
        <v>6794570</v>
      </c>
      <c r="J362" s="2" t="s">
        <v>145</v>
      </c>
      <c r="K362" s="2" t="s">
        <v>494</v>
      </c>
      <c r="L362" s="2" t="str">
        <f>"B290311228095"</f>
        <v>B290311228095</v>
      </c>
      <c r="M362" s="2" t="s">
        <v>2</v>
      </c>
      <c r="N362" s="18">
        <v>31085</v>
      </c>
      <c r="O362" s="2" t="s">
        <v>495</v>
      </c>
    </row>
    <row r="363" spans="1:15" s="2" customFormat="1" x14ac:dyDescent="0.25">
      <c r="A363" s="2">
        <v>363</v>
      </c>
      <c r="B363" s="2">
        <v>1</v>
      </c>
      <c r="C363" s="2">
        <v>69</v>
      </c>
      <c r="D363" s="2">
        <v>1</v>
      </c>
      <c r="E363" s="2">
        <v>20</v>
      </c>
      <c r="G363" s="2">
        <v>1</v>
      </c>
      <c r="H363" s="2">
        <v>4</v>
      </c>
      <c r="I363" s="2">
        <v>6794571</v>
      </c>
      <c r="J363" s="2" t="s">
        <v>145</v>
      </c>
      <c r="K363" s="2" t="s">
        <v>494</v>
      </c>
      <c r="L363" s="2" t="str">
        <f>"B290311228093"</f>
        <v>B290311228093</v>
      </c>
      <c r="M363" s="2" t="s">
        <v>2</v>
      </c>
      <c r="N363" s="18">
        <v>31086</v>
      </c>
      <c r="O363" s="2" t="s">
        <v>495</v>
      </c>
    </row>
    <row r="364" spans="1:15" s="2" customFormat="1" x14ac:dyDescent="0.25">
      <c r="A364" s="2">
        <v>364</v>
      </c>
      <c r="B364" s="2">
        <v>1</v>
      </c>
      <c r="C364" s="2">
        <v>69</v>
      </c>
      <c r="D364" s="2">
        <v>2</v>
      </c>
      <c r="E364" s="2">
        <v>20</v>
      </c>
      <c r="G364" s="2">
        <v>1</v>
      </c>
      <c r="H364" s="2">
        <v>4</v>
      </c>
      <c r="I364" s="2">
        <v>6794572</v>
      </c>
      <c r="J364" s="2" t="s">
        <v>195</v>
      </c>
      <c r="K364" s="2" t="s">
        <v>496</v>
      </c>
      <c r="L364" s="2" t="str">
        <f>"7112401030900067"</f>
        <v>7112401030900067</v>
      </c>
      <c r="M364" s="2" t="s">
        <v>2</v>
      </c>
      <c r="N364" s="18">
        <v>31087</v>
      </c>
      <c r="O364" s="2">
        <v>148</v>
      </c>
    </row>
    <row r="365" spans="1:15" s="2" customFormat="1" x14ac:dyDescent="0.25">
      <c r="A365" s="2">
        <v>365</v>
      </c>
      <c r="B365" s="2">
        <v>1</v>
      </c>
      <c r="C365" s="2">
        <v>69</v>
      </c>
      <c r="D365" s="2">
        <v>2</v>
      </c>
      <c r="E365" s="2">
        <v>20</v>
      </c>
      <c r="G365" s="2">
        <v>1</v>
      </c>
      <c r="H365" s="2">
        <v>4</v>
      </c>
      <c r="I365" s="2">
        <v>6794573</v>
      </c>
      <c r="J365" s="2" t="s">
        <v>195</v>
      </c>
      <c r="K365" s="2" t="s">
        <v>496</v>
      </c>
      <c r="L365" s="2" t="str">
        <f>"7112401030901489"</f>
        <v>7112401030901489</v>
      </c>
      <c r="M365" s="2" t="s">
        <v>2</v>
      </c>
      <c r="N365" s="18">
        <v>31088</v>
      </c>
      <c r="O365" s="2">
        <v>148</v>
      </c>
    </row>
    <row r="366" spans="1:15" s="2" customFormat="1" x14ac:dyDescent="0.25">
      <c r="A366" s="2">
        <v>366</v>
      </c>
      <c r="B366" s="2">
        <v>1</v>
      </c>
      <c r="C366" s="2">
        <v>69</v>
      </c>
      <c r="D366" s="2">
        <v>1</v>
      </c>
      <c r="E366" s="2">
        <v>20</v>
      </c>
      <c r="G366" s="2">
        <v>1</v>
      </c>
      <c r="H366" s="2">
        <v>4</v>
      </c>
      <c r="I366" s="2">
        <v>13382736</v>
      </c>
      <c r="J366" s="2" t="s">
        <v>197</v>
      </c>
      <c r="K366" s="2" t="s">
        <v>497</v>
      </c>
      <c r="L366" s="2" t="str">
        <f>"63445070104040"</f>
        <v>63445070104040</v>
      </c>
      <c r="M366" s="2" t="s">
        <v>2</v>
      </c>
      <c r="N366" s="18">
        <v>31089</v>
      </c>
      <c r="O366" s="2" t="s">
        <v>498</v>
      </c>
    </row>
    <row r="367" spans="1:15" s="2" customFormat="1" x14ac:dyDescent="0.25">
      <c r="A367" s="2">
        <v>367</v>
      </c>
      <c r="B367" s="2">
        <v>1</v>
      </c>
      <c r="C367" s="2">
        <v>69</v>
      </c>
      <c r="D367" s="2">
        <v>1</v>
      </c>
      <c r="E367" s="2">
        <v>20</v>
      </c>
      <c r="G367" s="2">
        <v>1</v>
      </c>
      <c r="H367" s="2">
        <v>4</v>
      </c>
      <c r="I367" s="2">
        <v>13382737</v>
      </c>
      <c r="J367" s="2" t="s">
        <v>197</v>
      </c>
      <c r="K367" s="2" t="s">
        <v>350</v>
      </c>
      <c r="L367" s="2" t="str">
        <f>"121113048"</f>
        <v>121113048</v>
      </c>
      <c r="M367" s="2" t="s">
        <v>2</v>
      </c>
      <c r="N367" s="18">
        <v>31090</v>
      </c>
      <c r="O367" s="2" t="s">
        <v>498</v>
      </c>
    </row>
    <row r="368" spans="1:15" s="2" customFormat="1" x14ac:dyDescent="0.25">
      <c r="A368" s="2">
        <v>368</v>
      </c>
      <c r="B368" s="2">
        <v>1</v>
      </c>
      <c r="C368" s="2">
        <v>37</v>
      </c>
      <c r="D368" s="2">
        <v>2</v>
      </c>
      <c r="E368" s="2">
        <v>20</v>
      </c>
      <c r="G368" s="2">
        <v>1</v>
      </c>
      <c r="H368" s="2">
        <v>4</v>
      </c>
      <c r="I368" s="2">
        <v>6794394</v>
      </c>
      <c r="J368" s="2" t="s">
        <v>145</v>
      </c>
      <c r="K368" s="2" t="s">
        <v>350</v>
      </c>
      <c r="L368" s="2" t="str">
        <f>"14101070101010"</f>
        <v>14101070101010</v>
      </c>
      <c r="M368" s="2" t="s">
        <v>2</v>
      </c>
      <c r="N368" s="18">
        <v>31091</v>
      </c>
      <c r="O368" s="2" t="s">
        <v>499</v>
      </c>
    </row>
    <row r="369" spans="1:15" s="2" customFormat="1" x14ac:dyDescent="0.25">
      <c r="A369" s="2">
        <v>369</v>
      </c>
      <c r="B369" s="2">
        <v>1</v>
      </c>
      <c r="C369" s="2">
        <v>37</v>
      </c>
      <c r="D369" s="2">
        <v>2</v>
      </c>
      <c r="E369" s="2">
        <v>20</v>
      </c>
      <c r="G369" s="2">
        <v>1</v>
      </c>
      <c r="H369" s="2">
        <v>4</v>
      </c>
      <c r="I369" s="2">
        <v>6794395</v>
      </c>
      <c r="J369" s="2" t="s">
        <v>145</v>
      </c>
      <c r="K369" s="2" t="s">
        <v>350</v>
      </c>
      <c r="L369" s="2" t="str">
        <f>"14101070101011"</f>
        <v>14101070101011</v>
      </c>
      <c r="M369" s="2" t="s">
        <v>2</v>
      </c>
      <c r="N369" s="18">
        <v>31092</v>
      </c>
      <c r="O369" s="2" t="s">
        <v>499</v>
      </c>
    </row>
    <row r="370" spans="1:15" s="2" customFormat="1" x14ac:dyDescent="0.25">
      <c r="A370" s="2">
        <v>370</v>
      </c>
      <c r="B370" s="2">
        <v>1</v>
      </c>
      <c r="C370" s="2">
        <v>37</v>
      </c>
      <c r="D370" s="2">
        <v>2</v>
      </c>
      <c r="E370" s="2">
        <v>20</v>
      </c>
      <c r="G370" s="2">
        <v>1</v>
      </c>
      <c r="H370" s="2">
        <v>4</v>
      </c>
      <c r="I370" s="2">
        <v>6794396</v>
      </c>
      <c r="J370" s="2" t="s">
        <v>145</v>
      </c>
      <c r="K370" s="2" t="s">
        <v>350</v>
      </c>
      <c r="L370" s="2" t="str">
        <f>"14101070101012"</f>
        <v>14101070101012</v>
      </c>
      <c r="M370" s="2" t="s">
        <v>2</v>
      </c>
      <c r="N370" s="18">
        <v>31093</v>
      </c>
      <c r="O370" s="2" t="s">
        <v>499</v>
      </c>
    </row>
    <row r="371" spans="1:15" s="2" customFormat="1" x14ac:dyDescent="0.25">
      <c r="A371" s="2">
        <v>371</v>
      </c>
      <c r="B371" s="2">
        <v>1</v>
      </c>
      <c r="C371" s="2">
        <v>37</v>
      </c>
      <c r="D371" s="2">
        <v>2</v>
      </c>
      <c r="E371" s="2">
        <v>20</v>
      </c>
      <c r="G371" s="2">
        <v>1</v>
      </c>
      <c r="H371" s="2">
        <v>4</v>
      </c>
      <c r="I371" s="2">
        <v>6794397</v>
      </c>
      <c r="J371" s="2" t="s">
        <v>145</v>
      </c>
      <c r="K371" s="2" t="s">
        <v>350</v>
      </c>
      <c r="L371" s="2" t="str">
        <f>"14101070101013"</f>
        <v>14101070101013</v>
      </c>
      <c r="M371" s="2" t="s">
        <v>2</v>
      </c>
      <c r="N371" s="18">
        <v>31094</v>
      </c>
      <c r="O371" s="2" t="s">
        <v>499</v>
      </c>
    </row>
    <row r="372" spans="1:15" s="2" customFormat="1" x14ac:dyDescent="0.25">
      <c r="A372" s="2">
        <v>372</v>
      </c>
      <c r="B372" s="2">
        <v>1</v>
      </c>
      <c r="C372" s="2">
        <v>50</v>
      </c>
      <c r="D372" s="2">
        <v>1</v>
      </c>
      <c r="E372" s="2">
        <v>20</v>
      </c>
      <c r="G372" s="2">
        <v>1</v>
      </c>
      <c r="H372" s="2">
        <v>4</v>
      </c>
      <c r="I372" s="2">
        <v>6794518</v>
      </c>
      <c r="J372" s="2" t="s">
        <v>195</v>
      </c>
      <c r="K372" s="2" t="s">
        <v>469</v>
      </c>
      <c r="L372" s="2" t="str">
        <f>"102UXJX58860"</f>
        <v>102UXJX58860</v>
      </c>
      <c r="M372" s="2" t="s">
        <v>2</v>
      </c>
      <c r="N372" s="18">
        <v>31095</v>
      </c>
      <c r="O372" s="2" t="s">
        <v>500</v>
      </c>
    </row>
    <row r="373" spans="1:15" s="2" customFormat="1" x14ac:dyDescent="0.25">
      <c r="A373" s="2">
        <v>373</v>
      </c>
      <c r="B373" s="2">
        <v>1</v>
      </c>
      <c r="C373" s="2">
        <v>50</v>
      </c>
      <c r="D373" s="2">
        <v>1</v>
      </c>
      <c r="E373" s="2">
        <v>20</v>
      </c>
      <c r="G373" s="2">
        <v>1</v>
      </c>
      <c r="H373" s="2">
        <v>4</v>
      </c>
      <c r="I373" s="2">
        <v>6794519</v>
      </c>
      <c r="J373" s="2" t="s">
        <v>195</v>
      </c>
      <c r="K373" s="2" t="s">
        <v>469</v>
      </c>
      <c r="L373" s="2" t="str">
        <f>"102UXEZ58900"</f>
        <v>102UXEZ58900</v>
      </c>
      <c r="M373" s="2" t="s">
        <v>2</v>
      </c>
      <c r="N373" s="18">
        <v>31096</v>
      </c>
      <c r="O373" s="2" t="s">
        <v>500</v>
      </c>
    </row>
    <row r="374" spans="1:15" s="2" customFormat="1" x14ac:dyDescent="0.25">
      <c r="A374" s="2">
        <v>374</v>
      </c>
      <c r="B374" s="2">
        <v>1</v>
      </c>
      <c r="C374" s="2">
        <v>42</v>
      </c>
      <c r="D374" s="2">
        <v>1</v>
      </c>
      <c r="E374" s="2">
        <v>22</v>
      </c>
      <c r="G374" s="2">
        <v>1</v>
      </c>
      <c r="H374" s="2">
        <v>4</v>
      </c>
      <c r="I374" s="2">
        <v>6794520</v>
      </c>
      <c r="J374" s="2" t="s">
        <v>195</v>
      </c>
      <c r="K374" s="2" t="s">
        <v>416</v>
      </c>
      <c r="L374" s="2" t="str">
        <f>"CNC903Q7B8"</f>
        <v>CNC903Q7B8</v>
      </c>
      <c r="M374" s="2" t="s">
        <v>2</v>
      </c>
      <c r="N374" s="18">
        <v>31097</v>
      </c>
      <c r="O374" s="2" t="s">
        <v>500</v>
      </c>
    </row>
    <row r="375" spans="1:15" s="2" customFormat="1" x14ac:dyDescent="0.25">
      <c r="A375" s="2">
        <v>375</v>
      </c>
      <c r="B375" s="2">
        <v>1</v>
      </c>
      <c r="C375" s="2">
        <v>74</v>
      </c>
      <c r="D375" s="2">
        <v>1</v>
      </c>
      <c r="E375" s="2">
        <v>20</v>
      </c>
      <c r="G375" s="2">
        <v>1</v>
      </c>
      <c r="H375" s="2">
        <v>4</v>
      </c>
      <c r="I375" s="2">
        <v>6794521</v>
      </c>
      <c r="J375" s="2" t="s">
        <v>195</v>
      </c>
      <c r="K375" s="2" t="s">
        <v>414</v>
      </c>
      <c r="L375" s="2" t="str">
        <f>"HA19H9FM342835R"</f>
        <v>HA19H9FM342835R</v>
      </c>
      <c r="M375" s="2" t="s">
        <v>2</v>
      </c>
      <c r="N375" s="18">
        <v>31098</v>
      </c>
      <c r="O375" s="2" t="s">
        <v>500</v>
      </c>
    </row>
    <row r="376" spans="1:15" s="2" customFormat="1" x14ac:dyDescent="0.25">
      <c r="A376" s="2">
        <v>376</v>
      </c>
      <c r="B376" s="2">
        <v>1</v>
      </c>
      <c r="C376" s="2">
        <v>38</v>
      </c>
      <c r="D376" s="2">
        <v>1</v>
      </c>
      <c r="E376" s="2">
        <v>20</v>
      </c>
      <c r="G376" s="2">
        <v>1</v>
      </c>
      <c r="H376" s="2">
        <v>4</v>
      </c>
      <c r="I376" s="2">
        <v>13382650</v>
      </c>
      <c r="J376" s="2" t="s">
        <v>198</v>
      </c>
      <c r="K376" s="2" t="s">
        <v>423</v>
      </c>
      <c r="L376" s="2" t="str">
        <f>"ZM7305002165"</f>
        <v>ZM7305002165</v>
      </c>
      <c r="M376" s="2" t="s">
        <v>2</v>
      </c>
      <c r="N376" s="18">
        <v>31099</v>
      </c>
      <c r="O376" s="2" t="s">
        <v>501</v>
      </c>
    </row>
    <row r="377" spans="1:15" s="2" customFormat="1" x14ac:dyDescent="0.25">
      <c r="A377" s="2">
        <v>377</v>
      </c>
      <c r="B377" s="2">
        <v>1</v>
      </c>
      <c r="C377" s="2">
        <v>38</v>
      </c>
      <c r="D377" s="2">
        <v>1</v>
      </c>
      <c r="E377" s="2">
        <v>20</v>
      </c>
      <c r="G377" s="2">
        <v>1</v>
      </c>
      <c r="H377" s="2">
        <v>4</v>
      </c>
      <c r="I377" s="2">
        <v>13382651</v>
      </c>
      <c r="J377" s="2" t="s">
        <v>198</v>
      </c>
      <c r="K377" s="2" t="s">
        <v>502</v>
      </c>
      <c r="L377" s="2" t="str">
        <f>"YB29C1U13385"</f>
        <v>YB29C1U13385</v>
      </c>
      <c r="M377" s="2" t="s">
        <v>2</v>
      </c>
      <c r="N377" s="18">
        <v>31100</v>
      </c>
      <c r="O377" s="2" t="s">
        <v>501</v>
      </c>
    </row>
    <row r="378" spans="1:15" s="2" customFormat="1" x14ac:dyDescent="0.25">
      <c r="A378" s="2">
        <v>378</v>
      </c>
      <c r="B378" s="2">
        <v>1</v>
      </c>
      <c r="C378" s="2">
        <v>42</v>
      </c>
      <c r="D378" s="2">
        <v>1</v>
      </c>
      <c r="E378" s="2">
        <v>20</v>
      </c>
      <c r="G378" s="2">
        <v>1</v>
      </c>
      <c r="H378" s="2">
        <v>4</v>
      </c>
      <c r="I378" s="2">
        <v>13382652</v>
      </c>
      <c r="J378" s="2" t="s">
        <v>198</v>
      </c>
      <c r="K378" s="2" t="s">
        <v>470</v>
      </c>
      <c r="L378" s="2" t="str">
        <f>"BAUDU0OVB2M5GX"</f>
        <v>BAUDU0OVB2M5GX</v>
      </c>
      <c r="M378" s="2" t="s">
        <v>2</v>
      </c>
      <c r="N378" s="18">
        <v>31101</v>
      </c>
      <c r="O378" s="2" t="s">
        <v>501</v>
      </c>
    </row>
    <row r="379" spans="1:15" s="2" customFormat="1" x14ac:dyDescent="0.25">
      <c r="A379" s="2">
        <v>379</v>
      </c>
      <c r="B379" s="2">
        <v>1</v>
      </c>
      <c r="C379" s="2">
        <v>42</v>
      </c>
      <c r="D379" s="2">
        <v>1</v>
      </c>
      <c r="E379" s="2">
        <v>20</v>
      </c>
      <c r="G379" s="2">
        <v>1</v>
      </c>
      <c r="H379" s="2">
        <v>4</v>
      </c>
      <c r="I379" s="2">
        <v>13382653</v>
      </c>
      <c r="J379" s="2" t="s">
        <v>198</v>
      </c>
      <c r="K379" s="2" t="s">
        <v>470</v>
      </c>
      <c r="L379" s="2" t="str">
        <f>"BC3370FVBW36NA"</f>
        <v>BC3370FVBW36NA</v>
      </c>
      <c r="M379" s="2" t="s">
        <v>2</v>
      </c>
      <c r="N379" s="18">
        <v>31102</v>
      </c>
      <c r="O379" s="2" t="s">
        <v>501</v>
      </c>
    </row>
    <row r="380" spans="1:15" s="2" customFormat="1" x14ac:dyDescent="0.25">
      <c r="A380" s="2">
        <v>380</v>
      </c>
      <c r="B380" s="2">
        <v>1</v>
      </c>
      <c r="C380" s="2">
        <v>38</v>
      </c>
      <c r="D380" s="2">
        <v>1</v>
      </c>
      <c r="E380" s="2">
        <v>20</v>
      </c>
      <c r="G380" s="2">
        <v>1</v>
      </c>
      <c r="H380" s="2">
        <v>4</v>
      </c>
      <c r="I380" s="2">
        <v>13382689</v>
      </c>
      <c r="J380" s="2" t="s">
        <v>197</v>
      </c>
      <c r="K380" s="2" t="s">
        <v>503</v>
      </c>
      <c r="L380" s="2" t="str">
        <f>"139512102807"</f>
        <v>139512102807</v>
      </c>
      <c r="M380" s="2" t="s">
        <v>2</v>
      </c>
      <c r="N380" s="18">
        <v>31103</v>
      </c>
      <c r="O380" s="2" t="s">
        <v>504</v>
      </c>
    </row>
    <row r="381" spans="1:15" s="2" customFormat="1" x14ac:dyDescent="0.25">
      <c r="A381" s="2">
        <v>381</v>
      </c>
      <c r="B381" s="2">
        <v>1</v>
      </c>
      <c r="C381" s="2">
        <v>70</v>
      </c>
      <c r="D381" s="2">
        <v>1</v>
      </c>
      <c r="E381" s="2">
        <v>20</v>
      </c>
      <c r="G381" s="2">
        <v>1</v>
      </c>
      <c r="H381" s="2">
        <v>4</v>
      </c>
      <c r="I381" s="2">
        <v>13382690</v>
      </c>
      <c r="J381" s="2" t="s">
        <v>197</v>
      </c>
      <c r="K381" s="2" t="s">
        <v>419</v>
      </c>
      <c r="L381" s="2" t="str">
        <f>"63445070104002"</f>
        <v>63445070104002</v>
      </c>
      <c r="M381" s="2" t="s">
        <v>2</v>
      </c>
      <c r="N381" s="18">
        <v>31104</v>
      </c>
      <c r="O381" s="2" t="s">
        <v>504</v>
      </c>
    </row>
    <row r="382" spans="1:15" s="2" customFormat="1" x14ac:dyDescent="0.25">
      <c r="A382" s="2">
        <v>382</v>
      </c>
      <c r="B382" s="2">
        <v>1</v>
      </c>
      <c r="C382" s="2">
        <v>42</v>
      </c>
      <c r="D382" s="2">
        <v>1</v>
      </c>
      <c r="E382" s="2">
        <v>20</v>
      </c>
      <c r="G382" s="2">
        <v>1</v>
      </c>
      <c r="H382" s="2">
        <v>4</v>
      </c>
      <c r="I382" s="2">
        <v>13382692</v>
      </c>
      <c r="J382" s="2" t="s">
        <v>197</v>
      </c>
      <c r="K382" s="2" t="s">
        <v>505</v>
      </c>
      <c r="L382" s="2" t="str">
        <f>"F93AA0W5DWW0BWL"</f>
        <v>F93AA0W5DWW0BWL</v>
      </c>
      <c r="M382" s="2" t="s">
        <v>2</v>
      </c>
      <c r="N382" s="18">
        <v>31105</v>
      </c>
      <c r="O382" s="2" t="s">
        <v>504</v>
      </c>
    </row>
    <row r="383" spans="1:15" s="2" customFormat="1" x14ac:dyDescent="0.25">
      <c r="A383" s="2">
        <v>383</v>
      </c>
      <c r="B383" s="2">
        <v>1</v>
      </c>
      <c r="C383" s="2">
        <v>1</v>
      </c>
      <c r="D383" s="2">
        <v>1</v>
      </c>
      <c r="E383" s="2">
        <v>13</v>
      </c>
      <c r="G383" s="2">
        <v>1</v>
      </c>
      <c r="H383" s="2">
        <v>4</v>
      </c>
      <c r="I383" s="2">
        <v>6794484</v>
      </c>
      <c r="J383" s="2" t="s">
        <v>201</v>
      </c>
      <c r="K383" s="2" t="s">
        <v>506</v>
      </c>
      <c r="L383" s="2" t="str">
        <f>"923FD4RFA6D8D"</f>
        <v>923FD4RFA6D8D</v>
      </c>
      <c r="M383" s="2" t="s">
        <v>2</v>
      </c>
      <c r="N383" s="18">
        <v>31106</v>
      </c>
      <c r="O383" s="2">
        <v>450</v>
      </c>
    </row>
    <row r="384" spans="1:15" s="2" customFormat="1" x14ac:dyDescent="0.25">
      <c r="A384" s="2">
        <v>384</v>
      </c>
      <c r="B384" s="2">
        <v>2</v>
      </c>
      <c r="C384" s="2">
        <v>71</v>
      </c>
      <c r="D384" s="2">
        <v>2</v>
      </c>
      <c r="E384" s="2">
        <v>29</v>
      </c>
      <c r="G384" s="2">
        <v>1</v>
      </c>
      <c r="H384" s="2">
        <v>39</v>
      </c>
      <c r="I384" s="2">
        <v>13184475</v>
      </c>
      <c r="J384" s="2" t="s">
        <v>221</v>
      </c>
      <c r="K384" s="2" t="s">
        <v>350</v>
      </c>
      <c r="L384" s="2" t="str">
        <f>"63445030125001"</f>
        <v>63445030125001</v>
      </c>
      <c r="M384" s="2" t="s">
        <v>2</v>
      </c>
      <c r="N384" s="18">
        <v>31107</v>
      </c>
      <c r="O384" s="2" t="s">
        <v>507</v>
      </c>
    </row>
    <row r="385" spans="1:15" s="2" customFormat="1" x14ac:dyDescent="0.25">
      <c r="A385" s="2">
        <v>385</v>
      </c>
      <c r="B385" s="2">
        <v>2</v>
      </c>
      <c r="C385" s="2">
        <v>71</v>
      </c>
      <c r="D385" s="2">
        <v>2</v>
      </c>
      <c r="E385" s="2">
        <v>28</v>
      </c>
      <c r="G385" s="2">
        <v>1</v>
      </c>
      <c r="H385" s="2">
        <v>39</v>
      </c>
      <c r="I385" s="2">
        <v>13184476</v>
      </c>
      <c r="J385" s="2" t="s">
        <v>221</v>
      </c>
      <c r="K385" s="2" t="s">
        <v>350</v>
      </c>
      <c r="L385" s="2" t="str">
        <f>"63445030125002"</f>
        <v>63445030125002</v>
      </c>
      <c r="M385" s="2" t="s">
        <v>2</v>
      </c>
      <c r="N385" s="18">
        <v>31108</v>
      </c>
      <c r="O385" s="2" t="s">
        <v>507</v>
      </c>
    </row>
    <row r="386" spans="1:15" s="2" customFormat="1" x14ac:dyDescent="0.25">
      <c r="A386" s="2">
        <v>386</v>
      </c>
      <c r="B386" s="2">
        <v>2</v>
      </c>
      <c r="C386" s="2">
        <v>57</v>
      </c>
      <c r="D386" s="2">
        <v>2</v>
      </c>
      <c r="E386" s="2">
        <v>9</v>
      </c>
      <c r="G386" s="2">
        <v>1</v>
      </c>
      <c r="H386" s="2">
        <v>39</v>
      </c>
      <c r="I386" s="2">
        <v>13182051</v>
      </c>
      <c r="J386" s="2" t="s">
        <v>222</v>
      </c>
      <c r="K386" s="2">
        <v>609019</v>
      </c>
      <c r="L386" s="2" t="str">
        <f>"63445040501001"</f>
        <v>63445040501001</v>
      </c>
      <c r="M386" s="2" t="s">
        <v>2</v>
      </c>
      <c r="N386" s="18">
        <v>31109</v>
      </c>
      <c r="O386" s="2" t="s">
        <v>508</v>
      </c>
    </row>
    <row r="387" spans="1:15" s="2" customFormat="1" x14ac:dyDescent="0.25">
      <c r="A387" s="2">
        <v>387</v>
      </c>
      <c r="B387" s="2">
        <v>2</v>
      </c>
      <c r="C387" s="2">
        <v>57</v>
      </c>
      <c r="D387" s="2">
        <v>2</v>
      </c>
      <c r="E387" s="2">
        <v>29</v>
      </c>
      <c r="G387" s="2">
        <v>1</v>
      </c>
      <c r="H387" s="2">
        <v>39</v>
      </c>
      <c r="I387" s="2">
        <v>13182052</v>
      </c>
      <c r="J387" s="2" t="s">
        <v>222</v>
      </c>
      <c r="K387" s="2">
        <v>609019</v>
      </c>
      <c r="L387" s="2" t="str">
        <f>"63445040501002"</f>
        <v>63445040501002</v>
      </c>
      <c r="M387" s="2" t="s">
        <v>2</v>
      </c>
      <c r="N387" s="18">
        <v>31110</v>
      </c>
      <c r="O387" s="2" t="s">
        <v>508</v>
      </c>
    </row>
    <row r="388" spans="1:15" s="2" customFormat="1" x14ac:dyDescent="0.25">
      <c r="A388" s="2">
        <v>388</v>
      </c>
      <c r="B388" s="2">
        <v>2</v>
      </c>
      <c r="C388" s="2">
        <v>57</v>
      </c>
      <c r="D388" s="2">
        <v>2</v>
      </c>
      <c r="E388" s="2">
        <v>9</v>
      </c>
      <c r="G388" s="2">
        <v>1</v>
      </c>
      <c r="H388" s="2">
        <v>39</v>
      </c>
      <c r="I388" s="2">
        <v>13182054</v>
      </c>
      <c r="J388" s="2" t="s">
        <v>222</v>
      </c>
      <c r="K388" s="2">
        <v>609019</v>
      </c>
      <c r="L388" s="2" t="str">
        <f>"63445040501004"</f>
        <v>63445040501004</v>
      </c>
      <c r="M388" s="2" t="s">
        <v>2</v>
      </c>
      <c r="N388" s="18">
        <v>31111</v>
      </c>
      <c r="O388" s="2" t="s">
        <v>508</v>
      </c>
    </row>
    <row r="389" spans="1:15" s="2" customFormat="1" x14ac:dyDescent="0.25">
      <c r="A389" s="2">
        <v>389</v>
      </c>
      <c r="B389" s="2">
        <v>1</v>
      </c>
      <c r="C389" s="2">
        <v>13</v>
      </c>
      <c r="D389" s="2">
        <v>1</v>
      </c>
      <c r="E389" s="2">
        <v>13</v>
      </c>
      <c r="G389" s="2">
        <v>1</v>
      </c>
      <c r="H389" s="2">
        <v>4</v>
      </c>
      <c r="I389" s="2">
        <v>13182081</v>
      </c>
      <c r="J389" s="2" t="s">
        <v>181</v>
      </c>
      <c r="K389" s="2" t="s">
        <v>509</v>
      </c>
      <c r="L389" s="2" t="str">
        <f>"81023213"</f>
        <v>81023213</v>
      </c>
      <c r="M389" s="2" t="s">
        <v>2</v>
      </c>
      <c r="N389" s="18">
        <v>31112</v>
      </c>
      <c r="O389" s="2" t="s">
        <v>510</v>
      </c>
    </row>
    <row r="390" spans="1:15" s="2" customFormat="1" x14ac:dyDescent="0.25">
      <c r="A390" s="2">
        <v>390</v>
      </c>
      <c r="B390" s="2">
        <v>2</v>
      </c>
      <c r="C390" s="2">
        <v>57</v>
      </c>
      <c r="D390" s="2">
        <v>2</v>
      </c>
      <c r="E390" s="2">
        <v>29</v>
      </c>
      <c r="G390" s="2">
        <v>1</v>
      </c>
      <c r="H390" s="2">
        <v>39</v>
      </c>
      <c r="I390" s="2">
        <v>13182053</v>
      </c>
      <c r="J390" s="2" t="s">
        <v>222</v>
      </c>
      <c r="K390" s="2">
        <v>609019</v>
      </c>
      <c r="L390" s="2" t="str">
        <f>"63445040501003"</f>
        <v>63445040501003</v>
      </c>
      <c r="M390" s="2" t="s">
        <v>2</v>
      </c>
      <c r="N390" s="18">
        <v>31113</v>
      </c>
      <c r="O390" s="2" t="s">
        <v>508</v>
      </c>
    </row>
    <row r="391" spans="1:15" s="2" customFormat="1" x14ac:dyDescent="0.25">
      <c r="A391" s="2">
        <v>391</v>
      </c>
      <c r="B391" s="2">
        <v>1</v>
      </c>
      <c r="C391" s="2">
        <v>17</v>
      </c>
      <c r="D391" s="2">
        <v>1</v>
      </c>
      <c r="E391" s="2">
        <v>20</v>
      </c>
      <c r="G391" s="2">
        <v>1</v>
      </c>
      <c r="H391" s="2">
        <v>4</v>
      </c>
      <c r="I391" s="2">
        <v>6794601</v>
      </c>
      <c r="J391" s="2" t="s">
        <v>195</v>
      </c>
      <c r="K391" s="2" t="s">
        <v>511</v>
      </c>
      <c r="L391" s="2" t="str">
        <f>"CN4023066F"</f>
        <v>CN4023066F</v>
      </c>
      <c r="M391" s="2" t="s">
        <v>2</v>
      </c>
      <c r="N391" s="18">
        <v>31114</v>
      </c>
      <c r="O391" s="2">
        <v>198</v>
      </c>
    </row>
    <row r="392" spans="1:15" s="2" customFormat="1" x14ac:dyDescent="0.25">
      <c r="A392" s="2">
        <v>392</v>
      </c>
      <c r="B392" s="2">
        <v>1</v>
      </c>
      <c r="C392" s="2">
        <v>42</v>
      </c>
      <c r="D392" s="2">
        <v>1</v>
      </c>
      <c r="E392" s="2">
        <v>20</v>
      </c>
      <c r="G392" s="2">
        <v>1</v>
      </c>
      <c r="H392" s="2">
        <v>4</v>
      </c>
      <c r="I392" s="2">
        <v>13382758</v>
      </c>
      <c r="J392" s="2" t="s">
        <v>198</v>
      </c>
      <c r="K392" s="2" t="s">
        <v>512</v>
      </c>
      <c r="L392" s="2" t="str">
        <f>"BAUDU0OVB2H331"</f>
        <v>BAUDU0OVB2H331</v>
      </c>
      <c r="M392" s="2" t="s">
        <v>2</v>
      </c>
      <c r="N392" s="18">
        <v>31115</v>
      </c>
      <c r="O392" s="2">
        <v>17</v>
      </c>
    </row>
    <row r="393" spans="1:15" s="2" customFormat="1" x14ac:dyDescent="0.25">
      <c r="A393" s="2">
        <v>393</v>
      </c>
      <c r="B393" s="2">
        <v>1</v>
      </c>
      <c r="C393" s="2">
        <v>42</v>
      </c>
      <c r="D393" s="2">
        <v>1</v>
      </c>
      <c r="E393" s="2">
        <v>20</v>
      </c>
      <c r="G393" s="2">
        <v>1</v>
      </c>
      <c r="H393" s="2">
        <v>4</v>
      </c>
      <c r="I393" s="2">
        <v>13382759</v>
      </c>
      <c r="J393" s="2" t="s">
        <v>198</v>
      </c>
      <c r="K393" s="2" t="s">
        <v>513</v>
      </c>
      <c r="L393" s="2" t="str">
        <f>"BAUHR0IVBZQFD6"</f>
        <v>BAUHR0IVBZQFD6</v>
      </c>
      <c r="M393" s="2" t="s">
        <v>2</v>
      </c>
      <c r="N393" s="18">
        <v>31116</v>
      </c>
      <c r="O393" s="2">
        <v>17</v>
      </c>
    </row>
    <row r="394" spans="1:15" s="2" customFormat="1" x14ac:dyDescent="0.25">
      <c r="A394" s="2">
        <v>394</v>
      </c>
      <c r="B394" s="2">
        <v>1</v>
      </c>
      <c r="C394" s="2">
        <v>69</v>
      </c>
      <c r="D394" s="2">
        <v>1</v>
      </c>
      <c r="E394" s="2">
        <v>20</v>
      </c>
      <c r="G394" s="2">
        <v>1</v>
      </c>
      <c r="H394" s="2">
        <v>4</v>
      </c>
      <c r="I394" s="2">
        <v>13382756</v>
      </c>
      <c r="J394" s="2" t="s">
        <v>198</v>
      </c>
      <c r="K394" s="2" t="s">
        <v>514</v>
      </c>
      <c r="L394" s="2" t="str">
        <f>"63445070103040"</f>
        <v>63445070103040</v>
      </c>
      <c r="M394" s="2" t="s">
        <v>2</v>
      </c>
      <c r="N394" s="18">
        <v>31117</v>
      </c>
      <c r="O394" s="2" t="s">
        <v>515</v>
      </c>
    </row>
    <row r="395" spans="1:15" s="2" customFormat="1" x14ac:dyDescent="0.25">
      <c r="A395" s="2">
        <v>395</v>
      </c>
      <c r="B395" s="2">
        <v>1</v>
      </c>
      <c r="C395" s="2">
        <v>69</v>
      </c>
      <c r="D395" s="2">
        <v>1</v>
      </c>
      <c r="E395" s="2">
        <v>20</v>
      </c>
      <c r="G395" s="2">
        <v>1</v>
      </c>
      <c r="H395" s="2">
        <v>4</v>
      </c>
      <c r="I395" s="2">
        <v>13382757</v>
      </c>
      <c r="J395" s="2" t="s">
        <v>198</v>
      </c>
      <c r="K395" s="2" t="s">
        <v>514</v>
      </c>
      <c r="L395" s="2" t="str">
        <f>"63445070103041"</f>
        <v>63445070103041</v>
      </c>
      <c r="M395" s="2" t="s">
        <v>2</v>
      </c>
      <c r="N395" s="18">
        <v>31118</v>
      </c>
      <c r="O395" s="2" t="s">
        <v>515</v>
      </c>
    </row>
    <row r="396" spans="1:15" s="2" customFormat="1" x14ac:dyDescent="0.25">
      <c r="A396" s="2">
        <v>396</v>
      </c>
      <c r="B396" s="2">
        <v>2</v>
      </c>
      <c r="C396" s="2">
        <v>71</v>
      </c>
      <c r="D396" s="2">
        <v>2</v>
      </c>
      <c r="E396" s="2">
        <v>1</v>
      </c>
      <c r="G396" s="2">
        <v>1</v>
      </c>
      <c r="H396" s="2">
        <v>39</v>
      </c>
      <c r="I396" s="2">
        <v>13184477</v>
      </c>
      <c r="J396" s="2" t="s">
        <v>221</v>
      </c>
      <c r="K396" s="2" t="s">
        <v>350</v>
      </c>
      <c r="L396" s="2" t="str">
        <f>"63445030125003"</f>
        <v>63445030125003</v>
      </c>
      <c r="M396" s="2" t="s">
        <v>2</v>
      </c>
      <c r="N396" s="18">
        <v>31119</v>
      </c>
      <c r="O396" s="2" t="s">
        <v>507</v>
      </c>
    </row>
    <row r="397" spans="1:15" s="2" customFormat="1" x14ac:dyDescent="0.25">
      <c r="A397" s="2">
        <v>397</v>
      </c>
      <c r="B397" s="2">
        <v>2</v>
      </c>
      <c r="C397" s="2">
        <v>71</v>
      </c>
      <c r="D397" s="2">
        <v>2</v>
      </c>
      <c r="E397" s="2">
        <v>28</v>
      </c>
      <c r="G397" s="2">
        <v>1</v>
      </c>
      <c r="H397" s="2">
        <v>39</v>
      </c>
      <c r="I397" s="2">
        <v>13184478</v>
      </c>
      <c r="J397" s="2" t="s">
        <v>221</v>
      </c>
      <c r="K397" s="2" t="s">
        <v>350</v>
      </c>
      <c r="L397" s="2" t="str">
        <f>"63445030125004"</f>
        <v>63445030125004</v>
      </c>
      <c r="M397" s="2" t="s">
        <v>2</v>
      </c>
      <c r="N397" s="18">
        <v>31120</v>
      </c>
      <c r="O397" s="2" t="s">
        <v>507</v>
      </c>
    </row>
    <row r="398" spans="1:15" s="2" customFormat="1" x14ac:dyDescent="0.25">
      <c r="A398" s="2">
        <v>398</v>
      </c>
      <c r="B398" s="2">
        <v>2</v>
      </c>
      <c r="C398" s="2">
        <v>16</v>
      </c>
      <c r="D398" s="2">
        <v>2</v>
      </c>
      <c r="E398" s="2">
        <v>15</v>
      </c>
      <c r="G398" s="2">
        <v>1</v>
      </c>
      <c r="H398" s="2">
        <v>39</v>
      </c>
      <c r="I398" s="2">
        <v>13182075</v>
      </c>
      <c r="J398" s="2" t="s">
        <v>223</v>
      </c>
      <c r="K398" s="2" t="s">
        <v>350</v>
      </c>
      <c r="L398" s="2" t="str">
        <f>"63445040502001"</f>
        <v>63445040502001</v>
      </c>
      <c r="M398" s="2" t="s">
        <v>2</v>
      </c>
      <c r="N398" s="18">
        <v>31121</v>
      </c>
      <c r="O398" s="2" t="s">
        <v>516</v>
      </c>
    </row>
    <row r="399" spans="1:15" s="2" customFormat="1" x14ac:dyDescent="0.25">
      <c r="A399" s="2">
        <v>399</v>
      </c>
      <c r="B399" s="2">
        <v>2</v>
      </c>
      <c r="C399" s="2">
        <v>16</v>
      </c>
      <c r="D399" s="2">
        <v>2</v>
      </c>
      <c r="E399" s="2">
        <v>15</v>
      </c>
      <c r="G399" s="2">
        <v>1</v>
      </c>
      <c r="H399" s="2">
        <v>39</v>
      </c>
      <c r="I399" s="2">
        <v>13182076</v>
      </c>
      <c r="J399" s="2" t="s">
        <v>223</v>
      </c>
      <c r="K399" s="2" t="s">
        <v>350</v>
      </c>
      <c r="L399" s="2" t="str">
        <f>"63445040502002"</f>
        <v>63445040502002</v>
      </c>
      <c r="M399" s="2" t="s">
        <v>2</v>
      </c>
      <c r="N399" s="18">
        <v>31122</v>
      </c>
      <c r="O399" s="2" t="s">
        <v>516</v>
      </c>
    </row>
    <row r="400" spans="1:15" s="2" customFormat="1" x14ac:dyDescent="0.25">
      <c r="A400" s="2">
        <v>400</v>
      </c>
      <c r="B400" s="2">
        <v>2</v>
      </c>
      <c r="C400" s="2">
        <v>16</v>
      </c>
      <c r="D400" s="2">
        <v>2</v>
      </c>
      <c r="E400" s="2">
        <v>15</v>
      </c>
      <c r="G400" s="2">
        <v>1</v>
      </c>
      <c r="H400" s="2">
        <v>39</v>
      </c>
      <c r="I400" s="2">
        <v>13182077</v>
      </c>
      <c r="J400" s="2" t="s">
        <v>223</v>
      </c>
      <c r="K400" s="2" t="s">
        <v>350</v>
      </c>
      <c r="L400" s="2" t="str">
        <f>"63445040502003"</f>
        <v>63445040502003</v>
      </c>
      <c r="M400" s="2" t="s">
        <v>2</v>
      </c>
      <c r="N400" s="18">
        <v>31123</v>
      </c>
      <c r="O400" s="2" t="s">
        <v>516</v>
      </c>
    </row>
    <row r="401" spans="1:15" s="2" customFormat="1" x14ac:dyDescent="0.25">
      <c r="A401" s="2">
        <v>401</v>
      </c>
      <c r="B401" s="2">
        <v>2</v>
      </c>
      <c r="C401" s="2">
        <v>16</v>
      </c>
      <c r="D401" s="2">
        <v>2</v>
      </c>
      <c r="E401" s="2">
        <v>15</v>
      </c>
      <c r="G401" s="2">
        <v>1</v>
      </c>
      <c r="H401" s="2">
        <v>39</v>
      </c>
      <c r="I401" s="2">
        <v>13182078</v>
      </c>
      <c r="J401" s="2" t="s">
        <v>223</v>
      </c>
      <c r="K401" s="2" t="s">
        <v>350</v>
      </c>
      <c r="L401" s="2" t="str">
        <f>"63445040502004"</f>
        <v>63445040502004</v>
      </c>
      <c r="M401" s="2" t="s">
        <v>2</v>
      </c>
      <c r="N401" s="18">
        <v>31124</v>
      </c>
      <c r="O401" s="2" t="s">
        <v>516</v>
      </c>
    </row>
    <row r="402" spans="1:15" s="2" customFormat="1" x14ac:dyDescent="0.25">
      <c r="A402" s="2">
        <v>402</v>
      </c>
      <c r="B402" s="2">
        <v>2</v>
      </c>
      <c r="C402" s="2">
        <v>86</v>
      </c>
      <c r="D402" s="2">
        <v>1</v>
      </c>
      <c r="E402" s="2">
        <v>24</v>
      </c>
      <c r="G402" s="2">
        <v>1</v>
      </c>
      <c r="H402" s="2">
        <v>39</v>
      </c>
      <c r="I402" s="2">
        <v>13460224</v>
      </c>
      <c r="J402" s="2" t="s">
        <v>224</v>
      </c>
      <c r="K402" s="2" t="s">
        <v>350</v>
      </c>
      <c r="L402" s="2" t="str">
        <f>"63445060112002"</f>
        <v>63445060112002</v>
      </c>
      <c r="M402" s="2" t="s">
        <v>2</v>
      </c>
      <c r="N402" s="18">
        <v>31125</v>
      </c>
      <c r="O402" s="2" t="s">
        <v>517</v>
      </c>
    </row>
    <row r="403" spans="1:15" s="2" customFormat="1" x14ac:dyDescent="0.25">
      <c r="A403" s="2">
        <v>403</v>
      </c>
      <c r="B403" s="2">
        <v>1</v>
      </c>
      <c r="C403" s="2">
        <v>76</v>
      </c>
      <c r="D403" s="2">
        <v>1</v>
      </c>
      <c r="E403" s="2">
        <v>20</v>
      </c>
      <c r="G403" s="2">
        <v>1</v>
      </c>
      <c r="H403" s="2">
        <v>4</v>
      </c>
      <c r="I403" s="2">
        <v>13460203</v>
      </c>
      <c r="J403" s="2" t="s">
        <v>225</v>
      </c>
      <c r="K403" s="2" t="s">
        <v>350</v>
      </c>
      <c r="L403" s="2" t="str">
        <f>"63445060101006"</f>
        <v>63445060101006</v>
      </c>
      <c r="M403" s="2" t="s">
        <v>2</v>
      </c>
      <c r="N403" s="18">
        <v>31126</v>
      </c>
      <c r="O403" s="2" t="s">
        <v>518</v>
      </c>
    </row>
    <row r="404" spans="1:15" s="2" customFormat="1" x14ac:dyDescent="0.25">
      <c r="A404" s="2">
        <v>404</v>
      </c>
      <c r="B404" s="2">
        <v>1</v>
      </c>
      <c r="C404" s="2">
        <v>76</v>
      </c>
      <c r="D404" s="2">
        <v>1</v>
      </c>
      <c r="E404" s="2">
        <v>25</v>
      </c>
      <c r="G404" s="2">
        <v>1</v>
      </c>
      <c r="H404" s="2">
        <v>4</v>
      </c>
      <c r="I404" s="2">
        <v>13460204</v>
      </c>
      <c r="J404" s="2" t="s">
        <v>225</v>
      </c>
      <c r="K404" s="2" t="s">
        <v>350</v>
      </c>
      <c r="L404" s="2" t="str">
        <f>"63445060101003"</f>
        <v>63445060101003</v>
      </c>
      <c r="M404" s="2" t="s">
        <v>2</v>
      </c>
      <c r="N404" s="18">
        <v>31127</v>
      </c>
      <c r="O404" s="2" t="s">
        <v>519</v>
      </c>
    </row>
    <row r="405" spans="1:15" s="2" customFormat="1" x14ac:dyDescent="0.25">
      <c r="A405" s="2">
        <v>405</v>
      </c>
      <c r="B405" s="2">
        <v>2</v>
      </c>
      <c r="C405" s="2">
        <v>79</v>
      </c>
      <c r="D405" s="2">
        <v>1</v>
      </c>
      <c r="E405" s="2">
        <v>24</v>
      </c>
      <c r="G405" s="2">
        <v>1</v>
      </c>
      <c r="H405" s="2">
        <v>39</v>
      </c>
      <c r="I405" s="2">
        <v>13460223</v>
      </c>
      <c r="J405" s="2" t="s">
        <v>224</v>
      </c>
      <c r="K405" s="2" t="s">
        <v>350</v>
      </c>
      <c r="L405" s="2" t="str">
        <f>"63445060112001"</f>
        <v>63445060112001</v>
      </c>
      <c r="M405" s="2" t="s">
        <v>2</v>
      </c>
      <c r="N405" s="18">
        <v>31128</v>
      </c>
      <c r="O405" s="2" t="s">
        <v>517</v>
      </c>
    </row>
    <row r="406" spans="1:15" s="2" customFormat="1" x14ac:dyDescent="0.25">
      <c r="A406" s="2">
        <v>406</v>
      </c>
      <c r="B406" s="2">
        <v>1</v>
      </c>
      <c r="C406" s="2">
        <v>30</v>
      </c>
      <c r="D406" s="2">
        <v>2</v>
      </c>
      <c r="E406" s="2">
        <v>26</v>
      </c>
      <c r="G406" s="2">
        <v>1</v>
      </c>
      <c r="H406" s="2">
        <v>4</v>
      </c>
      <c r="I406" s="2">
        <v>13460245</v>
      </c>
      <c r="J406" s="2" t="s">
        <v>226</v>
      </c>
      <c r="K406" s="2" t="s">
        <v>350</v>
      </c>
      <c r="L406" s="2" t="str">
        <f>"63445060113021"</f>
        <v>63445060113021</v>
      </c>
      <c r="M406" s="2" t="s">
        <v>2</v>
      </c>
      <c r="N406" s="18">
        <v>31129</v>
      </c>
      <c r="O406" s="2" t="s">
        <v>520</v>
      </c>
    </row>
    <row r="407" spans="1:15" s="2" customFormat="1" x14ac:dyDescent="0.25">
      <c r="A407" s="2">
        <v>407</v>
      </c>
      <c r="B407" s="2">
        <v>1</v>
      </c>
      <c r="C407" s="2">
        <v>30</v>
      </c>
      <c r="D407" s="2">
        <v>2</v>
      </c>
      <c r="E407" s="2">
        <v>29</v>
      </c>
      <c r="G407" s="2">
        <v>1</v>
      </c>
      <c r="H407" s="2">
        <v>4</v>
      </c>
      <c r="I407" s="2">
        <v>13460246</v>
      </c>
      <c r="J407" s="2" t="s">
        <v>226</v>
      </c>
      <c r="K407" s="2" t="s">
        <v>350</v>
      </c>
      <c r="L407" s="2" t="str">
        <f>"63445060113022"</f>
        <v>63445060113022</v>
      </c>
      <c r="M407" s="2" t="s">
        <v>2</v>
      </c>
      <c r="N407" s="18">
        <v>31130</v>
      </c>
      <c r="O407" s="2" t="s">
        <v>520</v>
      </c>
    </row>
    <row r="408" spans="1:15" s="2" customFormat="1" x14ac:dyDescent="0.25">
      <c r="A408" s="2">
        <v>408</v>
      </c>
      <c r="B408" s="2">
        <v>1</v>
      </c>
      <c r="C408" s="2">
        <v>30</v>
      </c>
      <c r="D408" s="2">
        <v>2</v>
      </c>
      <c r="E408" s="2">
        <v>26</v>
      </c>
      <c r="G408" s="2">
        <v>1</v>
      </c>
      <c r="H408" s="2">
        <v>4</v>
      </c>
      <c r="I408" s="2">
        <v>13460247</v>
      </c>
      <c r="J408" s="2" t="s">
        <v>226</v>
      </c>
      <c r="K408" s="2" t="s">
        <v>350</v>
      </c>
      <c r="L408" s="2" t="str">
        <f>"63445060113023"</f>
        <v>63445060113023</v>
      </c>
      <c r="M408" s="2" t="s">
        <v>2</v>
      </c>
      <c r="N408" s="18">
        <v>31131</v>
      </c>
      <c r="O408" s="2" t="s">
        <v>520</v>
      </c>
    </row>
    <row r="409" spans="1:15" s="2" customFormat="1" x14ac:dyDescent="0.25">
      <c r="A409" s="2">
        <v>409</v>
      </c>
      <c r="B409" s="2">
        <v>1</v>
      </c>
      <c r="C409" s="2">
        <v>30</v>
      </c>
      <c r="D409" s="2">
        <v>2</v>
      </c>
      <c r="E409" s="2">
        <v>26</v>
      </c>
      <c r="G409" s="2">
        <v>1</v>
      </c>
      <c r="H409" s="2">
        <v>4</v>
      </c>
      <c r="I409" s="2">
        <v>13460248</v>
      </c>
      <c r="J409" s="2" t="s">
        <v>226</v>
      </c>
      <c r="K409" s="2" t="s">
        <v>350</v>
      </c>
      <c r="L409" s="2" t="str">
        <f>"63445060113024"</f>
        <v>63445060113024</v>
      </c>
      <c r="M409" s="2" t="s">
        <v>2</v>
      </c>
      <c r="N409" s="18">
        <v>31132</v>
      </c>
      <c r="O409" s="2" t="s">
        <v>520</v>
      </c>
    </row>
    <row r="410" spans="1:15" s="2" customFormat="1" x14ac:dyDescent="0.25">
      <c r="A410" s="2">
        <v>410</v>
      </c>
      <c r="B410" s="2">
        <v>2</v>
      </c>
      <c r="C410" s="2">
        <v>76</v>
      </c>
      <c r="D410" s="2">
        <v>1</v>
      </c>
      <c r="E410" s="2">
        <v>20</v>
      </c>
      <c r="G410" s="2">
        <v>1</v>
      </c>
      <c r="H410" s="2">
        <v>39</v>
      </c>
      <c r="I410" s="2">
        <v>7606342</v>
      </c>
      <c r="J410" s="2" t="s">
        <v>283</v>
      </c>
      <c r="K410" s="2" t="s">
        <v>350</v>
      </c>
      <c r="L410" s="2" t="str">
        <f>"14101030107001"</f>
        <v>14101030107001</v>
      </c>
      <c r="M410" s="2" t="s">
        <v>2</v>
      </c>
      <c r="N410" s="18">
        <v>31133</v>
      </c>
      <c r="O410" s="2">
        <v>230</v>
      </c>
    </row>
    <row r="411" spans="1:15" s="2" customFormat="1" x14ac:dyDescent="0.25">
      <c r="A411" s="2">
        <v>411</v>
      </c>
      <c r="B411" s="2">
        <v>2</v>
      </c>
      <c r="C411" s="2">
        <v>76</v>
      </c>
      <c r="D411" s="2">
        <v>1</v>
      </c>
      <c r="E411" s="2">
        <v>20</v>
      </c>
      <c r="G411" s="2">
        <v>1</v>
      </c>
      <c r="H411" s="2">
        <v>39</v>
      </c>
      <c r="I411" s="2">
        <v>7606343</v>
      </c>
      <c r="J411" s="2" t="s">
        <v>283</v>
      </c>
      <c r="K411" s="2" t="s">
        <v>350</v>
      </c>
      <c r="L411" s="2" t="str">
        <f>"14101030107002"</f>
        <v>14101030107002</v>
      </c>
      <c r="M411" s="2" t="s">
        <v>2</v>
      </c>
      <c r="N411" s="18">
        <v>31134</v>
      </c>
      <c r="O411" s="2">
        <v>230</v>
      </c>
    </row>
    <row r="412" spans="1:15" s="2" customFormat="1" x14ac:dyDescent="0.25">
      <c r="A412" s="2">
        <v>412</v>
      </c>
      <c r="B412" s="2">
        <v>2</v>
      </c>
      <c r="C412" s="2">
        <v>76</v>
      </c>
      <c r="D412" s="2">
        <v>1</v>
      </c>
      <c r="E412" s="2">
        <v>20</v>
      </c>
      <c r="G412" s="2">
        <v>1</v>
      </c>
      <c r="H412" s="2">
        <v>39</v>
      </c>
      <c r="I412" s="2">
        <v>7602823</v>
      </c>
      <c r="J412" s="2" t="s">
        <v>227</v>
      </c>
      <c r="K412" s="2" t="s">
        <v>350</v>
      </c>
      <c r="L412" s="2" t="str">
        <f>"14101040801001"</f>
        <v>14101040801001</v>
      </c>
      <c r="M412" s="2" t="s">
        <v>2</v>
      </c>
      <c r="N412" s="18">
        <v>31135</v>
      </c>
      <c r="O412" s="2">
        <v>100</v>
      </c>
    </row>
    <row r="413" spans="1:15" s="2" customFormat="1" x14ac:dyDescent="0.25">
      <c r="A413" s="2">
        <v>413</v>
      </c>
      <c r="B413" s="2">
        <v>2</v>
      </c>
      <c r="C413" s="2">
        <v>76</v>
      </c>
      <c r="D413" s="2">
        <v>2</v>
      </c>
      <c r="E413" s="2">
        <v>18</v>
      </c>
      <c r="G413" s="2">
        <v>1</v>
      </c>
      <c r="H413" s="2">
        <v>39</v>
      </c>
      <c r="I413" s="2">
        <v>13184472</v>
      </c>
      <c r="J413" s="2" t="s">
        <v>228</v>
      </c>
      <c r="K413" s="2" t="s">
        <v>521</v>
      </c>
      <c r="L413" s="2" t="str">
        <f>"63445030117001"</f>
        <v>63445030117001</v>
      </c>
      <c r="M413" s="2" t="s">
        <v>2</v>
      </c>
      <c r="N413" s="18">
        <v>31136</v>
      </c>
      <c r="O413" s="2">
        <v>34</v>
      </c>
    </row>
    <row r="414" spans="1:15" s="2" customFormat="1" x14ac:dyDescent="0.25">
      <c r="A414" s="2">
        <v>414</v>
      </c>
      <c r="B414" s="2">
        <v>1</v>
      </c>
      <c r="C414" s="2">
        <v>27</v>
      </c>
      <c r="D414" s="2">
        <v>2</v>
      </c>
      <c r="E414" s="2">
        <v>11</v>
      </c>
      <c r="G414" s="2">
        <v>1</v>
      </c>
      <c r="H414" s="2">
        <v>4</v>
      </c>
      <c r="I414" s="2">
        <v>13182011</v>
      </c>
      <c r="J414" s="2" t="s">
        <v>181</v>
      </c>
      <c r="K414" s="2" t="s">
        <v>522</v>
      </c>
      <c r="L414" s="2" t="str">
        <f>"E145449"</f>
        <v>E145449</v>
      </c>
      <c r="M414" s="2" t="s">
        <v>2</v>
      </c>
      <c r="N414" s="18">
        <v>31137</v>
      </c>
      <c r="O414" s="2" t="s">
        <v>523</v>
      </c>
    </row>
    <row r="415" spans="1:15" s="2" customFormat="1" x14ac:dyDescent="0.25">
      <c r="A415" s="2">
        <v>415</v>
      </c>
      <c r="B415" s="2">
        <v>1</v>
      </c>
      <c r="C415" s="2">
        <v>2</v>
      </c>
      <c r="D415" s="2">
        <v>1</v>
      </c>
      <c r="E415" s="2">
        <v>11</v>
      </c>
      <c r="G415" s="2">
        <v>1</v>
      </c>
      <c r="H415" s="2">
        <v>4</v>
      </c>
      <c r="I415" s="2">
        <v>13182012</v>
      </c>
      <c r="J415" s="2" t="s">
        <v>181</v>
      </c>
      <c r="K415" s="2" t="s">
        <v>524</v>
      </c>
      <c r="L415" s="2" t="str">
        <f>"63445040401006"</f>
        <v>63445040401006</v>
      </c>
      <c r="M415" s="2" t="s">
        <v>2</v>
      </c>
      <c r="N415" s="18">
        <v>31138</v>
      </c>
      <c r="O415" s="2" t="s">
        <v>523</v>
      </c>
    </row>
    <row r="416" spans="1:15" s="2" customFormat="1" x14ac:dyDescent="0.25">
      <c r="A416" s="2">
        <v>416</v>
      </c>
      <c r="B416" s="2">
        <v>1</v>
      </c>
      <c r="C416" s="2">
        <v>39</v>
      </c>
      <c r="D416" s="2">
        <v>1</v>
      </c>
      <c r="E416" s="2">
        <v>24</v>
      </c>
      <c r="G416" s="2">
        <v>1</v>
      </c>
      <c r="H416" s="2">
        <v>4</v>
      </c>
      <c r="I416" s="2">
        <v>13182013</v>
      </c>
      <c r="J416" s="2" t="s">
        <v>181</v>
      </c>
      <c r="K416" s="2" t="s">
        <v>525</v>
      </c>
      <c r="L416" s="2" t="str">
        <f>"63445040401007"</f>
        <v>63445040401007</v>
      </c>
      <c r="M416" s="2" t="s">
        <v>2</v>
      </c>
      <c r="N416" s="18">
        <v>31139</v>
      </c>
      <c r="O416" s="2" t="s">
        <v>523</v>
      </c>
    </row>
    <row r="417" spans="1:15" s="2" customFormat="1" x14ac:dyDescent="0.25">
      <c r="A417" s="2">
        <v>417</v>
      </c>
      <c r="B417" s="2">
        <v>1</v>
      </c>
      <c r="C417" s="2">
        <v>76</v>
      </c>
      <c r="D417" s="2">
        <v>1</v>
      </c>
      <c r="E417" s="2">
        <v>23</v>
      </c>
      <c r="G417" s="2">
        <v>1</v>
      </c>
      <c r="H417" s="2">
        <v>4</v>
      </c>
      <c r="I417" s="2">
        <v>13182014</v>
      </c>
      <c r="J417" s="2" t="s">
        <v>181</v>
      </c>
      <c r="K417" s="2" t="s">
        <v>350</v>
      </c>
      <c r="L417" s="2" t="str">
        <f>"63445040401008"</f>
        <v>63445040401008</v>
      </c>
      <c r="M417" s="2" t="s">
        <v>2</v>
      </c>
      <c r="N417" s="18">
        <v>31140</v>
      </c>
      <c r="O417" s="2" t="s">
        <v>523</v>
      </c>
    </row>
    <row r="418" spans="1:15" s="2" customFormat="1" x14ac:dyDescent="0.25">
      <c r="A418" s="2">
        <v>418</v>
      </c>
      <c r="B418" s="2">
        <v>1</v>
      </c>
      <c r="C418" s="2">
        <v>80</v>
      </c>
      <c r="D418" s="2">
        <v>2</v>
      </c>
      <c r="E418" s="2">
        <v>11</v>
      </c>
      <c r="G418" s="2">
        <v>1</v>
      </c>
      <c r="H418" s="2">
        <v>4</v>
      </c>
      <c r="I418" s="2">
        <v>13182015</v>
      </c>
      <c r="J418" s="2" t="s">
        <v>181</v>
      </c>
      <c r="K418" s="2" t="s">
        <v>350</v>
      </c>
      <c r="L418" s="2" t="str">
        <f>"63445040401009"</f>
        <v>63445040401009</v>
      </c>
      <c r="M418" s="2" t="s">
        <v>2</v>
      </c>
      <c r="N418" s="18">
        <v>31141</v>
      </c>
      <c r="O418" s="2" t="s">
        <v>523</v>
      </c>
    </row>
    <row r="419" spans="1:15" s="2" customFormat="1" x14ac:dyDescent="0.25">
      <c r="A419" s="2">
        <v>419</v>
      </c>
      <c r="B419" s="2">
        <v>1</v>
      </c>
      <c r="C419" s="2">
        <v>76</v>
      </c>
      <c r="D419" s="2">
        <v>1</v>
      </c>
      <c r="E419" s="2">
        <v>23</v>
      </c>
      <c r="G419" s="2">
        <v>1</v>
      </c>
      <c r="H419" s="2">
        <v>4</v>
      </c>
      <c r="I419" s="2">
        <v>13182016</v>
      </c>
      <c r="J419" s="2" t="s">
        <v>181</v>
      </c>
      <c r="K419" s="2" t="s">
        <v>350</v>
      </c>
      <c r="L419" s="2" t="str">
        <f>"63445040401010"</f>
        <v>63445040401010</v>
      </c>
      <c r="M419" s="2" t="s">
        <v>2</v>
      </c>
      <c r="N419" s="18">
        <v>31142</v>
      </c>
      <c r="O419" s="2" t="s">
        <v>523</v>
      </c>
    </row>
    <row r="420" spans="1:15" s="2" customFormat="1" x14ac:dyDescent="0.25">
      <c r="A420" s="2">
        <v>420</v>
      </c>
      <c r="B420" s="2">
        <v>1</v>
      </c>
      <c r="C420" s="2">
        <v>76</v>
      </c>
      <c r="D420" s="2">
        <v>2</v>
      </c>
      <c r="E420" s="2">
        <v>23</v>
      </c>
      <c r="G420" s="2">
        <v>1</v>
      </c>
      <c r="H420" s="2">
        <v>4</v>
      </c>
      <c r="I420" s="2">
        <v>13182017</v>
      </c>
      <c r="J420" s="2" t="s">
        <v>181</v>
      </c>
      <c r="K420" s="2" t="s">
        <v>350</v>
      </c>
      <c r="L420" s="2" t="str">
        <f>"63445040401011"</f>
        <v>63445040401011</v>
      </c>
      <c r="M420" s="2" t="s">
        <v>2</v>
      </c>
      <c r="N420" s="18">
        <v>31143</v>
      </c>
      <c r="O420" s="2" t="s">
        <v>523</v>
      </c>
    </row>
    <row r="421" spans="1:15" s="2" customFormat="1" x14ac:dyDescent="0.25">
      <c r="A421" s="2">
        <v>421</v>
      </c>
      <c r="B421" s="2">
        <v>1</v>
      </c>
      <c r="C421" s="2">
        <v>76</v>
      </c>
      <c r="D421" s="2">
        <v>1</v>
      </c>
      <c r="E421" s="2">
        <v>23</v>
      </c>
      <c r="G421" s="2">
        <v>1</v>
      </c>
      <c r="H421" s="2">
        <v>4</v>
      </c>
      <c r="I421" s="2">
        <v>13182018</v>
      </c>
      <c r="J421" s="2" t="s">
        <v>181</v>
      </c>
      <c r="K421" s="2" t="s">
        <v>350</v>
      </c>
      <c r="L421" s="2" t="str">
        <f>"63445040401012"</f>
        <v>63445040401012</v>
      </c>
      <c r="M421" s="2" t="s">
        <v>2</v>
      </c>
      <c r="N421" s="18">
        <v>31144</v>
      </c>
      <c r="O421" s="2" t="s">
        <v>523</v>
      </c>
    </row>
    <row r="422" spans="1:15" s="2" customFormat="1" x14ac:dyDescent="0.25">
      <c r="A422" s="2">
        <v>422</v>
      </c>
      <c r="B422" s="2">
        <v>2</v>
      </c>
      <c r="C422" s="2">
        <v>76</v>
      </c>
      <c r="D422" s="2">
        <v>1</v>
      </c>
      <c r="E422" s="2">
        <v>24</v>
      </c>
      <c r="G422" s="2">
        <v>1</v>
      </c>
      <c r="H422" s="2">
        <v>39</v>
      </c>
      <c r="I422" s="2">
        <v>13182019</v>
      </c>
      <c r="J422" s="2" t="s">
        <v>229</v>
      </c>
      <c r="K422" s="2" t="s">
        <v>350</v>
      </c>
      <c r="L422" s="2" t="str">
        <f>"63445040402001"</f>
        <v>63445040402001</v>
      </c>
      <c r="M422" s="2" t="s">
        <v>2</v>
      </c>
      <c r="N422" s="18">
        <v>31145</v>
      </c>
      <c r="O422" s="2" t="s">
        <v>526</v>
      </c>
    </row>
    <row r="423" spans="1:15" s="2" customFormat="1" x14ac:dyDescent="0.25">
      <c r="A423" s="2">
        <v>423</v>
      </c>
      <c r="B423" s="2">
        <v>2</v>
      </c>
      <c r="C423" s="2">
        <v>76</v>
      </c>
      <c r="D423" s="2">
        <v>1</v>
      </c>
      <c r="E423" s="2">
        <v>24</v>
      </c>
      <c r="G423" s="2">
        <v>1</v>
      </c>
      <c r="H423" s="2">
        <v>39</v>
      </c>
      <c r="I423" s="2">
        <v>13182023</v>
      </c>
      <c r="J423" s="2" t="s">
        <v>229</v>
      </c>
      <c r="K423" s="2" t="s">
        <v>350</v>
      </c>
      <c r="L423" s="2" t="str">
        <f>"63445040402005"</f>
        <v>63445040402005</v>
      </c>
      <c r="M423" s="2" t="s">
        <v>2</v>
      </c>
      <c r="N423" s="18">
        <v>31146</v>
      </c>
      <c r="O423" s="2" t="s">
        <v>527</v>
      </c>
    </row>
    <row r="424" spans="1:15" s="2" customFormat="1" x14ac:dyDescent="0.25">
      <c r="A424" s="2">
        <v>424</v>
      </c>
      <c r="B424" s="2">
        <v>2</v>
      </c>
      <c r="C424" s="2">
        <v>76</v>
      </c>
      <c r="D424" s="2">
        <v>1</v>
      </c>
      <c r="E424" s="2">
        <v>24</v>
      </c>
      <c r="G424" s="2">
        <v>1</v>
      </c>
      <c r="H424" s="2">
        <v>39</v>
      </c>
      <c r="I424" s="2">
        <v>13182020</v>
      </c>
      <c r="J424" s="2" t="s">
        <v>229</v>
      </c>
      <c r="K424" s="2" t="s">
        <v>350</v>
      </c>
      <c r="L424" s="2" t="str">
        <f>"63445040402002"</f>
        <v>63445040402002</v>
      </c>
      <c r="M424" s="2" t="s">
        <v>2</v>
      </c>
      <c r="N424" s="18">
        <v>31147</v>
      </c>
      <c r="O424" s="2" t="s">
        <v>528</v>
      </c>
    </row>
    <row r="425" spans="1:15" s="2" customFormat="1" x14ac:dyDescent="0.25">
      <c r="A425" s="2">
        <v>425</v>
      </c>
      <c r="B425" s="2">
        <v>2</v>
      </c>
      <c r="C425" s="2">
        <v>76</v>
      </c>
      <c r="D425" s="2">
        <v>1</v>
      </c>
      <c r="E425" s="2">
        <v>24</v>
      </c>
      <c r="G425" s="2">
        <v>1</v>
      </c>
      <c r="H425" s="2">
        <v>39</v>
      </c>
      <c r="I425" s="2">
        <v>13182021</v>
      </c>
      <c r="J425" s="2" t="s">
        <v>230</v>
      </c>
      <c r="K425" s="2" t="s">
        <v>350</v>
      </c>
      <c r="L425" s="2" t="str">
        <f>"63445040402003"</f>
        <v>63445040402003</v>
      </c>
      <c r="M425" s="2" t="s">
        <v>2</v>
      </c>
      <c r="N425" s="18">
        <v>31148</v>
      </c>
      <c r="O425" s="2" t="s">
        <v>528</v>
      </c>
    </row>
    <row r="426" spans="1:15" s="2" customFormat="1" x14ac:dyDescent="0.25">
      <c r="A426" s="2">
        <v>426</v>
      </c>
      <c r="B426" s="2">
        <v>2</v>
      </c>
      <c r="C426" s="2">
        <v>76</v>
      </c>
      <c r="D426" s="2">
        <v>1</v>
      </c>
      <c r="E426" s="2">
        <v>24</v>
      </c>
      <c r="G426" s="2">
        <v>1</v>
      </c>
      <c r="H426" s="2">
        <v>39</v>
      </c>
      <c r="I426" s="2">
        <v>13182022</v>
      </c>
      <c r="J426" s="2" t="s">
        <v>230</v>
      </c>
      <c r="K426" s="2" t="s">
        <v>350</v>
      </c>
      <c r="L426" s="2" t="str">
        <f>"63445040402004"</f>
        <v>63445040402004</v>
      </c>
      <c r="M426" s="2" t="s">
        <v>2</v>
      </c>
      <c r="N426" s="18">
        <v>31149</v>
      </c>
      <c r="O426" s="2">
        <v>35</v>
      </c>
    </row>
    <row r="427" spans="1:15" s="2" customFormat="1" x14ac:dyDescent="0.25">
      <c r="A427" s="2">
        <v>427</v>
      </c>
      <c r="B427" s="2">
        <v>2</v>
      </c>
      <c r="C427" s="2">
        <v>76</v>
      </c>
      <c r="D427" s="2">
        <v>1</v>
      </c>
      <c r="E427" s="2">
        <v>24</v>
      </c>
      <c r="G427" s="2">
        <v>1</v>
      </c>
      <c r="H427" s="2">
        <v>39</v>
      </c>
      <c r="I427" s="2">
        <v>13182024</v>
      </c>
      <c r="J427" s="2" t="s">
        <v>230</v>
      </c>
      <c r="K427" s="2" t="s">
        <v>350</v>
      </c>
      <c r="L427" s="2" t="str">
        <f>"63445040402006"</f>
        <v>63445040402006</v>
      </c>
      <c r="M427" s="2" t="s">
        <v>2</v>
      </c>
      <c r="N427" s="18">
        <v>31150</v>
      </c>
      <c r="O427" s="2">
        <v>35</v>
      </c>
    </row>
    <row r="428" spans="1:15" s="2" customFormat="1" x14ac:dyDescent="0.25">
      <c r="A428" s="2">
        <v>428</v>
      </c>
      <c r="B428" s="2">
        <v>2</v>
      </c>
      <c r="C428" s="2">
        <v>76</v>
      </c>
      <c r="D428" s="2">
        <v>1</v>
      </c>
      <c r="E428" s="2">
        <v>24</v>
      </c>
      <c r="G428" s="2">
        <v>1</v>
      </c>
      <c r="H428" s="2">
        <v>39</v>
      </c>
      <c r="I428" s="2">
        <v>13182025</v>
      </c>
      <c r="J428" s="2" t="s">
        <v>230</v>
      </c>
      <c r="K428" s="2" t="s">
        <v>350</v>
      </c>
      <c r="L428" s="2" t="str">
        <f>"63445040402007"</f>
        <v>63445040402007</v>
      </c>
      <c r="M428" s="2" t="s">
        <v>2</v>
      </c>
      <c r="N428" s="18">
        <v>31151</v>
      </c>
      <c r="O428" s="2">
        <v>35</v>
      </c>
    </row>
    <row r="429" spans="1:15" s="2" customFormat="1" x14ac:dyDescent="0.25">
      <c r="A429" s="2">
        <v>429</v>
      </c>
      <c r="B429" s="2">
        <v>2</v>
      </c>
      <c r="C429" s="2">
        <v>76</v>
      </c>
      <c r="D429" s="2">
        <v>1</v>
      </c>
      <c r="E429" s="2">
        <v>24</v>
      </c>
      <c r="G429" s="2">
        <v>1</v>
      </c>
      <c r="H429" s="2">
        <v>39</v>
      </c>
      <c r="I429" s="2">
        <v>13182026</v>
      </c>
      <c r="J429" s="2" t="s">
        <v>230</v>
      </c>
      <c r="K429" s="2" t="s">
        <v>350</v>
      </c>
      <c r="L429" s="2" t="str">
        <f>"63445040402008"</f>
        <v>63445040402008</v>
      </c>
      <c r="M429" s="2" t="s">
        <v>2</v>
      </c>
      <c r="N429" s="18">
        <v>31152</v>
      </c>
      <c r="O429" s="2">
        <v>35</v>
      </c>
    </row>
    <row r="430" spans="1:15" s="2" customFormat="1" x14ac:dyDescent="0.25">
      <c r="A430" s="2">
        <v>430</v>
      </c>
      <c r="B430" s="2">
        <v>2</v>
      </c>
      <c r="C430" s="2">
        <v>76</v>
      </c>
      <c r="D430" s="2">
        <v>1</v>
      </c>
      <c r="E430" s="2">
        <v>24</v>
      </c>
      <c r="G430" s="2">
        <v>1</v>
      </c>
      <c r="H430" s="2">
        <v>39</v>
      </c>
      <c r="I430" s="2">
        <v>13182027</v>
      </c>
      <c r="J430" s="2" t="s">
        <v>230</v>
      </c>
      <c r="K430" s="2" t="s">
        <v>350</v>
      </c>
      <c r="L430" s="2" t="str">
        <f>"63445040402009"</f>
        <v>63445040402009</v>
      </c>
      <c r="M430" s="2" t="s">
        <v>2</v>
      </c>
      <c r="N430" s="18">
        <v>31153</v>
      </c>
      <c r="O430" s="2">
        <v>35</v>
      </c>
    </row>
    <row r="431" spans="1:15" s="2" customFormat="1" x14ac:dyDescent="0.25">
      <c r="A431" s="2">
        <v>431</v>
      </c>
      <c r="B431" s="2">
        <v>2</v>
      </c>
      <c r="C431" s="2">
        <v>76</v>
      </c>
      <c r="D431" s="2">
        <v>1</v>
      </c>
      <c r="E431" s="2">
        <v>24</v>
      </c>
      <c r="G431" s="2">
        <v>1</v>
      </c>
      <c r="H431" s="2">
        <v>39</v>
      </c>
      <c r="I431" s="2">
        <v>13182028</v>
      </c>
      <c r="J431" s="2" t="s">
        <v>229</v>
      </c>
      <c r="K431" s="2" t="s">
        <v>350</v>
      </c>
      <c r="L431" s="2" t="str">
        <f>"63445040402010"</f>
        <v>63445040402010</v>
      </c>
      <c r="M431" s="2" t="s">
        <v>2</v>
      </c>
      <c r="N431" s="18">
        <v>31154</v>
      </c>
      <c r="O431" s="2">
        <v>35</v>
      </c>
    </row>
    <row r="432" spans="1:15" s="2" customFormat="1" x14ac:dyDescent="0.25">
      <c r="A432" s="2">
        <v>432</v>
      </c>
      <c r="B432" s="2">
        <v>1</v>
      </c>
      <c r="C432" s="2">
        <v>47</v>
      </c>
      <c r="D432" s="2">
        <v>1</v>
      </c>
      <c r="E432" s="2">
        <v>23</v>
      </c>
      <c r="G432" s="2">
        <v>1</v>
      </c>
      <c r="H432" s="2">
        <v>4</v>
      </c>
      <c r="I432" s="2">
        <v>13182038</v>
      </c>
      <c r="J432" s="2" t="s">
        <v>231</v>
      </c>
      <c r="K432" s="2" t="s">
        <v>529</v>
      </c>
      <c r="L432" s="2" t="str">
        <f>"63445040403002"</f>
        <v>63445040403002</v>
      </c>
      <c r="M432" s="2" t="s">
        <v>2</v>
      </c>
      <c r="N432" s="18">
        <v>31155</v>
      </c>
      <c r="O432" s="2">
        <v>15</v>
      </c>
    </row>
    <row r="433" spans="1:15" s="2" customFormat="1" x14ac:dyDescent="0.25">
      <c r="A433" s="2">
        <v>433</v>
      </c>
      <c r="B433" s="2">
        <v>1</v>
      </c>
      <c r="C433" s="2">
        <v>47</v>
      </c>
      <c r="D433" s="2">
        <v>1</v>
      </c>
      <c r="E433" s="2">
        <v>20</v>
      </c>
      <c r="G433" s="2">
        <v>1</v>
      </c>
      <c r="H433" s="2">
        <v>4</v>
      </c>
      <c r="I433" s="2">
        <v>13182039</v>
      </c>
      <c r="J433" s="2" t="s">
        <v>231</v>
      </c>
      <c r="K433" s="20" t="s">
        <v>530</v>
      </c>
      <c r="L433" s="2" t="str">
        <f>"63445040403003"</f>
        <v>63445040403003</v>
      </c>
      <c r="M433" s="2" t="s">
        <v>2</v>
      </c>
      <c r="N433" s="18">
        <v>31156</v>
      </c>
      <c r="O433" s="2">
        <v>84</v>
      </c>
    </row>
    <row r="434" spans="1:15" s="2" customFormat="1" x14ac:dyDescent="0.25">
      <c r="A434" s="2">
        <v>434</v>
      </c>
      <c r="B434" s="2">
        <v>1</v>
      </c>
      <c r="C434" s="2">
        <v>47</v>
      </c>
      <c r="D434" s="2">
        <v>1</v>
      </c>
      <c r="E434" s="2">
        <v>20</v>
      </c>
      <c r="G434" s="2">
        <v>1</v>
      </c>
      <c r="H434" s="2">
        <v>4</v>
      </c>
      <c r="I434" s="2">
        <v>13182040</v>
      </c>
      <c r="J434" s="2" t="s">
        <v>231</v>
      </c>
      <c r="K434" s="20" t="s">
        <v>530</v>
      </c>
      <c r="L434" s="2" t="str">
        <f>"63445040403004"</f>
        <v>63445040403004</v>
      </c>
      <c r="M434" s="2" t="s">
        <v>2</v>
      </c>
      <c r="N434" s="18">
        <v>31157</v>
      </c>
      <c r="O434" s="2">
        <v>84</v>
      </c>
    </row>
    <row r="435" spans="1:15" s="2" customFormat="1" x14ac:dyDescent="0.25">
      <c r="A435" s="2">
        <v>435</v>
      </c>
      <c r="B435" s="2">
        <v>2</v>
      </c>
      <c r="C435" s="2">
        <v>76</v>
      </c>
      <c r="D435" s="2">
        <v>2</v>
      </c>
      <c r="E435" s="2">
        <v>1</v>
      </c>
      <c r="G435" s="2">
        <v>1</v>
      </c>
      <c r="H435" s="2">
        <v>39</v>
      </c>
      <c r="I435" s="2">
        <v>13182047</v>
      </c>
      <c r="J435" s="2" t="s">
        <v>232</v>
      </c>
      <c r="K435" s="2" t="s">
        <v>350</v>
      </c>
      <c r="L435" s="2" t="str">
        <f>"63445040407001"</f>
        <v>63445040407001</v>
      </c>
      <c r="M435" s="2" t="s">
        <v>2</v>
      </c>
      <c r="N435" s="18">
        <v>31158</v>
      </c>
      <c r="O435" s="2" t="s">
        <v>531</v>
      </c>
    </row>
    <row r="436" spans="1:15" s="2" customFormat="1" x14ac:dyDescent="0.25">
      <c r="A436" s="2">
        <v>436</v>
      </c>
      <c r="B436" s="2">
        <v>1</v>
      </c>
      <c r="C436" s="2">
        <v>38</v>
      </c>
      <c r="D436" s="2">
        <v>1</v>
      </c>
      <c r="E436" s="2">
        <v>2</v>
      </c>
      <c r="G436" s="2">
        <v>1</v>
      </c>
      <c r="H436" s="2">
        <v>4</v>
      </c>
      <c r="I436" s="2">
        <v>13182048</v>
      </c>
      <c r="J436" s="2" t="s">
        <v>233</v>
      </c>
      <c r="K436" s="2" t="s">
        <v>350</v>
      </c>
      <c r="L436" s="2" t="str">
        <f>"63445040408001"</f>
        <v>63445040408001</v>
      </c>
      <c r="M436" s="2" t="s">
        <v>2</v>
      </c>
      <c r="N436" s="18">
        <v>31159</v>
      </c>
      <c r="O436" s="2">
        <v>18</v>
      </c>
    </row>
    <row r="437" spans="1:15" s="2" customFormat="1" x14ac:dyDescent="0.25">
      <c r="A437" s="2">
        <v>437</v>
      </c>
      <c r="B437" s="2">
        <v>1</v>
      </c>
      <c r="C437" s="2">
        <v>76</v>
      </c>
      <c r="D437" s="2">
        <v>2</v>
      </c>
      <c r="E437" s="2">
        <v>5</v>
      </c>
      <c r="G437" s="2">
        <v>1</v>
      </c>
      <c r="H437" s="2">
        <v>4</v>
      </c>
      <c r="I437" s="2">
        <v>13460206</v>
      </c>
      <c r="J437" s="2" t="s">
        <v>234</v>
      </c>
      <c r="K437" s="2" t="s">
        <v>350</v>
      </c>
      <c r="L437" s="2" t="str">
        <f>"63445060103002"</f>
        <v>63445060103002</v>
      </c>
      <c r="M437" s="2" t="s">
        <v>2</v>
      </c>
      <c r="N437" s="18">
        <v>31160</v>
      </c>
      <c r="O437" s="2" t="s">
        <v>532</v>
      </c>
    </row>
    <row r="438" spans="1:15" s="2" customFormat="1" x14ac:dyDescent="0.25">
      <c r="A438" s="2">
        <v>438</v>
      </c>
      <c r="B438" s="2">
        <v>1</v>
      </c>
      <c r="C438" s="2">
        <v>76</v>
      </c>
      <c r="D438" s="2">
        <v>1</v>
      </c>
      <c r="E438" s="2">
        <v>5</v>
      </c>
      <c r="G438" s="2">
        <v>1</v>
      </c>
      <c r="H438" s="2">
        <v>4</v>
      </c>
      <c r="I438" s="2">
        <v>13460207</v>
      </c>
      <c r="J438" s="2" t="s">
        <v>234</v>
      </c>
      <c r="K438" s="2" t="s">
        <v>350</v>
      </c>
      <c r="L438" s="2" t="str">
        <f>"63445060103003"</f>
        <v>63445060103003</v>
      </c>
      <c r="M438" s="2" t="s">
        <v>2</v>
      </c>
      <c r="N438" s="18">
        <v>31161</v>
      </c>
      <c r="O438" s="2" t="s">
        <v>532</v>
      </c>
    </row>
    <row r="439" spans="1:15" s="2" customFormat="1" x14ac:dyDescent="0.25">
      <c r="A439" s="2">
        <v>439</v>
      </c>
      <c r="B439" s="2">
        <v>1</v>
      </c>
      <c r="C439" s="2">
        <v>76</v>
      </c>
      <c r="D439" s="2">
        <v>1</v>
      </c>
      <c r="E439" s="2">
        <v>5</v>
      </c>
      <c r="G439" s="2">
        <v>1</v>
      </c>
      <c r="H439" s="2">
        <v>4</v>
      </c>
      <c r="I439" s="2">
        <v>13460208</v>
      </c>
      <c r="J439" s="2" t="s">
        <v>234</v>
      </c>
      <c r="K439" s="2" t="s">
        <v>350</v>
      </c>
      <c r="L439" s="2" t="str">
        <f>"63445060103004"</f>
        <v>63445060103004</v>
      </c>
      <c r="M439" s="2" t="s">
        <v>2</v>
      </c>
      <c r="N439" s="18">
        <v>31162</v>
      </c>
      <c r="O439" s="2" t="s">
        <v>533</v>
      </c>
    </row>
    <row r="440" spans="1:15" s="2" customFormat="1" x14ac:dyDescent="0.25">
      <c r="A440" s="2">
        <v>440</v>
      </c>
      <c r="B440" s="2">
        <v>1</v>
      </c>
      <c r="C440" s="2">
        <v>76</v>
      </c>
      <c r="D440" s="2">
        <v>2</v>
      </c>
      <c r="E440" s="2">
        <v>5</v>
      </c>
      <c r="G440" s="2">
        <v>1</v>
      </c>
      <c r="H440" s="2">
        <v>4</v>
      </c>
      <c r="I440" s="2">
        <v>13460209</v>
      </c>
      <c r="J440" s="2" t="s">
        <v>234</v>
      </c>
      <c r="K440" s="2" t="s">
        <v>350</v>
      </c>
      <c r="L440" s="2" t="str">
        <f>"63445060103005"</f>
        <v>63445060103005</v>
      </c>
      <c r="M440" s="2" t="s">
        <v>2</v>
      </c>
      <c r="N440" s="18">
        <v>31163</v>
      </c>
      <c r="O440" s="2" t="s">
        <v>534</v>
      </c>
    </row>
    <row r="441" spans="1:15" s="2" customFormat="1" x14ac:dyDescent="0.25">
      <c r="A441" s="2">
        <v>441</v>
      </c>
      <c r="B441" s="2">
        <v>1</v>
      </c>
      <c r="C441" s="2">
        <v>76</v>
      </c>
      <c r="D441" s="2">
        <v>2</v>
      </c>
      <c r="E441" s="2">
        <v>5</v>
      </c>
      <c r="G441" s="2">
        <v>1</v>
      </c>
      <c r="H441" s="2">
        <v>4</v>
      </c>
      <c r="I441" s="2">
        <v>13460210</v>
      </c>
      <c r="J441" s="2" t="s">
        <v>234</v>
      </c>
      <c r="K441" s="2" t="s">
        <v>350</v>
      </c>
      <c r="L441" s="2" t="str">
        <f>"63445060103006"</f>
        <v>63445060103006</v>
      </c>
      <c r="M441" s="2" t="s">
        <v>2</v>
      </c>
      <c r="N441" s="18">
        <v>31164</v>
      </c>
      <c r="O441" s="2" t="s">
        <v>534</v>
      </c>
    </row>
    <row r="442" spans="1:15" s="2" customFormat="1" x14ac:dyDescent="0.25">
      <c r="A442" s="2">
        <v>442</v>
      </c>
      <c r="B442" s="2">
        <v>1</v>
      </c>
      <c r="C442" s="2">
        <v>76</v>
      </c>
      <c r="D442" s="2">
        <v>1</v>
      </c>
      <c r="E442" s="2">
        <v>5</v>
      </c>
      <c r="G442" s="2">
        <v>1</v>
      </c>
      <c r="H442" s="2">
        <v>4</v>
      </c>
      <c r="I442" s="2">
        <v>13460211</v>
      </c>
      <c r="J442" s="2" t="s">
        <v>234</v>
      </c>
      <c r="K442" s="2" t="s">
        <v>350</v>
      </c>
      <c r="L442" s="2" t="str">
        <f>"63445060103007"</f>
        <v>63445060103007</v>
      </c>
      <c r="M442" s="2" t="s">
        <v>2</v>
      </c>
      <c r="N442" s="18">
        <v>31165</v>
      </c>
      <c r="O442" s="2" t="s">
        <v>534</v>
      </c>
    </row>
    <row r="443" spans="1:15" s="2" customFormat="1" x14ac:dyDescent="0.25">
      <c r="A443" s="2">
        <v>443</v>
      </c>
      <c r="B443" s="2">
        <v>1</v>
      </c>
      <c r="C443" s="2">
        <v>76</v>
      </c>
      <c r="D443" s="2">
        <v>2</v>
      </c>
      <c r="E443" s="2">
        <v>20</v>
      </c>
      <c r="G443" s="2">
        <v>1</v>
      </c>
      <c r="H443" s="2">
        <v>4</v>
      </c>
      <c r="I443" s="2">
        <v>13460212</v>
      </c>
      <c r="J443" s="2" t="s">
        <v>234</v>
      </c>
      <c r="K443" s="2" t="s">
        <v>350</v>
      </c>
      <c r="L443" s="2" t="str">
        <f>"63445060103008"</f>
        <v>63445060103008</v>
      </c>
      <c r="M443" s="2" t="s">
        <v>2</v>
      </c>
      <c r="N443" s="18">
        <v>31166</v>
      </c>
      <c r="O443" s="2">
        <v>30</v>
      </c>
    </row>
    <row r="444" spans="1:15" s="2" customFormat="1" x14ac:dyDescent="0.25">
      <c r="A444" s="2">
        <v>444</v>
      </c>
      <c r="B444" s="2">
        <v>1</v>
      </c>
      <c r="C444" s="2">
        <v>76</v>
      </c>
      <c r="D444" s="2">
        <v>2</v>
      </c>
      <c r="E444" s="2">
        <v>20</v>
      </c>
      <c r="G444" s="2">
        <v>1</v>
      </c>
      <c r="H444" s="2">
        <v>4</v>
      </c>
      <c r="I444" s="2">
        <v>13460213</v>
      </c>
      <c r="J444" s="2" t="s">
        <v>234</v>
      </c>
      <c r="K444" s="2" t="s">
        <v>350</v>
      </c>
      <c r="L444" s="2" t="str">
        <f>"63445060103009"</f>
        <v>63445060103009</v>
      </c>
      <c r="M444" s="2" t="s">
        <v>2</v>
      </c>
      <c r="N444" s="18">
        <v>31167</v>
      </c>
      <c r="O444" s="2">
        <v>30</v>
      </c>
    </row>
    <row r="445" spans="1:15" s="2" customFormat="1" x14ac:dyDescent="0.25">
      <c r="A445" s="2">
        <v>445</v>
      </c>
      <c r="B445" s="2">
        <v>1</v>
      </c>
      <c r="C445" s="2">
        <v>76</v>
      </c>
      <c r="D445" s="2">
        <v>1</v>
      </c>
      <c r="E445" s="2">
        <v>20</v>
      </c>
      <c r="G445" s="2">
        <v>1</v>
      </c>
      <c r="H445" s="2">
        <v>4</v>
      </c>
      <c r="I445" s="2">
        <v>13460214</v>
      </c>
      <c r="J445" s="2" t="s">
        <v>234</v>
      </c>
      <c r="K445" s="2" t="s">
        <v>350</v>
      </c>
      <c r="L445" s="2" t="str">
        <f>"63445060103010"</f>
        <v>63445060103010</v>
      </c>
      <c r="M445" s="2" t="s">
        <v>2</v>
      </c>
      <c r="N445" s="18">
        <v>31168</v>
      </c>
      <c r="O445" s="2">
        <v>30</v>
      </c>
    </row>
    <row r="446" spans="1:15" s="2" customFormat="1" x14ac:dyDescent="0.25">
      <c r="A446" s="2">
        <v>446</v>
      </c>
      <c r="B446" s="2">
        <v>1</v>
      </c>
      <c r="C446" s="2">
        <v>76</v>
      </c>
      <c r="D446" s="2">
        <v>2</v>
      </c>
      <c r="E446" s="2">
        <v>26</v>
      </c>
      <c r="G446" s="2">
        <v>1</v>
      </c>
      <c r="H446" s="2">
        <v>4</v>
      </c>
      <c r="I446" s="2">
        <v>13460215</v>
      </c>
      <c r="J446" s="2" t="s">
        <v>234</v>
      </c>
      <c r="K446" s="2" t="s">
        <v>350</v>
      </c>
      <c r="L446" s="2" t="str">
        <f>"63445060103011"</f>
        <v>63445060103011</v>
      </c>
      <c r="M446" s="2" t="s">
        <v>2</v>
      </c>
      <c r="N446" s="18">
        <v>31169</v>
      </c>
      <c r="O446" s="2" t="s">
        <v>535</v>
      </c>
    </row>
    <row r="447" spans="1:15" s="2" customFormat="1" x14ac:dyDescent="0.25">
      <c r="A447" s="2">
        <v>447</v>
      </c>
      <c r="B447" s="2">
        <v>1</v>
      </c>
      <c r="C447" s="2">
        <v>76</v>
      </c>
      <c r="D447" s="2">
        <v>1</v>
      </c>
      <c r="E447" s="2">
        <v>26</v>
      </c>
      <c r="G447" s="2">
        <v>1</v>
      </c>
      <c r="H447" s="2">
        <v>4</v>
      </c>
      <c r="I447" s="2">
        <v>13460216</v>
      </c>
      <c r="J447" s="2" t="s">
        <v>234</v>
      </c>
      <c r="K447" s="2" t="s">
        <v>350</v>
      </c>
      <c r="L447" s="2" t="str">
        <f>"63445060103012"</f>
        <v>63445060103012</v>
      </c>
      <c r="M447" s="2" t="s">
        <v>2</v>
      </c>
      <c r="N447" s="18">
        <v>31170</v>
      </c>
      <c r="O447" s="2" t="s">
        <v>535</v>
      </c>
    </row>
    <row r="448" spans="1:15" s="2" customFormat="1" x14ac:dyDescent="0.25">
      <c r="A448" s="2">
        <v>448</v>
      </c>
      <c r="B448" s="2">
        <v>1</v>
      </c>
      <c r="C448" s="2">
        <v>76</v>
      </c>
      <c r="D448" s="2">
        <v>2</v>
      </c>
      <c r="E448" s="2">
        <v>26</v>
      </c>
      <c r="G448" s="2">
        <v>1</v>
      </c>
      <c r="H448" s="2">
        <v>4</v>
      </c>
      <c r="I448" s="2">
        <v>13460217</v>
      </c>
      <c r="J448" s="2" t="s">
        <v>234</v>
      </c>
      <c r="K448" s="2" t="s">
        <v>350</v>
      </c>
      <c r="L448" s="2" t="str">
        <f>"63445060103013"</f>
        <v>63445060103013</v>
      </c>
      <c r="M448" s="2" t="s">
        <v>2</v>
      </c>
      <c r="N448" s="18">
        <v>31171</v>
      </c>
      <c r="O448" s="2" t="s">
        <v>535</v>
      </c>
    </row>
    <row r="449" spans="1:15" s="2" customFormat="1" x14ac:dyDescent="0.25">
      <c r="A449" s="2">
        <v>449</v>
      </c>
      <c r="B449" s="2">
        <v>1</v>
      </c>
      <c r="C449" s="2">
        <v>83</v>
      </c>
      <c r="D449" s="2">
        <v>1</v>
      </c>
      <c r="E449" s="2">
        <v>9</v>
      </c>
      <c r="G449" s="2">
        <v>1</v>
      </c>
      <c r="H449" s="2">
        <v>4</v>
      </c>
      <c r="I449" s="2">
        <v>13460218</v>
      </c>
      <c r="J449" s="2" t="s">
        <v>235</v>
      </c>
      <c r="K449" s="2" t="s">
        <v>536</v>
      </c>
      <c r="L449" s="2" t="str">
        <f>"63445060106001"</f>
        <v>63445060106001</v>
      </c>
      <c r="M449" s="2" t="s">
        <v>2</v>
      </c>
      <c r="N449" s="18">
        <v>31172</v>
      </c>
      <c r="O449" s="2">
        <v>45</v>
      </c>
    </row>
    <row r="450" spans="1:15" s="2" customFormat="1" x14ac:dyDescent="0.25">
      <c r="A450" s="2">
        <v>450</v>
      </c>
      <c r="B450" s="2">
        <v>1</v>
      </c>
      <c r="C450" s="2">
        <v>76</v>
      </c>
      <c r="D450" s="2">
        <v>1</v>
      </c>
      <c r="E450" s="2">
        <v>1</v>
      </c>
      <c r="G450" s="2">
        <v>1</v>
      </c>
      <c r="H450" s="2">
        <v>4</v>
      </c>
      <c r="I450" s="2">
        <v>13460219</v>
      </c>
      <c r="J450" s="2" t="s">
        <v>236</v>
      </c>
      <c r="K450" s="2" t="s">
        <v>350</v>
      </c>
      <c r="L450" s="2" t="str">
        <f>"63445060107001"</f>
        <v>63445060107001</v>
      </c>
      <c r="M450" s="2" t="s">
        <v>2</v>
      </c>
      <c r="N450" s="18">
        <v>31173</v>
      </c>
      <c r="O450" s="2" t="s">
        <v>537</v>
      </c>
    </row>
    <row r="451" spans="1:15" s="2" customFormat="1" x14ac:dyDescent="0.25">
      <c r="A451" s="2">
        <v>451</v>
      </c>
      <c r="B451" s="2">
        <v>2</v>
      </c>
      <c r="C451" s="2">
        <v>76</v>
      </c>
      <c r="D451" s="2">
        <v>2</v>
      </c>
      <c r="E451" s="2">
        <v>22</v>
      </c>
      <c r="G451" s="2">
        <v>1</v>
      </c>
      <c r="H451" s="2">
        <v>39</v>
      </c>
      <c r="I451" s="2">
        <v>13460221</v>
      </c>
      <c r="J451" s="2" t="s">
        <v>237</v>
      </c>
      <c r="K451" s="2" t="s">
        <v>350</v>
      </c>
      <c r="L451" s="2" t="str">
        <f>"63445060109001"</f>
        <v>63445060109001</v>
      </c>
      <c r="M451" s="2" t="s">
        <v>2</v>
      </c>
      <c r="N451" s="18">
        <v>31174</v>
      </c>
      <c r="O451" s="2">
        <v>60</v>
      </c>
    </row>
    <row r="452" spans="1:15" s="2" customFormat="1" x14ac:dyDescent="0.25">
      <c r="A452" s="2">
        <v>452</v>
      </c>
      <c r="B452" s="2">
        <v>1</v>
      </c>
      <c r="C452" s="2">
        <v>76</v>
      </c>
      <c r="D452" s="2">
        <v>1</v>
      </c>
      <c r="E452" s="2">
        <v>21</v>
      </c>
      <c r="G452" s="2">
        <v>1</v>
      </c>
      <c r="H452" s="2">
        <v>4</v>
      </c>
      <c r="I452" s="2">
        <v>7602814</v>
      </c>
      <c r="J452" s="2" t="s">
        <v>238</v>
      </c>
      <c r="K452" s="2" t="s">
        <v>538</v>
      </c>
      <c r="L452" s="2" t="str">
        <f>"1078990 29302140"</f>
        <v>1078990 29302140</v>
      </c>
      <c r="M452" s="2" t="s">
        <v>2</v>
      </c>
      <c r="N452" s="18">
        <v>31175</v>
      </c>
      <c r="O452" s="2">
        <v>250</v>
      </c>
    </row>
    <row r="453" spans="1:15" s="2" customFormat="1" x14ac:dyDescent="0.25">
      <c r="A453" s="2">
        <v>453</v>
      </c>
      <c r="B453" s="2">
        <v>1</v>
      </c>
      <c r="C453" s="2">
        <v>65</v>
      </c>
      <c r="D453" s="2">
        <v>1</v>
      </c>
      <c r="E453" s="2">
        <v>5</v>
      </c>
      <c r="G453" s="2">
        <v>1</v>
      </c>
      <c r="H453" s="2">
        <v>4</v>
      </c>
      <c r="I453" s="2">
        <v>7602815</v>
      </c>
      <c r="J453" s="2" t="s">
        <v>239</v>
      </c>
      <c r="K453" s="2" t="s">
        <v>350</v>
      </c>
      <c r="L453" s="2" t="str">
        <f>"14101040401003"</f>
        <v>14101040401003</v>
      </c>
      <c r="M453" s="2" t="s">
        <v>2</v>
      </c>
      <c r="N453" s="18">
        <v>31176</v>
      </c>
      <c r="O453" s="2">
        <v>280</v>
      </c>
    </row>
    <row r="454" spans="1:15" s="2" customFormat="1" x14ac:dyDescent="0.25">
      <c r="A454" s="2">
        <v>454</v>
      </c>
      <c r="B454" s="2">
        <v>1</v>
      </c>
      <c r="C454" s="2">
        <v>42</v>
      </c>
      <c r="D454" s="2">
        <v>1</v>
      </c>
      <c r="E454" s="2">
        <v>20</v>
      </c>
      <c r="G454" s="2">
        <v>1</v>
      </c>
      <c r="H454" s="2">
        <v>4</v>
      </c>
      <c r="I454" s="2">
        <v>6794403</v>
      </c>
      <c r="J454" s="2" t="s">
        <v>145</v>
      </c>
      <c r="K454" s="2" t="s">
        <v>539</v>
      </c>
      <c r="L454" s="2" t="str">
        <f>"MXL2151DHD"</f>
        <v>MXL2151DHD</v>
      </c>
      <c r="M454" s="2" t="s">
        <v>2</v>
      </c>
      <c r="N454" s="18">
        <v>31177</v>
      </c>
      <c r="O454" s="2" t="s">
        <v>540</v>
      </c>
    </row>
    <row r="455" spans="1:15" s="2" customFormat="1" x14ac:dyDescent="0.25">
      <c r="A455" s="2">
        <v>455</v>
      </c>
      <c r="B455" s="2">
        <v>1</v>
      </c>
      <c r="C455" s="2">
        <v>42</v>
      </c>
      <c r="D455" s="2">
        <v>1</v>
      </c>
      <c r="E455" s="2">
        <v>20</v>
      </c>
      <c r="G455" s="2">
        <v>1</v>
      </c>
      <c r="H455" s="2">
        <v>4</v>
      </c>
      <c r="I455" s="2">
        <v>6794404</v>
      </c>
      <c r="J455" s="2" t="s">
        <v>145</v>
      </c>
      <c r="K455" s="2" t="s">
        <v>539</v>
      </c>
      <c r="L455" s="2" t="str">
        <f>"MXL2151DH1"</f>
        <v>MXL2151DH1</v>
      </c>
      <c r="M455" s="2" t="s">
        <v>2</v>
      </c>
      <c r="N455" s="18">
        <v>31178</v>
      </c>
      <c r="O455" s="2" t="s">
        <v>540</v>
      </c>
    </row>
    <row r="456" spans="1:15" s="2" customFormat="1" x14ac:dyDescent="0.25">
      <c r="A456" s="2">
        <v>456</v>
      </c>
      <c r="B456" s="2">
        <v>1</v>
      </c>
      <c r="C456" s="2">
        <v>42</v>
      </c>
      <c r="D456" s="2">
        <v>1</v>
      </c>
      <c r="E456" s="2">
        <v>20</v>
      </c>
      <c r="G456" s="2">
        <v>1</v>
      </c>
      <c r="H456" s="2">
        <v>4</v>
      </c>
      <c r="I456" s="2">
        <v>6794405</v>
      </c>
      <c r="J456" s="2" t="s">
        <v>145</v>
      </c>
      <c r="K456" s="2" t="s">
        <v>539</v>
      </c>
      <c r="L456" s="2" t="str">
        <f>"MXL2151DH2"</f>
        <v>MXL2151DH2</v>
      </c>
      <c r="M456" s="2" t="s">
        <v>2</v>
      </c>
      <c r="N456" s="18">
        <v>31179</v>
      </c>
      <c r="O456" s="2" t="s">
        <v>540</v>
      </c>
    </row>
    <row r="457" spans="1:15" s="2" customFormat="1" x14ac:dyDescent="0.25">
      <c r="A457" s="2">
        <v>457</v>
      </c>
      <c r="B457" s="2">
        <v>1</v>
      </c>
      <c r="C457" s="2">
        <v>42</v>
      </c>
      <c r="D457" s="2">
        <v>1</v>
      </c>
      <c r="E457" s="2">
        <v>20</v>
      </c>
      <c r="G457" s="2">
        <v>1</v>
      </c>
      <c r="H457" s="2">
        <v>4</v>
      </c>
      <c r="I457" s="2">
        <v>6794406</v>
      </c>
      <c r="J457" s="2" t="s">
        <v>145</v>
      </c>
      <c r="K457" s="2" t="s">
        <v>539</v>
      </c>
      <c r="L457" s="2" t="str">
        <f>"MXL2151DH3"</f>
        <v>MXL2151DH3</v>
      </c>
      <c r="M457" s="2" t="s">
        <v>2</v>
      </c>
      <c r="N457" s="18">
        <v>31180</v>
      </c>
      <c r="O457" s="2" t="s">
        <v>540</v>
      </c>
    </row>
    <row r="458" spans="1:15" s="2" customFormat="1" x14ac:dyDescent="0.25">
      <c r="A458" s="2">
        <v>458</v>
      </c>
      <c r="B458" s="2">
        <v>1</v>
      </c>
      <c r="C458" s="2">
        <v>74</v>
      </c>
      <c r="D458" s="2">
        <v>1</v>
      </c>
      <c r="E458" s="2">
        <v>20</v>
      </c>
      <c r="G458" s="2">
        <v>1</v>
      </c>
      <c r="H458" s="2">
        <v>4</v>
      </c>
      <c r="I458" s="2">
        <v>6794463</v>
      </c>
      <c r="J458" s="2" t="s">
        <v>192</v>
      </c>
      <c r="K458" s="2" t="s">
        <v>541</v>
      </c>
      <c r="L458" s="2" t="str">
        <f>"Z5NIBKBB701698P"</f>
        <v>Z5NIBKBB701698P</v>
      </c>
      <c r="M458" s="2" t="s">
        <v>2</v>
      </c>
      <c r="N458" s="18">
        <v>31181</v>
      </c>
      <c r="O458" s="2">
        <v>100</v>
      </c>
    </row>
    <row r="459" spans="1:15" s="2" customFormat="1" x14ac:dyDescent="0.25">
      <c r="A459" s="2">
        <v>459</v>
      </c>
      <c r="B459" s="2">
        <v>1</v>
      </c>
      <c r="C459" s="2">
        <v>74</v>
      </c>
      <c r="D459" s="2">
        <v>1</v>
      </c>
      <c r="E459" s="2">
        <v>20</v>
      </c>
      <c r="G459" s="2">
        <v>1</v>
      </c>
      <c r="H459" s="2">
        <v>4</v>
      </c>
      <c r="I459" s="2">
        <v>6794464</v>
      </c>
      <c r="J459" s="2" t="s">
        <v>192</v>
      </c>
      <c r="K459" s="2" t="s">
        <v>541</v>
      </c>
      <c r="L459" s="2" t="str">
        <f>"Z5NIBKBB701618F"</f>
        <v>Z5NIBKBB701618F</v>
      </c>
      <c r="M459" s="2" t="s">
        <v>2</v>
      </c>
      <c r="N459" s="18">
        <v>31182</v>
      </c>
      <c r="O459" s="2">
        <v>100</v>
      </c>
    </row>
    <row r="460" spans="1:15" s="2" customFormat="1" x14ac:dyDescent="0.25">
      <c r="A460" s="2">
        <v>460</v>
      </c>
      <c r="B460" s="2">
        <v>1</v>
      </c>
      <c r="C460" s="2">
        <v>74</v>
      </c>
      <c r="D460" s="2">
        <v>1</v>
      </c>
      <c r="E460" s="2">
        <v>20</v>
      </c>
      <c r="G460" s="2">
        <v>1</v>
      </c>
      <c r="H460" s="2">
        <v>4</v>
      </c>
      <c r="I460" s="2">
        <v>6794465</v>
      </c>
      <c r="J460" s="2" t="s">
        <v>192</v>
      </c>
      <c r="K460" s="2" t="s">
        <v>541</v>
      </c>
      <c r="L460" s="2" t="str">
        <f>"Z5NIBKBB701973V"</f>
        <v>Z5NIBKBB701973V</v>
      </c>
      <c r="M460" s="2" t="s">
        <v>2</v>
      </c>
      <c r="N460" s="18">
        <v>31183</v>
      </c>
      <c r="O460" s="2">
        <v>100</v>
      </c>
    </row>
    <row r="461" spans="1:15" s="2" customFormat="1" x14ac:dyDescent="0.25">
      <c r="A461" s="2">
        <v>461</v>
      </c>
      <c r="B461" s="2">
        <v>1</v>
      </c>
      <c r="C461" s="2">
        <v>74</v>
      </c>
      <c r="D461" s="2">
        <v>1</v>
      </c>
      <c r="E461" s="2">
        <v>20</v>
      </c>
      <c r="G461" s="2">
        <v>1</v>
      </c>
      <c r="H461" s="2">
        <v>4</v>
      </c>
      <c r="I461" s="2">
        <v>6794466</v>
      </c>
      <c r="J461" s="2" t="s">
        <v>192</v>
      </c>
      <c r="K461" s="2" t="s">
        <v>541</v>
      </c>
      <c r="L461" s="2" t="str">
        <f>"Z5NIBKBB701565M"</f>
        <v>Z5NIBKBB701565M</v>
      </c>
      <c r="M461" s="2" t="s">
        <v>2</v>
      </c>
      <c r="N461" s="18">
        <v>31184</v>
      </c>
      <c r="O461" s="2">
        <v>100</v>
      </c>
    </row>
    <row r="462" spans="1:15" s="2" customFormat="1" x14ac:dyDescent="0.25">
      <c r="A462" s="2">
        <v>462</v>
      </c>
      <c r="B462" s="2">
        <v>1</v>
      </c>
      <c r="C462" s="2">
        <v>74</v>
      </c>
      <c r="D462" s="2">
        <v>1</v>
      </c>
      <c r="E462" s="2">
        <v>20</v>
      </c>
      <c r="G462" s="2">
        <v>1</v>
      </c>
      <c r="H462" s="2">
        <v>4</v>
      </c>
      <c r="I462" s="2">
        <v>6794467</v>
      </c>
      <c r="J462" s="2" t="s">
        <v>192</v>
      </c>
      <c r="K462" s="2" t="s">
        <v>541</v>
      </c>
      <c r="L462" s="2" t="str">
        <f>"Z5NIBKBB701349R"</f>
        <v>Z5NIBKBB701349R</v>
      </c>
      <c r="M462" s="2" t="s">
        <v>2</v>
      </c>
      <c r="N462" s="18">
        <v>31185</v>
      </c>
      <c r="O462" s="2">
        <v>100</v>
      </c>
    </row>
    <row r="463" spans="1:15" s="2" customFormat="1" x14ac:dyDescent="0.25">
      <c r="A463" s="2">
        <v>463</v>
      </c>
      <c r="B463" s="2">
        <v>1</v>
      </c>
      <c r="C463" s="2">
        <v>74</v>
      </c>
      <c r="D463" s="2">
        <v>1</v>
      </c>
      <c r="E463" s="2">
        <v>20</v>
      </c>
      <c r="G463" s="2">
        <v>1</v>
      </c>
      <c r="H463" s="2">
        <v>4</v>
      </c>
      <c r="I463" s="2">
        <v>6794468</v>
      </c>
      <c r="J463" s="2" t="s">
        <v>192</v>
      </c>
      <c r="K463" s="2" t="s">
        <v>541</v>
      </c>
      <c r="L463" s="2" t="str">
        <f>"Z5NIBKBB701390D"</f>
        <v>Z5NIBKBB701390D</v>
      </c>
      <c r="M463" s="2" t="s">
        <v>2</v>
      </c>
      <c r="N463" s="18">
        <v>31186</v>
      </c>
      <c r="O463" s="2">
        <v>100</v>
      </c>
    </row>
    <row r="464" spans="1:15" s="2" customFormat="1" x14ac:dyDescent="0.25">
      <c r="A464" s="2">
        <v>464</v>
      </c>
      <c r="B464" s="2">
        <v>1</v>
      </c>
      <c r="C464" s="2">
        <v>74</v>
      </c>
      <c r="D464" s="2">
        <v>1</v>
      </c>
      <c r="E464" s="2">
        <v>20</v>
      </c>
      <c r="G464" s="2">
        <v>1</v>
      </c>
      <c r="H464" s="2">
        <v>4</v>
      </c>
      <c r="I464" s="2">
        <v>6794470</v>
      </c>
      <c r="J464" s="2" t="s">
        <v>192</v>
      </c>
      <c r="K464" s="2" t="s">
        <v>541</v>
      </c>
      <c r="L464" s="2" t="str">
        <f>"Z5NIBKBB701759W"</f>
        <v>Z5NIBKBB701759W</v>
      </c>
      <c r="M464" s="2" t="s">
        <v>2</v>
      </c>
      <c r="N464" s="18">
        <v>31187</v>
      </c>
      <c r="O464" s="2">
        <v>100</v>
      </c>
    </row>
    <row r="465" spans="1:15" s="2" customFormat="1" x14ac:dyDescent="0.25">
      <c r="A465" s="2">
        <v>465</v>
      </c>
      <c r="B465" s="2">
        <v>1</v>
      </c>
      <c r="C465" s="2">
        <v>74</v>
      </c>
      <c r="D465" s="2">
        <v>1</v>
      </c>
      <c r="E465" s="2">
        <v>20</v>
      </c>
      <c r="G465" s="2">
        <v>1</v>
      </c>
      <c r="H465" s="2">
        <v>4</v>
      </c>
      <c r="I465" s="2">
        <v>6794471</v>
      </c>
      <c r="J465" s="2" t="s">
        <v>192</v>
      </c>
      <c r="K465" s="2" t="s">
        <v>541</v>
      </c>
      <c r="L465" s="2" t="str">
        <f>"Z5NIBKBB701614D"</f>
        <v>Z5NIBKBB701614D</v>
      </c>
      <c r="M465" s="2" t="s">
        <v>2</v>
      </c>
      <c r="N465" s="18">
        <v>31188</v>
      </c>
      <c r="O465" s="2">
        <v>100</v>
      </c>
    </row>
    <row r="466" spans="1:15" s="2" customFormat="1" x14ac:dyDescent="0.25">
      <c r="A466" s="2">
        <v>466</v>
      </c>
      <c r="B466" s="2">
        <v>1</v>
      </c>
      <c r="C466" s="2">
        <v>50</v>
      </c>
      <c r="D466" s="2">
        <v>1</v>
      </c>
      <c r="E466" s="2">
        <v>20</v>
      </c>
      <c r="G466" s="2">
        <v>1</v>
      </c>
      <c r="H466" s="2">
        <v>4</v>
      </c>
      <c r="I466" s="2">
        <v>6794528</v>
      </c>
      <c r="J466" s="2" t="s">
        <v>195</v>
      </c>
      <c r="K466" s="2" t="s">
        <v>542</v>
      </c>
      <c r="L466" s="2" t="str">
        <f>"111NDHB3M289"</f>
        <v>111NDHB3M289</v>
      </c>
      <c r="M466" s="2" t="s">
        <v>2</v>
      </c>
      <c r="N466" s="18">
        <v>31189</v>
      </c>
      <c r="O466" s="2" t="s">
        <v>543</v>
      </c>
    </row>
    <row r="467" spans="1:15" s="2" customFormat="1" x14ac:dyDescent="0.25">
      <c r="A467" s="2">
        <v>467</v>
      </c>
      <c r="B467" s="2">
        <v>1</v>
      </c>
      <c r="C467" s="2">
        <v>50</v>
      </c>
      <c r="D467" s="2">
        <v>1</v>
      </c>
      <c r="E467" s="2">
        <v>20</v>
      </c>
      <c r="G467" s="2">
        <v>1</v>
      </c>
      <c r="H467" s="2">
        <v>4</v>
      </c>
      <c r="I467" s="2">
        <v>6794529</v>
      </c>
      <c r="J467" s="2" t="s">
        <v>195</v>
      </c>
      <c r="K467" s="2" t="s">
        <v>542</v>
      </c>
      <c r="L467" s="2" t="str">
        <f>"202NDXQ2C130"</f>
        <v>202NDXQ2C130</v>
      </c>
      <c r="M467" s="2" t="s">
        <v>2</v>
      </c>
      <c r="N467" s="18">
        <v>31190</v>
      </c>
      <c r="O467" s="2" t="s">
        <v>543</v>
      </c>
    </row>
    <row r="468" spans="1:15" s="2" customFormat="1" x14ac:dyDescent="0.25">
      <c r="A468" s="2">
        <v>468</v>
      </c>
      <c r="B468" s="2">
        <v>1</v>
      </c>
      <c r="C468" s="2">
        <v>42</v>
      </c>
      <c r="D468" s="2">
        <v>1</v>
      </c>
      <c r="E468" s="2">
        <v>20</v>
      </c>
      <c r="G468" s="2">
        <v>1</v>
      </c>
      <c r="H468" s="2">
        <v>4</v>
      </c>
      <c r="I468" s="2">
        <v>6794530</v>
      </c>
      <c r="J468" s="2" t="s">
        <v>195</v>
      </c>
      <c r="K468" s="2" t="s">
        <v>416</v>
      </c>
      <c r="L468" s="2" t="str">
        <f>"CNC834Q4BY"</f>
        <v>CNC834Q4BY</v>
      </c>
      <c r="M468" s="2" t="s">
        <v>2</v>
      </c>
      <c r="N468" s="18">
        <v>31191</v>
      </c>
      <c r="O468" s="2" t="s">
        <v>543</v>
      </c>
    </row>
    <row r="469" spans="1:15" s="2" customFormat="1" x14ac:dyDescent="0.25">
      <c r="A469" s="2">
        <v>469</v>
      </c>
      <c r="B469" s="2">
        <v>1</v>
      </c>
      <c r="C469" s="2">
        <v>42</v>
      </c>
      <c r="D469" s="2">
        <v>1</v>
      </c>
      <c r="E469" s="2">
        <v>20</v>
      </c>
      <c r="G469" s="2">
        <v>1</v>
      </c>
      <c r="H469" s="2">
        <v>4</v>
      </c>
      <c r="I469" s="2">
        <v>13382660</v>
      </c>
      <c r="J469" s="2" t="s">
        <v>198</v>
      </c>
      <c r="K469" s="2" t="s">
        <v>470</v>
      </c>
      <c r="L469" s="2" t="str">
        <f>"BAUDU0OVB2D79I"</f>
        <v>BAUDU0OVB2D79I</v>
      </c>
      <c r="M469" s="2" t="s">
        <v>2</v>
      </c>
      <c r="N469" s="18">
        <v>31192</v>
      </c>
      <c r="O469" s="2" t="s">
        <v>544</v>
      </c>
    </row>
    <row r="470" spans="1:15" s="2" customFormat="1" x14ac:dyDescent="0.25">
      <c r="A470" s="2">
        <v>470</v>
      </c>
      <c r="B470" s="2">
        <v>1</v>
      </c>
      <c r="C470" s="2">
        <v>42</v>
      </c>
      <c r="D470" s="2">
        <v>1</v>
      </c>
      <c r="E470" s="2">
        <v>20</v>
      </c>
      <c r="G470" s="2">
        <v>1</v>
      </c>
      <c r="H470" s="2">
        <v>4</v>
      </c>
      <c r="I470" s="2">
        <v>13382661</v>
      </c>
      <c r="J470" s="2" t="s">
        <v>198</v>
      </c>
      <c r="K470" s="2" t="s">
        <v>470</v>
      </c>
      <c r="L470" s="2" t="str">
        <f>"BAUDU0OVB2D7GH"</f>
        <v>BAUDU0OVB2D7GH</v>
      </c>
      <c r="M470" s="2" t="s">
        <v>2</v>
      </c>
      <c r="N470" s="18">
        <v>31193</v>
      </c>
      <c r="O470" s="2" t="s">
        <v>544</v>
      </c>
    </row>
    <row r="471" spans="1:15" s="2" customFormat="1" x14ac:dyDescent="0.25">
      <c r="A471" s="2">
        <v>471</v>
      </c>
      <c r="B471" s="2">
        <v>1</v>
      </c>
      <c r="C471" s="2">
        <v>42</v>
      </c>
      <c r="D471" s="2">
        <v>1</v>
      </c>
      <c r="E471" s="2">
        <v>20</v>
      </c>
      <c r="G471" s="2">
        <v>1</v>
      </c>
      <c r="H471" s="2">
        <v>4</v>
      </c>
      <c r="I471" s="2">
        <v>13382662</v>
      </c>
      <c r="J471" s="2" t="s">
        <v>198</v>
      </c>
      <c r="K471" s="2" t="s">
        <v>470</v>
      </c>
      <c r="L471" s="2" t="str">
        <f>"BAUDU0OVB2D79Q"</f>
        <v>BAUDU0OVB2D79Q</v>
      </c>
      <c r="M471" s="2" t="s">
        <v>2</v>
      </c>
      <c r="N471" s="18">
        <v>31194</v>
      </c>
      <c r="O471" s="2" t="s">
        <v>544</v>
      </c>
    </row>
    <row r="472" spans="1:15" s="2" customFormat="1" x14ac:dyDescent="0.25">
      <c r="A472" s="2">
        <v>472</v>
      </c>
      <c r="B472" s="2">
        <v>1</v>
      </c>
      <c r="C472" s="2">
        <v>42</v>
      </c>
      <c r="D472" s="2">
        <v>1</v>
      </c>
      <c r="E472" s="2">
        <v>20</v>
      </c>
      <c r="G472" s="2">
        <v>1</v>
      </c>
      <c r="H472" s="2">
        <v>4</v>
      </c>
      <c r="I472" s="2">
        <v>13382663</v>
      </c>
      <c r="J472" s="2" t="s">
        <v>198</v>
      </c>
      <c r="K472" s="2" t="s">
        <v>470</v>
      </c>
      <c r="L472" s="2" t="str">
        <f>"BAUDU0OVB2D79N"</f>
        <v>BAUDU0OVB2D79N</v>
      </c>
      <c r="M472" s="2" t="s">
        <v>2</v>
      </c>
      <c r="N472" s="18">
        <v>31195</v>
      </c>
      <c r="O472" s="2" t="s">
        <v>544</v>
      </c>
    </row>
    <row r="473" spans="1:15" s="2" customFormat="1" x14ac:dyDescent="0.25">
      <c r="A473" s="2">
        <v>473</v>
      </c>
      <c r="B473" s="2">
        <v>1</v>
      </c>
      <c r="C473" s="2">
        <v>42</v>
      </c>
      <c r="D473" s="2">
        <v>1</v>
      </c>
      <c r="E473" s="2">
        <v>20</v>
      </c>
      <c r="G473" s="2">
        <v>1</v>
      </c>
      <c r="H473" s="2">
        <v>4</v>
      </c>
      <c r="I473" s="2">
        <v>13382699</v>
      </c>
      <c r="J473" s="2" t="s">
        <v>197</v>
      </c>
      <c r="K473" s="2" t="s">
        <v>545</v>
      </c>
      <c r="L473" s="2" t="str">
        <f>"FCGLH0DCU1Z1ZN"</f>
        <v>FCGLH0DCU1Z1ZN</v>
      </c>
      <c r="M473" s="2" t="s">
        <v>2</v>
      </c>
      <c r="N473" s="18">
        <v>31196</v>
      </c>
      <c r="O473" s="2" t="s">
        <v>546</v>
      </c>
    </row>
    <row r="474" spans="1:15" s="2" customFormat="1" x14ac:dyDescent="0.25">
      <c r="A474" s="2">
        <v>474</v>
      </c>
      <c r="B474" s="2">
        <v>1</v>
      </c>
      <c r="C474" s="2">
        <v>42</v>
      </c>
      <c r="D474" s="2">
        <v>1</v>
      </c>
      <c r="E474" s="2">
        <v>20</v>
      </c>
      <c r="G474" s="2">
        <v>1</v>
      </c>
      <c r="H474" s="2">
        <v>4</v>
      </c>
      <c r="I474" s="2">
        <v>13382700</v>
      </c>
      <c r="J474" s="2" t="s">
        <v>197</v>
      </c>
      <c r="K474" s="2" t="s">
        <v>426</v>
      </c>
      <c r="L474" s="2" t="str">
        <f>"FCGLH0D9W2DWC1"</f>
        <v>FCGLH0D9W2DWC1</v>
      </c>
      <c r="M474" s="2" t="s">
        <v>2</v>
      </c>
      <c r="N474" s="18">
        <v>31197</v>
      </c>
      <c r="O474" s="2" t="s">
        <v>546</v>
      </c>
    </row>
    <row r="475" spans="1:15" s="2" customFormat="1" x14ac:dyDescent="0.25">
      <c r="A475" s="2">
        <v>475</v>
      </c>
      <c r="B475" s="2">
        <v>1</v>
      </c>
      <c r="C475" s="2">
        <v>42</v>
      </c>
      <c r="D475" s="2">
        <v>1</v>
      </c>
      <c r="E475" s="2">
        <v>20</v>
      </c>
      <c r="G475" s="2">
        <v>1</v>
      </c>
      <c r="H475" s="2">
        <v>4</v>
      </c>
      <c r="I475" s="2">
        <v>13382701</v>
      </c>
      <c r="J475" s="2" t="s">
        <v>197</v>
      </c>
      <c r="K475" s="2" t="s">
        <v>426</v>
      </c>
      <c r="L475" s="2" t="str">
        <f>"63445070104013"</f>
        <v>63445070104013</v>
      </c>
      <c r="M475" s="2" t="s">
        <v>2</v>
      </c>
      <c r="N475" s="18">
        <v>31198</v>
      </c>
      <c r="O475" s="2" t="s">
        <v>546</v>
      </c>
    </row>
    <row r="476" spans="1:15" s="2" customFormat="1" x14ac:dyDescent="0.25">
      <c r="A476" s="2">
        <v>476</v>
      </c>
      <c r="B476" s="2">
        <v>1</v>
      </c>
      <c r="C476" s="2">
        <v>42</v>
      </c>
      <c r="D476" s="2">
        <v>1</v>
      </c>
      <c r="E476" s="2">
        <v>20</v>
      </c>
      <c r="G476" s="2">
        <v>1</v>
      </c>
      <c r="H476" s="2">
        <v>4</v>
      </c>
      <c r="I476" s="2">
        <v>13382702</v>
      </c>
      <c r="J476" s="2" t="s">
        <v>197</v>
      </c>
      <c r="K476" s="2" t="s">
        <v>426</v>
      </c>
      <c r="L476" s="2" t="str">
        <f>"FCGLH0D9W2DWAK"</f>
        <v>FCGLH0D9W2DWAK</v>
      </c>
      <c r="M476" s="2" t="s">
        <v>2</v>
      </c>
      <c r="N476" s="18">
        <v>31199</v>
      </c>
      <c r="O476" s="2" t="s">
        <v>546</v>
      </c>
    </row>
    <row r="477" spans="1:15" s="2" customFormat="1" x14ac:dyDescent="0.25">
      <c r="A477" s="2">
        <v>477</v>
      </c>
      <c r="B477" s="2">
        <v>1</v>
      </c>
      <c r="C477" s="2">
        <v>78</v>
      </c>
      <c r="D477" s="2">
        <v>2</v>
      </c>
      <c r="E477" s="2">
        <v>20</v>
      </c>
      <c r="G477" s="2">
        <v>1</v>
      </c>
      <c r="H477" s="2">
        <v>4</v>
      </c>
      <c r="I477" s="2">
        <v>13382730</v>
      </c>
      <c r="J477" s="2" t="s">
        <v>209</v>
      </c>
      <c r="K477" s="2" t="s">
        <v>547</v>
      </c>
      <c r="L477" s="2" t="str">
        <f>"111120-0385"</f>
        <v>111120-0385</v>
      </c>
      <c r="M477" s="2" t="s">
        <v>2</v>
      </c>
      <c r="N477" s="18">
        <v>31200</v>
      </c>
      <c r="O477" s="2">
        <v>70</v>
      </c>
    </row>
    <row r="478" spans="1:15" s="2" customFormat="1" x14ac:dyDescent="0.25">
      <c r="A478" s="2">
        <v>478</v>
      </c>
      <c r="B478" s="2">
        <v>1</v>
      </c>
      <c r="C478" s="2">
        <v>33</v>
      </c>
      <c r="D478" s="2">
        <v>1</v>
      </c>
      <c r="E478" s="2">
        <v>20</v>
      </c>
      <c r="G478" s="2">
        <v>1</v>
      </c>
      <c r="H478" s="2">
        <v>4</v>
      </c>
      <c r="I478" s="2">
        <v>13382731</v>
      </c>
      <c r="J478" s="2" t="s">
        <v>209</v>
      </c>
      <c r="K478" s="2" t="s">
        <v>548</v>
      </c>
      <c r="L478" s="2" t="str">
        <f>"4112101470"</f>
        <v>4112101470</v>
      </c>
      <c r="M478" s="2" t="s">
        <v>2</v>
      </c>
      <c r="N478" s="18">
        <v>31201</v>
      </c>
      <c r="O478" s="2">
        <v>70</v>
      </c>
    </row>
    <row r="479" spans="1:15" s="2" customFormat="1" x14ac:dyDescent="0.25">
      <c r="A479" s="2">
        <v>479</v>
      </c>
      <c r="B479" s="2">
        <v>1</v>
      </c>
      <c r="C479" s="2">
        <v>33</v>
      </c>
      <c r="D479" s="2">
        <v>1</v>
      </c>
      <c r="E479" s="2">
        <v>20</v>
      </c>
      <c r="G479" s="2">
        <v>1</v>
      </c>
      <c r="H479" s="2">
        <v>4</v>
      </c>
      <c r="I479" s="2">
        <v>13382732</v>
      </c>
      <c r="J479" s="2" t="s">
        <v>209</v>
      </c>
      <c r="K479" s="2" t="s">
        <v>548</v>
      </c>
      <c r="L479" s="2" t="str">
        <f>"4112102761"</f>
        <v>4112102761</v>
      </c>
      <c r="M479" s="2" t="s">
        <v>2</v>
      </c>
      <c r="N479" s="18">
        <v>31202</v>
      </c>
      <c r="O479" s="2">
        <v>70</v>
      </c>
    </row>
    <row r="480" spans="1:15" s="2" customFormat="1" x14ac:dyDescent="0.25">
      <c r="A480" s="2">
        <v>480</v>
      </c>
      <c r="B480" s="2">
        <v>1</v>
      </c>
      <c r="C480" s="2">
        <v>33</v>
      </c>
      <c r="D480" s="2">
        <v>1</v>
      </c>
      <c r="E480" s="2">
        <v>20</v>
      </c>
      <c r="G480" s="2">
        <v>1</v>
      </c>
      <c r="H480" s="2">
        <v>4</v>
      </c>
      <c r="I480" s="2">
        <v>13382733</v>
      </c>
      <c r="J480" s="2" t="s">
        <v>209</v>
      </c>
      <c r="K480" s="2" t="s">
        <v>548</v>
      </c>
      <c r="L480" s="2" t="str">
        <f>"4112102764"</f>
        <v>4112102764</v>
      </c>
      <c r="M480" s="2" t="s">
        <v>2</v>
      </c>
      <c r="N480" s="18">
        <v>31203</v>
      </c>
      <c r="O480" s="2">
        <v>70</v>
      </c>
    </row>
    <row r="481" spans="1:15" s="2" customFormat="1" x14ac:dyDescent="0.25">
      <c r="A481" s="2">
        <v>481</v>
      </c>
      <c r="B481" s="2">
        <v>1</v>
      </c>
      <c r="C481" s="2">
        <v>33</v>
      </c>
      <c r="D481" s="2">
        <v>2</v>
      </c>
      <c r="E481" s="2">
        <v>20</v>
      </c>
      <c r="G481" s="2">
        <v>1</v>
      </c>
      <c r="H481" s="2">
        <v>4</v>
      </c>
      <c r="I481" s="2">
        <v>13382734</v>
      </c>
      <c r="J481" s="2" t="s">
        <v>209</v>
      </c>
      <c r="K481" s="2" t="s">
        <v>548</v>
      </c>
      <c r="L481" s="2" t="str">
        <f>"4112102763"</f>
        <v>4112102763</v>
      </c>
      <c r="M481" s="2" t="s">
        <v>2</v>
      </c>
      <c r="N481" s="18">
        <v>31204</v>
      </c>
      <c r="O481" s="2">
        <v>70</v>
      </c>
    </row>
    <row r="482" spans="1:15" s="2" customFormat="1" x14ac:dyDescent="0.25">
      <c r="A482" s="2">
        <v>482</v>
      </c>
      <c r="B482" s="2">
        <v>1</v>
      </c>
      <c r="C482" s="2">
        <v>12</v>
      </c>
      <c r="D482" s="2">
        <v>1</v>
      </c>
      <c r="E482" s="2">
        <v>20</v>
      </c>
      <c r="G482" s="2">
        <v>1</v>
      </c>
      <c r="H482" s="2">
        <v>4</v>
      </c>
      <c r="I482" s="2">
        <v>13382735</v>
      </c>
      <c r="J482" s="2" t="s">
        <v>209</v>
      </c>
      <c r="K482" s="2" t="s">
        <v>549</v>
      </c>
      <c r="L482" s="2" t="str">
        <f>"091026-0570411"</f>
        <v>091026-0570411</v>
      </c>
      <c r="M482" s="2" t="s">
        <v>2</v>
      </c>
      <c r="N482" s="18">
        <v>31205</v>
      </c>
      <c r="O482" s="2">
        <v>70</v>
      </c>
    </row>
    <row r="483" spans="1:15" s="2" customFormat="1" x14ac:dyDescent="0.25">
      <c r="A483" s="2">
        <v>483</v>
      </c>
      <c r="B483" s="2">
        <v>2</v>
      </c>
      <c r="C483" s="2">
        <v>24</v>
      </c>
      <c r="D483" s="2">
        <v>1</v>
      </c>
      <c r="E483" s="2">
        <v>5</v>
      </c>
      <c r="G483" s="2">
        <v>1</v>
      </c>
      <c r="H483" s="2">
        <v>39</v>
      </c>
      <c r="I483" s="2">
        <v>7602770</v>
      </c>
      <c r="J483" s="2" t="s">
        <v>240</v>
      </c>
      <c r="K483" s="2" t="s">
        <v>350</v>
      </c>
      <c r="L483" s="2" t="str">
        <f>"14101040107001"</f>
        <v>14101040107001</v>
      </c>
      <c r="M483" s="2" t="s">
        <v>2</v>
      </c>
      <c r="N483" s="18">
        <v>31206</v>
      </c>
      <c r="O483" s="2">
        <v>570</v>
      </c>
    </row>
    <row r="484" spans="1:15" s="2" customFormat="1" x14ac:dyDescent="0.25">
      <c r="A484" s="2">
        <v>484</v>
      </c>
      <c r="B484" s="2">
        <v>1</v>
      </c>
      <c r="C484" s="2">
        <v>77</v>
      </c>
      <c r="D484" s="2">
        <v>1</v>
      </c>
      <c r="E484" s="2">
        <v>20</v>
      </c>
      <c r="G484" s="2">
        <v>1</v>
      </c>
      <c r="H484" s="2">
        <v>4</v>
      </c>
      <c r="I484" s="2">
        <v>7602788</v>
      </c>
      <c r="J484" s="2" t="s">
        <v>241</v>
      </c>
      <c r="K484" s="2" t="s">
        <v>550</v>
      </c>
      <c r="L484" s="2" t="str">
        <f>"5527937"</f>
        <v>5527937</v>
      </c>
      <c r="M484" s="2" t="s">
        <v>2</v>
      </c>
      <c r="N484" s="18">
        <v>31207</v>
      </c>
      <c r="O484" s="2">
        <v>712</v>
      </c>
    </row>
    <row r="485" spans="1:15" s="2" customFormat="1" x14ac:dyDescent="0.25">
      <c r="A485" s="2">
        <v>485</v>
      </c>
      <c r="B485" s="2">
        <v>1</v>
      </c>
      <c r="C485" s="2">
        <v>77</v>
      </c>
      <c r="D485" s="2">
        <v>1</v>
      </c>
      <c r="E485" s="2">
        <v>25</v>
      </c>
      <c r="G485" s="2">
        <v>1</v>
      </c>
      <c r="H485" s="2">
        <v>4</v>
      </c>
      <c r="I485" s="2">
        <v>7602789</v>
      </c>
      <c r="J485" s="2" t="s">
        <v>241</v>
      </c>
      <c r="K485" s="2" t="s">
        <v>551</v>
      </c>
      <c r="L485" s="2" t="str">
        <f>"8291800"</f>
        <v>8291800</v>
      </c>
      <c r="M485" s="2" t="s">
        <v>2</v>
      </c>
      <c r="N485" s="18">
        <v>31208</v>
      </c>
      <c r="O485" s="2">
        <v>288</v>
      </c>
    </row>
    <row r="486" spans="1:15" s="2" customFormat="1" x14ac:dyDescent="0.25">
      <c r="A486" s="2">
        <v>486</v>
      </c>
      <c r="B486" s="2">
        <v>1</v>
      </c>
      <c r="C486" s="2">
        <v>49</v>
      </c>
      <c r="D486" s="2">
        <v>1</v>
      </c>
      <c r="E486" s="2">
        <v>17</v>
      </c>
      <c r="G486" s="2">
        <v>1</v>
      </c>
      <c r="H486" s="2">
        <v>4</v>
      </c>
      <c r="I486" s="2">
        <v>6794456</v>
      </c>
      <c r="J486" s="2" t="s">
        <v>192</v>
      </c>
      <c r="K486" s="2" t="s">
        <v>552</v>
      </c>
      <c r="L486" s="2" t="str">
        <f>"72R12CZ"</f>
        <v>72R12CZ</v>
      </c>
      <c r="M486" s="2" t="s">
        <v>2</v>
      </c>
      <c r="N486" s="18">
        <v>31209</v>
      </c>
      <c r="O486" s="2" t="s">
        <v>553</v>
      </c>
    </row>
    <row r="487" spans="1:15" s="2" customFormat="1" x14ac:dyDescent="0.25">
      <c r="A487" s="2">
        <v>487</v>
      </c>
      <c r="B487" s="2">
        <v>1</v>
      </c>
      <c r="C487" s="2">
        <v>49</v>
      </c>
      <c r="D487" s="2">
        <v>2</v>
      </c>
      <c r="E487" s="2">
        <v>17</v>
      </c>
      <c r="G487" s="2">
        <v>1</v>
      </c>
      <c r="H487" s="2">
        <v>4</v>
      </c>
      <c r="I487" s="2">
        <v>6794457</v>
      </c>
      <c r="J487" s="2" t="s">
        <v>192</v>
      </c>
      <c r="K487" s="2" t="s">
        <v>552</v>
      </c>
      <c r="L487" s="2" t="str">
        <f>"72R12D3"</f>
        <v>72R12D3</v>
      </c>
      <c r="M487" s="2" t="s">
        <v>2</v>
      </c>
      <c r="N487" s="18">
        <v>31210</v>
      </c>
      <c r="O487" s="2" t="s">
        <v>553</v>
      </c>
    </row>
    <row r="488" spans="1:15" s="2" customFormat="1" x14ac:dyDescent="0.25">
      <c r="A488" s="2">
        <v>488</v>
      </c>
      <c r="B488" s="2">
        <v>1</v>
      </c>
      <c r="C488" s="2">
        <v>49</v>
      </c>
      <c r="D488" s="2">
        <v>2</v>
      </c>
      <c r="E488" s="2">
        <v>17</v>
      </c>
      <c r="G488" s="2">
        <v>1</v>
      </c>
      <c r="H488" s="2">
        <v>4</v>
      </c>
      <c r="I488" s="2">
        <v>6794458</v>
      </c>
      <c r="J488" s="2" t="s">
        <v>192</v>
      </c>
      <c r="K488" s="2" t="s">
        <v>552</v>
      </c>
      <c r="L488" s="2" t="str">
        <f>"72R12D8"</f>
        <v>72R12D8</v>
      </c>
      <c r="M488" s="2" t="s">
        <v>2</v>
      </c>
      <c r="N488" s="18">
        <v>31211</v>
      </c>
      <c r="O488" s="2" t="s">
        <v>553</v>
      </c>
    </row>
    <row r="489" spans="1:15" s="2" customFormat="1" x14ac:dyDescent="0.25">
      <c r="A489" s="2">
        <v>489</v>
      </c>
      <c r="B489" s="2">
        <v>1</v>
      </c>
      <c r="C489" s="2">
        <v>31</v>
      </c>
      <c r="D489" s="2">
        <v>1</v>
      </c>
      <c r="E489" s="2">
        <v>20</v>
      </c>
      <c r="G489" s="2">
        <v>1</v>
      </c>
      <c r="H489" s="2">
        <v>4</v>
      </c>
      <c r="I489" s="2">
        <v>6794451</v>
      </c>
      <c r="J489" s="2" t="s">
        <v>242</v>
      </c>
      <c r="K489" s="2" t="s">
        <v>554</v>
      </c>
      <c r="L489" s="2" t="str">
        <f>"PRFK168847"</f>
        <v>PRFK168847</v>
      </c>
      <c r="M489" s="2" t="s">
        <v>2</v>
      </c>
      <c r="N489" s="18">
        <v>31212</v>
      </c>
      <c r="O489" s="2">
        <v>275</v>
      </c>
    </row>
    <row r="490" spans="1:15" s="2" customFormat="1" x14ac:dyDescent="0.25">
      <c r="A490" s="2">
        <v>490</v>
      </c>
      <c r="B490" s="2">
        <v>2</v>
      </c>
      <c r="C490" s="2">
        <v>54</v>
      </c>
      <c r="D490" s="2">
        <v>1</v>
      </c>
      <c r="E490" s="2">
        <v>11</v>
      </c>
      <c r="G490" s="2">
        <v>1</v>
      </c>
      <c r="H490" s="2">
        <v>39</v>
      </c>
      <c r="I490" s="2">
        <v>7602812</v>
      </c>
      <c r="J490" s="2" t="s">
        <v>243</v>
      </c>
      <c r="K490" s="2" t="s">
        <v>350</v>
      </c>
      <c r="L490" s="2" t="str">
        <f>"73872"</f>
        <v>73872</v>
      </c>
      <c r="M490" s="2" t="s">
        <v>2</v>
      </c>
      <c r="N490" s="18">
        <v>31213</v>
      </c>
      <c r="O490" s="2" t="s">
        <v>555</v>
      </c>
    </row>
    <row r="491" spans="1:15" s="2" customFormat="1" x14ac:dyDescent="0.25">
      <c r="A491" s="2">
        <v>491</v>
      </c>
      <c r="B491" s="2">
        <v>2</v>
      </c>
      <c r="C491" s="2">
        <v>47</v>
      </c>
      <c r="D491" s="2">
        <v>1</v>
      </c>
      <c r="E491" s="2">
        <v>23</v>
      </c>
      <c r="G491" s="2">
        <v>1</v>
      </c>
      <c r="H491" s="2">
        <v>39</v>
      </c>
      <c r="I491" s="2">
        <v>7602813</v>
      </c>
      <c r="J491" s="2" t="s">
        <v>244</v>
      </c>
      <c r="K491" s="2">
        <v>3914</v>
      </c>
      <c r="L491" s="2" t="str">
        <f>"14101040302001"</f>
        <v>14101040302001</v>
      </c>
      <c r="M491" s="2" t="s">
        <v>2</v>
      </c>
      <c r="N491" s="18">
        <v>31214</v>
      </c>
      <c r="O491" s="2">
        <v>100</v>
      </c>
    </row>
    <row r="492" spans="1:15" s="2" customFormat="1" x14ac:dyDescent="0.25">
      <c r="A492" s="2">
        <v>492</v>
      </c>
      <c r="B492" s="2">
        <v>1</v>
      </c>
      <c r="C492" s="2">
        <v>10</v>
      </c>
      <c r="D492" s="2">
        <v>1</v>
      </c>
      <c r="E492" s="2">
        <v>22</v>
      </c>
      <c r="G492" s="2">
        <v>1</v>
      </c>
      <c r="H492" s="2">
        <v>4</v>
      </c>
      <c r="I492" s="2">
        <v>7602790</v>
      </c>
      <c r="J492" s="2" t="s">
        <v>241</v>
      </c>
      <c r="K492" s="2" t="s">
        <v>556</v>
      </c>
      <c r="L492" s="2" t="str">
        <f>"452063039559"</f>
        <v>452063039559</v>
      </c>
      <c r="M492" s="2" t="s">
        <v>2</v>
      </c>
      <c r="N492" s="18">
        <v>31215</v>
      </c>
      <c r="O492" s="2">
        <v>198</v>
      </c>
    </row>
    <row r="493" spans="1:15" s="2" customFormat="1" x14ac:dyDescent="0.25">
      <c r="A493" s="2">
        <v>493</v>
      </c>
      <c r="B493" s="2">
        <v>1</v>
      </c>
      <c r="C493" s="2">
        <v>10</v>
      </c>
      <c r="D493" s="2">
        <v>2</v>
      </c>
      <c r="E493" s="2">
        <v>22</v>
      </c>
      <c r="G493" s="2">
        <v>1</v>
      </c>
      <c r="H493" s="2">
        <v>4</v>
      </c>
      <c r="I493" s="2">
        <v>7602791</v>
      </c>
      <c r="J493" s="2" t="s">
        <v>241</v>
      </c>
      <c r="K493" s="2" t="s">
        <v>556</v>
      </c>
      <c r="L493" s="2" t="str">
        <f>"452063039532"</f>
        <v>452063039532</v>
      </c>
      <c r="M493" s="2" t="s">
        <v>2</v>
      </c>
      <c r="N493" s="18">
        <v>31216</v>
      </c>
      <c r="O493" s="2">
        <v>198</v>
      </c>
    </row>
    <row r="494" spans="1:15" s="2" customFormat="1" x14ac:dyDescent="0.25">
      <c r="A494" s="2">
        <v>494</v>
      </c>
      <c r="B494" s="2">
        <v>1</v>
      </c>
      <c r="C494" s="2">
        <v>10</v>
      </c>
      <c r="D494" s="2">
        <v>1</v>
      </c>
      <c r="E494" s="2">
        <v>22</v>
      </c>
      <c r="G494" s="2">
        <v>1</v>
      </c>
      <c r="H494" s="2">
        <v>4</v>
      </c>
      <c r="I494" s="2">
        <v>7602792</v>
      </c>
      <c r="J494" s="2" t="s">
        <v>241</v>
      </c>
      <c r="K494" s="2" t="s">
        <v>556</v>
      </c>
      <c r="L494" s="2" t="str">
        <f>"452063039531"</f>
        <v>452063039531</v>
      </c>
      <c r="M494" s="2" t="s">
        <v>2</v>
      </c>
      <c r="N494" s="18">
        <v>31217</v>
      </c>
      <c r="O494" s="2">
        <v>198</v>
      </c>
    </row>
    <row r="495" spans="1:15" s="2" customFormat="1" x14ac:dyDescent="0.25">
      <c r="A495" s="2">
        <v>495</v>
      </c>
      <c r="B495" s="2">
        <v>2</v>
      </c>
      <c r="C495" s="2">
        <v>7</v>
      </c>
      <c r="D495" s="2">
        <v>1</v>
      </c>
      <c r="E495" s="2">
        <v>20</v>
      </c>
      <c r="G495" s="2">
        <v>1</v>
      </c>
      <c r="H495" s="2">
        <v>39</v>
      </c>
      <c r="I495" s="2">
        <v>7606319</v>
      </c>
      <c r="J495" s="2" t="s">
        <v>245</v>
      </c>
      <c r="K495" s="2">
        <v>215</v>
      </c>
      <c r="L495" s="2" t="str">
        <f>"04"</f>
        <v>04</v>
      </c>
      <c r="M495" s="2" t="s">
        <v>2</v>
      </c>
      <c r="N495" s="18">
        <v>31218</v>
      </c>
      <c r="O495" s="2" t="s">
        <v>557</v>
      </c>
    </row>
    <row r="496" spans="1:15" s="2" customFormat="1" x14ac:dyDescent="0.25">
      <c r="A496" s="2">
        <v>496</v>
      </c>
      <c r="B496" s="2">
        <v>1</v>
      </c>
      <c r="C496" s="2">
        <v>42</v>
      </c>
      <c r="D496" s="2">
        <v>1</v>
      </c>
      <c r="E496" s="2">
        <v>20</v>
      </c>
      <c r="G496" s="2">
        <v>1</v>
      </c>
      <c r="H496" s="2">
        <v>4</v>
      </c>
      <c r="I496" s="2">
        <v>6794611</v>
      </c>
      <c r="J496" s="2" t="s">
        <v>195</v>
      </c>
      <c r="K496" s="2" t="s">
        <v>558</v>
      </c>
      <c r="L496" s="2" t="str">
        <f>"6CM21900ZT"</f>
        <v>6CM21900ZT</v>
      </c>
      <c r="M496" s="2" t="s">
        <v>2</v>
      </c>
      <c r="N496" s="18">
        <v>31219</v>
      </c>
      <c r="O496" s="2">
        <v>138</v>
      </c>
    </row>
    <row r="497" spans="1:15" s="2" customFormat="1" x14ac:dyDescent="0.25">
      <c r="A497" s="2">
        <v>497</v>
      </c>
      <c r="B497" s="2">
        <v>1</v>
      </c>
      <c r="C497" s="2">
        <v>42</v>
      </c>
      <c r="D497" s="2">
        <v>1</v>
      </c>
      <c r="E497" s="2">
        <v>20</v>
      </c>
      <c r="G497" s="2">
        <v>1</v>
      </c>
      <c r="H497" s="2">
        <v>4</v>
      </c>
      <c r="I497" s="2">
        <v>6794612</v>
      </c>
      <c r="J497" s="2" t="s">
        <v>195</v>
      </c>
      <c r="K497" s="2" t="s">
        <v>558</v>
      </c>
      <c r="L497" s="2" t="str">
        <f>"6CM2190168"</f>
        <v>6CM2190168</v>
      </c>
      <c r="M497" s="2" t="s">
        <v>2</v>
      </c>
      <c r="N497" s="18">
        <v>31220</v>
      </c>
      <c r="O497" s="2">
        <v>138</v>
      </c>
    </row>
    <row r="498" spans="1:15" s="2" customFormat="1" x14ac:dyDescent="0.25">
      <c r="A498" s="2">
        <v>498</v>
      </c>
      <c r="B498" s="2">
        <v>1</v>
      </c>
      <c r="C498" s="2">
        <v>42</v>
      </c>
      <c r="D498" s="2">
        <v>1</v>
      </c>
      <c r="E498" s="2">
        <v>20</v>
      </c>
      <c r="G498" s="2">
        <v>1</v>
      </c>
      <c r="H498" s="2">
        <v>4</v>
      </c>
      <c r="I498" s="2">
        <v>6794613</v>
      </c>
      <c r="J498" s="2" t="s">
        <v>195</v>
      </c>
      <c r="K498" s="2" t="s">
        <v>558</v>
      </c>
      <c r="L498" s="2" t="str">
        <f>"6CM2190170"</f>
        <v>6CM2190170</v>
      </c>
      <c r="M498" s="2" t="s">
        <v>2</v>
      </c>
      <c r="N498" s="18">
        <v>31221</v>
      </c>
      <c r="O498" s="2">
        <v>138</v>
      </c>
    </row>
    <row r="499" spans="1:15" s="2" customFormat="1" x14ac:dyDescent="0.25">
      <c r="A499" s="2">
        <v>499</v>
      </c>
      <c r="B499" s="2">
        <v>1</v>
      </c>
      <c r="C499" s="2">
        <v>42</v>
      </c>
      <c r="D499" s="2">
        <v>1</v>
      </c>
      <c r="E499" s="2">
        <v>20</v>
      </c>
      <c r="G499" s="2">
        <v>1</v>
      </c>
      <c r="H499" s="2">
        <v>4</v>
      </c>
      <c r="I499" s="2">
        <v>6794614</v>
      </c>
      <c r="J499" s="2" t="s">
        <v>195</v>
      </c>
      <c r="K499" s="2" t="s">
        <v>558</v>
      </c>
      <c r="L499" s="2" t="str">
        <f>"6CM219010N"</f>
        <v>6CM219010N</v>
      </c>
      <c r="M499" s="2" t="s">
        <v>2</v>
      </c>
      <c r="N499" s="18">
        <v>31222</v>
      </c>
      <c r="O499" s="2">
        <v>138</v>
      </c>
    </row>
    <row r="500" spans="1:15" s="2" customFormat="1" x14ac:dyDescent="0.25">
      <c r="A500" s="2">
        <v>500</v>
      </c>
      <c r="B500" s="2">
        <v>1</v>
      </c>
      <c r="C500" s="2">
        <v>42</v>
      </c>
      <c r="D500" s="2">
        <v>1</v>
      </c>
      <c r="E500" s="2">
        <v>20</v>
      </c>
      <c r="G500" s="2">
        <v>1</v>
      </c>
      <c r="H500" s="2">
        <v>4</v>
      </c>
      <c r="I500" s="2">
        <v>6794615</v>
      </c>
      <c r="J500" s="2" t="s">
        <v>195</v>
      </c>
      <c r="K500" s="2" t="s">
        <v>558</v>
      </c>
      <c r="L500" s="2" t="str">
        <f>"6CM219015J"</f>
        <v>6CM219015J</v>
      </c>
      <c r="M500" s="2" t="s">
        <v>2</v>
      </c>
      <c r="N500" s="18">
        <v>31223</v>
      </c>
      <c r="O500" s="2">
        <v>138</v>
      </c>
    </row>
    <row r="501" spans="1:15" s="2" customFormat="1" x14ac:dyDescent="0.25">
      <c r="A501" s="2">
        <v>501</v>
      </c>
      <c r="B501" s="2">
        <v>1</v>
      </c>
      <c r="C501" s="2">
        <v>42</v>
      </c>
      <c r="D501" s="2">
        <v>1</v>
      </c>
      <c r="E501" s="2">
        <v>20</v>
      </c>
      <c r="G501" s="2">
        <v>1</v>
      </c>
      <c r="H501" s="2">
        <v>4</v>
      </c>
      <c r="I501" s="2">
        <v>6794576</v>
      </c>
      <c r="J501" s="2" t="s">
        <v>145</v>
      </c>
      <c r="K501" s="2" t="s">
        <v>559</v>
      </c>
      <c r="L501" s="2" t="str">
        <f>"MXL22808YT"</f>
        <v>MXL22808YT</v>
      </c>
      <c r="M501" s="2" t="s">
        <v>2</v>
      </c>
      <c r="N501" s="18">
        <v>31224</v>
      </c>
      <c r="O501" s="2" t="s">
        <v>560</v>
      </c>
    </row>
    <row r="502" spans="1:15" s="2" customFormat="1" x14ac:dyDescent="0.25">
      <c r="A502" s="2">
        <v>502</v>
      </c>
      <c r="B502" s="2">
        <v>1</v>
      </c>
      <c r="C502" s="2">
        <v>42</v>
      </c>
      <c r="D502" s="2">
        <v>1</v>
      </c>
      <c r="E502" s="2">
        <v>20</v>
      </c>
      <c r="G502" s="2">
        <v>1</v>
      </c>
      <c r="H502" s="2">
        <v>4</v>
      </c>
      <c r="I502" s="2">
        <v>6794577</v>
      </c>
      <c r="J502" s="2" t="s">
        <v>145</v>
      </c>
      <c r="K502" s="2" t="s">
        <v>559</v>
      </c>
      <c r="L502" s="2" t="str">
        <f>"MXL22808WM"</f>
        <v>MXL22808WM</v>
      </c>
      <c r="M502" s="2" t="s">
        <v>2</v>
      </c>
      <c r="N502" s="18">
        <v>31225</v>
      </c>
      <c r="O502" s="2" t="s">
        <v>560</v>
      </c>
    </row>
    <row r="503" spans="1:15" s="2" customFormat="1" x14ac:dyDescent="0.25">
      <c r="A503" s="2">
        <v>503</v>
      </c>
      <c r="B503" s="2">
        <v>1</v>
      </c>
      <c r="C503" s="2">
        <v>42</v>
      </c>
      <c r="D503" s="2">
        <v>1</v>
      </c>
      <c r="E503" s="2">
        <v>20</v>
      </c>
      <c r="G503" s="2">
        <v>1</v>
      </c>
      <c r="H503" s="2">
        <v>4</v>
      </c>
      <c r="I503" s="2">
        <v>6794578</v>
      </c>
      <c r="J503" s="2" t="s">
        <v>145</v>
      </c>
      <c r="K503" s="2" t="s">
        <v>559</v>
      </c>
      <c r="L503" s="2" t="str">
        <f>"MXL22808XQ"</f>
        <v>MXL22808XQ</v>
      </c>
      <c r="M503" s="2" t="s">
        <v>2</v>
      </c>
      <c r="N503" s="18">
        <v>31226</v>
      </c>
      <c r="O503" s="2" t="s">
        <v>560</v>
      </c>
    </row>
    <row r="504" spans="1:15" s="2" customFormat="1" x14ac:dyDescent="0.25">
      <c r="A504" s="2">
        <v>504</v>
      </c>
      <c r="B504" s="2">
        <v>1</v>
      </c>
      <c r="C504" s="2">
        <v>42</v>
      </c>
      <c r="D504" s="2">
        <v>1</v>
      </c>
      <c r="E504" s="2">
        <v>20</v>
      </c>
      <c r="G504" s="2">
        <v>1</v>
      </c>
      <c r="H504" s="2">
        <v>4</v>
      </c>
      <c r="I504" s="2">
        <v>6794579</v>
      </c>
      <c r="J504" s="2" t="s">
        <v>145</v>
      </c>
      <c r="K504" s="2" t="s">
        <v>559</v>
      </c>
      <c r="L504" s="2" t="str">
        <f>"MXL2280DR0"</f>
        <v>MXL2280DR0</v>
      </c>
      <c r="M504" s="2" t="s">
        <v>2</v>
      </c>
      <c r="N504" s="18">
        <v>31227</v>
      </c>
      <c r="O504" s="2" t="s">
        <v>560</v>
      </c>
    </row>
    <row r="505" spans="1:15" s="2" customFormat="1" x14ac:dyDescent="0.25">
      <c r="A505" s="2">
        <v>505</v>
      </c>
      <c r="B505" s="2">
        <v>1</v>
      </c>
      <c r="C505" s="2">
        <v>42</v>
      </c>
      <c r="D505" s="2">
        <v>2</v>
      </c>
      <c r="E505" s="2">
        <v>20</v>
      </c>
      <c r="G505" s="2">
        <v>1</v>
      </c>
      <c r="H505" s="2">
        <v>4</v>
      </c>
      <c r="I505" s="2">
        <v>6794581</v>
      </c>
      <c r="J505" s="2" t="s">
        <v>145</v>
      </c>
      <c r="K505" s="2" t="s">
        <v>559</v>
      </c>
      <c r="L505" s="2" t="str">
        <f>"MXL2080FSK"</f>
        <v>MXL2080FSK</v>
      </c>
      <c r="M505" s="2" t="s">
        <v>2</v>
      </c>
      <c r="N505" s="18">
        <v>31228</v>
      </c>
      <c r="O505" s="2" t="s">
        <v>560</v>
      </c>
    </row>
    <row r="506" spans="1:15" s="2" customFormat="1" x14ac:dyDescent="0.25">
      <c r="A506" s="2">
        <v>506</v>
      </c>
      <c r="B506" s="2">
        <v>1</v>
      </c>
      <c r="C506" s="2">
        <v>42</v>
      </c>
      <c r="D506" s="2">
        <v>2</v>
      </c>
      <c r="E506" s="2">
        <v>20</v>
      </c>
      <c r="G506" s="2">
        <v>1</v>
      </c>
      <c r="H506" s="2">
        <v>4</v>
      </c>
      <c r="I506" s="2">
        <v>6794582</v>
      </c>
      <c r="J506" s="2" t="s">
        <v>145</v>
      </c>
      <c r="K506" s="2" t="s">
        <v>559</v>
      </c>
      <c r="L506" s="2" t="str">
        <f>"MXL2280FSQ"</f>
        <v>MXL2280FSQ</v>
      </c>
      <c r="M506" s="2" t="s">
        <v>2</v>
      </c>
      <c r="N506" s="18">
        <v>31229</v>
      </c>
      <c r="O506" s="2" t="s">
        <v>560</v>
      </c>
    </row>
    <row r="507" spans="1:15" s="2" customFormat="1" x14ac:dyDescent="0.25">
      <c r="A507" s="2">
        <v>507</v>
      </c>
      <c r="B507" s="2">
        <v>1</v>
      </c>
      <c r="C507" s="2">
        <v>42</v>
      </c>
      <c r="D507" s="2">
        <v>1</v>
      </c>
      <c r="E507" s="2">
        <v>20</v>
      </c>
      <c r="G507" s="2">
        <v>1</v>
      </c>
      <c r="H507" s="2">
        <v>4</v>
      </c>
      <c r="I507" s="2">
        <v>6794583</v>
      </c>
      <c r="J507" s="2" t="s">
        <v>145</v>
      </c>
      <c r="K507" s="2" t="s">
        <v>559</v>
      </c>
      <c r="L507" s="2" t="str">
        <f>"MXL22808TV"</f>
        <v>MXL22808TV</v>
      </c>
      <c r="M507" s="2" t="s">
        <v>2</v>
      </c>
      <c r="N507" s="18">
        <v>31230</v>
      </c>
      <c r="O507" s="2" t="s">
        <v>560</v>
      </c>
    </row>
    <row r="508" spans="1:15" s="2" customFormat="1" x14ac:dyDescent="0.25">
      <c r="A508" s="2">
        <v>508</v>
      </c>
      <c r="B508" s="2">
        <v>1</v>
      </c>
      <c r="C508" s="2">
        <v>42</v>
      </c>
      <c r="D508" s="2">
        <v>1</v>
      </c>
      <c r="E508" s="2">
        <v>20</v>
      </c>
      <c r="G508" s="2">
        <v>1</v>
      </c>
      <c r="H508" s="2">
        <v>4</v>
      </c>
      <c r="I508" s="2">
        <v>6794584</v>
      </c>
      <c r="J508" s="2" t="s">
        <v>145</v>
      </c>
      <c r="K508" s="2" t="s">
        <v>559</v>
      </c>
      <c r="L508" s="2" t="str">
        <f>"MXL22808VY"</f>
        <v>MXL22808VY</v>
      </c>
      <c r="M508" s="2" t="s">
        <v>2</v>
      </c>
      <c r="N508" s="18">
        <v>31231</v>
      </c>
      <c r="O508" s="2" t="s">
        <v>560</v>
      </c>
    </row>
    <row r="509" spans="1:15" s="2" customFormat="1" x14ac:dyDescent="0.25">
      <c r="A509" s="2">
        <v>509</v>
      </c>
      <c r="B509" s="2">
        <v>1</v>
      </c>
      <c r="C509" s="2">
        <v>42</v>
      </c>
      <c r="D509" s="2">
        <v>1</v>
      </c>
      <c r="E509" s="2">
        <v>20</v>
      </c>
      <c r="G509" s="2">
        <v>1</v>
      </c>
      <c r="H509" s="2">
        <v>4</v>
      </c>
      <c r="I509" s="2">
        <v>6794585</v>
      </c>
      <c r="J509" s="2" t="s">
        <v>145</v>
      </c>
      <c r="K509" s="2" t="s">
        <v>559</v>
      </c>
      <c r="L509" s="2" t="str">
        <f>"MXL2280D84"</f>
        <v>MXL2280D84</v>
      </c>
      <c r="M509" s="2" t="s">
        <v>2</v>
      </c>
      <c r="N509" s="18">
        <v>31232</v>
      </c>
      <c r="O509" s="2" t="s">
        <v>560</v>
      </c>
    </row>
    <row r="510" spans="1:15" s="2" customFormat="1" x14ac:dyDescent="0.25">
      <c r="A510" s="2">
        <v>510</v>
      </c>
      <c r="B510" s="2">
        <v>1</v>
      </c>
      <c r="C510" s="2">
        <v>42</v>
      </c>
      <c r="D510" s="2">
        <v>1</v>
      </c>
      <c r="E510" s="2">
        <v>20</v>
      </c>
      <c r="G510" s="2">
        <v>1</v>
      </c>
      <c r="H510" s="2">
        <v>4</v>
      </c>
      <c r="I510" s="2">
        <v>6794586</v>
      </c>
      <c r="J510" s="2" t="s">
        <v>145</v>
      </c>
      <c r="K510" s="2" t="s">
        <v>559</v>
      </c>
      <c r="L510" s="2" t="str">
        <f>"MXL22808YN"</f>
        <v>MXL22808YN</v>
      </c>
      <c r="M510" s="2" t="s">
        <v>2</v>
      </c>
      <c r="N510" s="18">
        <v>31233</v>
      </c>
      <c r="O510" s="2" t="s">
        <v>560</v>
      </c>
    </row>
    <row r="511" spans="1:15" s="2" customFormat="1" x14ac:dyDescent="0.25">
      <c r="A511" s="2">
        <v>511</v>
      </c>
      <c r="B511" s="2">
        <v>1</v>
      </c>
      <c r="C511" s="2">
        <v>42</v>
      </c>
      <c r="D511" s="2">
        <v>1</v>
      </c>
      <c r="E511" s="2">
        <v>20</v>
      </c>
      <c r="G511" s="2">
        <v>1</v>
      </c>
      <c r="H511" s="2">
        <v>4</v>
      </c>
      <c r="I511" s="2">
        <v>6794587</v>
      </c>
      <c r="J511" s="2" t="s">
        <v>145</v>
      </c>
      <c r="K511" s="2" t="s">
        <v>559</v>
      </c>
      <c r="L511" s="2" t="str">
        <f>"MXL22808YJ"</f>
        <v>MXL22808YJ</v>
      </c>
      <c r="M511" s="2" t="s">
        <v>2</v>
      </c>
      <c r="N511" s="18">
        <v>31234</v>
      </c>
      <c r="O511" s="2" t="s">
        <v>560</v>
      </c>
    </row>
    <row r="512" spans="1:15" s="2" customFormat="1" x14ac:dyDescent="0.25">
      <c r="A512" s="2">
        <v>512</v>
      </c>
      <c r="B512" s="2">
        <v>1</v>
      </c>
      <c r="C512" s="2">
        <v>42</v>
      </c>
      <c r="D512" s="2">
        <v>1</v>
      </c>
      <c r="E512" s="2">
        <v>20</v>
      </c>
      <c r="G512" s="2">
        <v>1</v>
      </c>
      <c r="H512" s="2">
        <v>4</v>
      </c>
      <c r="I512" s="2">
        <v>6794588</v>
      </c>
      <c r="J512" s="2" t="s">
        <v>145</v>
      </c>
      <c r="K512" s="2" t="s">
        <v>559</v>
      </c>
      <c r="L512" s="2" t="str">
        <f>"MXL22808WV"</f>
        <v>MXL22808WV</v>
      </c>
      <c r="M512" s="2" t="s">
        <v>2</v>
      </c>
      <c r="N512" s="18">
        <v>31235</v>
      </c>
      <c r="O512" s="2" t="s">
        <v>560</v>
      </c>
    </row>
    <row r="513" spans="1:15" s="2" customFormat="1" x14ac:dyDescent="0.25">
      <c r="A513" s="2">
        <v>513</v>
      </c>
      <c r="B513" s="2">
        <v>1</v>
      </c>
      <c r="C513" s="2">
        <v>42</v>
      </c>
      <c r="D513" s="2">
        <v>1</v>
      </c>
      <c r="E513" s="2">
        <v>20</v>
      </c>
      <c r="G513" s="2">
        <v>1</v>
      </c>
      <c r="H513" s="2">
        <v>4</v>
      </c>
      <c r="I513" s="2">
        <v>6794589</v>
      </c>
      <c r="J513" s="2" t="s">
        <v>145</v>
      </c>
      <c r="K513" s="2" t="s">
        <v>559</v>
      </c>
      <c r="L513" s="2" t="str">
        <f>"MXL22808YS"</f>
        <v>MXL22808YS</v>
      </c>
      <c r="M513" s="2" t="s">
        <v>2</v>
      </c>
      <c r="N513" s="18">
        <v>31236</v>
      </c>
      <c r="O513" s="2" t="s">
        <v>560</v>
      </c>
    </row>
    <row r="514" spans="1:15" s="2" customFormat="1" x14ac:dyDescent="0.25">
      <c r="A514" s="2">
        <v>514</v>
      </c>
      <c r="B514" s="2">
        <v>1</v>
      </c>
      <c r="C514" s="2">
        <v>42</v>
      </c>
      <c r="D514" s="2">
        <v>1</v>
      </c>
      <c r="E514" s="2">
        <v>20</v>
      </c>
      <c r="G514" s="2">
        <v>1</v>
      </c>
      <c r="H514" s="2">
        <v>4</v>
      </c>
      <c r="I514" s="2">
        <v>6794590</v>
      </c>
      <c r="J514" s="2" t="s">
        <v>145</v>
      </c>
      <c r="K514" s="2" t="s">
        <v>559</v>
      </c>
      <c r="L514" s="2" t="str">
        <f>"MXL22808VJ"</f>
        <v>MXL22808VJ</v>
      </c>
      <c r="M514" s="2" t="s">
        <v>2</v>
      </c>
      <c r="N514" s="18">
        <v>31237</v>
      </c>
      <c r="O514" s="2" t="s">
        <v>560</v>
      </c>
    </row>
    <row r="515" spans="1:15" s="2" customFormat="1" x14ac:dyDescent="0.25">
      <c r="A515" s="2">
        <v>515</v>
      </c>
      <c r="B515" s="2">
        <v>1</v>
      </c>
      <c r="C515" s="2">
        <v>42</v>
      </c>
      <c r="D515" s="2">
        <v>1</v>
      </c>
      <c r="E515" s="2">
        <v>20</v>
      </c>
      <c r="G515" s="2">
        <v>1</v>
      </c>
      <c r="H515" s="2">
        <v>4</v>
      </c>
      <c r="I515" s="2">
        <v>6794591</v>
      </c>
      <c r="J515" s="2" t="s">
        <v>145</v>
      </c>
      <c r="K515" s="2" t="s">
        <v>559</v>
      </c>
      <c r="L515" s="2" t="str">
        <f>"MXL2280CL3"</f>
        <v>MXL2280CL3</v>
      </c>
      <c r="M515" s="2" t="s">
        <v>2</v>
      </c>
      <c r="N515" s="18">
        <v>31238</v>
      </c>
      <c r="O515" s="2" t="s">
        <v>560</v>
      </c>
    </row>
    <row r="516" spans="1:15" s="2" customFormat="1" x14ac:dyDescent="0.25">
      <c r="A516" s="2">
        <v>516</v>
      </c>
      <c r="B516" s="2">
        <v>1</v>
      </c>
      <c r="C516" s="2">
        <v>42</v>
      </c>
      <c r="D516" s="2">
        <v>1</v>
      </c>
      <c r="E516" s="2">
        <v>20</v>
      </c>
      <c r="G516" s="2">
        <v>1</v>
      </c>
      <c r="H516" s="2">
        <v>4</v>
      </c>
      <c r="I516" s="2">
        <v>6794602</v>
      </c>
      <c r="J516" s="2" t="s">
        <v>195</v>
      </c>
      <c r="K516" s="2" t="s">
        <v>558</v>
      </c>
      <c r="L516" s="2" t="str">
        <f>"6CM219026B"</f>
        <v>6CM219026B</v>
      </c>
      <c r="M516" s="2" t="s">
        <v>2</v>
      </c>
      <c r="N516" s="18">
        <v>31239</v>
      </c>
      <c r="O516" s="2">
        <v>138</v>
      </c>
    </row>
    <row r="517" spans="1:15" s="2" customFormat="1" x14ac:dyDescent="0.25">
      <c r="A517" s="2">
        <v>517</v>
      </c>
      <c r="B517" s="2">
        <v>1</v>
      </c>
      <c r="C517" s="2">
        <v>42</v>
      </c>
      <c r="D517" s="2">
        <v>1</v>
      </c>
      <c r="E517" s="2">
        <v>20</v>
      </c>
      <c r="G517" s="2">
        <v>1</v>
      </c>
      <c r="H517" s="2">
        <v>4</v>
      </c>
      <c r="I517" s="2">
        <v>6794603</v>
      </c>
      <c r="J517" s="2" t="s">
        <v>195</v>
      </c>
      <c r="K517" s="2" t="s">
        <v>558</v>
      </c>
      <c r="L517" s="2" t="str">
        <f>"6CM2190112"</f>
        <v>6CM2190112</v>
      </c>
      <c r="M517" s="2" t="s">
        <v>2</v>
      </c>
      <c r="N517" s="18">
        <v>31240</v>
      </c>
      <c r="O517" s="2">
        <v>138</v>
      </c>
    </row>
    <row r="518" spans="1:15" s="2" customFormat="1" x14ac:dyDescent="0.25">
      <c r="A518" s="2">
        <v>518</v>
      </c>
      <c r="B518" s="2">
        <v>1</v>
      </c>
      <c r="C518" s="2">
        <v>42</v>
      </c>
      <c r="D518" s="2">
        <v>1</v>
      </c>
      <c r="E518" s="2">
        <v>20</v>
      </c>
      <c r="G518" s="2">
        <v>1</v>
      </c>
      <c r="H518" s="2">
        <v>4</v>
      </c>
      <c r="I518" s="2">
        <v>6794604</v>
      </c>
      <c r="J518" s="2" t="s">
        <v>195</v>
      </c>
      <c r="K518" s="2" t="s">
        <v>558</v>
      </c>
      <c r="L518" s="2" t="str">
        <f>"6CM219016Q"</f>
        <v>6CM219016Q</v>
      </c>
      <c r="M518" s="2" t="s">
        <v>2</v>
      </c>
      <c r="N518" s="18">
        <v>31241</v>
      </c>
      <c r="O518" s="2">
        <v>138</v>
      </c>
    </row>
    <row r="519" spans="1:15" s="2" customFormat="1" x14ac:dyDescent="0.25">
      <c r="A519" s="2">
        <v>519</v>
      </c>
      <c r="B519" s="2">
        <v>1</v>
      </c>
      <c r="C519" s="2">
        <v>42</v>
      </c>
      <c r="D519" s="2">
        <v>1</v>
      </c>
      <c r="E519" s="2">
        <v>20</v>
      </c>
      <c r="G519" s="2">
        <v>1</v>
      </c>
      <c r="H519" s="2">
        <v>4</v>
      </c>
      <c r="I519" s="2">
        <v>6794605</v>
      </c>
      <c r="J519" s="2" t="s">
        <v>195</v>
      </c>
      <c r="K519" s="2" t="s">
        <v>558</v>
      </c>
      <c r="L519" s="2" t="str">
        <f>"6CM21903BV"</f>
        <v>6CM21903BV</v>
      </c>
      <c r="M519" s="2" t="s">
        <v>2</v>
      </c>
      <c r="N519" s="18">
        <v>31242</v>
      </c>
      <c r="O519" s="2">
        <v>138</v>
      </c>
    </row>
    <row r="520" spans="1:15" s="2" customFormat="1" x14ac:dyDescent="0.25">
      <c r="A520" s="2">
        <v>520</v>
      </c>
      <c r="B520" s="2">
        <v>1</v>
      </c>
      <c r="C520" s="2">
        <v>42</v>
      </c>
      <c r="D520" s="2">
        <v>1</v>
      </c>
      <c r="E520" s="2">
        <v>20</v>
      </c>
      <c r="G520" s="2">
        <v>1</v>
      </c>
      <c r="H520" s="2">
        <v>4</v>
      </c>
      <c r="I520" s="2">
        <v>6794607</v>
      </c>
      <c r="J520" s="2" t="s">
        <v>195</v>
      </c>
      <c r="K520" s="2" t="s">
        <v>558</v>
      </c>
      <c r="L520" s="2" t="str">
        <f>"6CM21903BT"</f>
        <v>6CM21903BT</v>
      </c>
      <c r="M520" s="2" t="s">
        <v>2</v>
      </c>
      <c r="N520" s="18">
        <v>31243</v>
      </c>
      <c r="O520" s="2">
        <v>138</v>
      </c>
    </row>
    <row r="521" spans="1:15" s="2" customFormat="1" x14ac:dyDescent="0.25">
      <c r="A521" s="2">
        <v>521</v>
      </c>
      <c r="B521" s="2">
        <v>1</v>
      </c>
      <c r="C521" s="2">
        <v>42</v>
      </c>
      <c r="D521" s="2">
        <v>1</v>
      </c>
      <c r="E521" s="2">
        <v>20</v>
      </c>
      <c r="G521" s="2">
        <v>1</v>
      </c>
      <c r="H521" s="2">
        <v>4</v>
      </c>
      <c r="I521" s="2">
        <v>6794608</v>
      </c>
      <c r="J521" s="2" t="s">
        <v>195</v>
      </c>
      <c r="K521" s="2" t="s">
        <v>558</v>
      </c>
      <c r="L521" s="2" t="str">
        <f>"6CM21900ZP"</f>
        <v>6CM21900ZP</v>
      </c>
      <c r="M521" s="2" t="s">
        <v>2</v>
      </c>
      <c r="N521" s="18">
        <v>31244</v>
      </c>
      <c r="O521" s="2">
        <v>138</v>
      </c>
    </row>
    <row r="522" spans="1:15" s="2" customFormat="1" x14ac:dyDescent="0.25">
      <c r="A522" s="2">
        <v>522</v>
      </c>
      <c r="B522" s="2">
        <v>1</v>
      </c>
      <c r="C522" s="2">
        <v>42</v>
      </c>
      <c r="D522" s="2">
        <v>1</v>
      </c>
      <c r="E522" s="2">
        <v>20</v>
      </c>
      <c r="G522" s="2">
        <v>1</v>
      </c>
      <c r="H522" s="2">
        <v>4</v>
      </c>
      <c r="I522" s="2">
        <v>6794609</v>
      </c>
      <c r="J522" s="2" t="s">
        <v>195</v>
      </c>
      <c r="K522" s="2" t="s">
        <v>558</v>
      </c>
      <c r="L522" s="2" t="str">
        <f>"6CM219010H"</f>
        <v>6CM219010H</v>
      </c>
      <c r="M522" s="2" t="s">
        <v>2</v>
      </c>
      <c r="N522" s="18">
        <v>31245</v>
      </c>
      <c r="O522" s="2">
        <v>138</v>
      </c>
    </row>
    <row r="523" spans="1:15" s="2" customFormat="1" x14ac:dyDescent="0.25">
      <c r="A523" s="2">
        <v>523</v>
      </c>
      <c r="B523" s="2">
        <v>1</v>
      </c>
      <c r="C523" s="2">
        <v>42</v>
      </c>
      <c r="D523" s="2">
        <v>1</v>
      </c>
      <c r="E523" s="2">
        <v>20</v>
      </c>
      <c r="G523" s="2">
        <v>1</v>
      </c>
      <c r="H523" s="2">
        <v>4</v>
      </c>
      <c r="I523" s="2">
        <v>6794610</v>
      </c>
      <c r="J523" s="2" t="s">
        <v>195</v>
      </c>
      <c r="K523" s="2" t="s">
        <v>558</v>
      </c>
      <c r="L523" s="2" t="str">
        <f>"6CM21903S9"</f>
        <v>6CM21903S9</v>
      </c>
      <c r="M523" s="2" t="s">
        <v>2</v>
      </c>
      <c r="N523" s="18">
        <v>31246</v>
      </c>
      <c r="O523" s="2">
        <v>138</v>
      </c>
    </row>
    <row r="524" spans="1:15" s="2" customFormat="1" x14ac:dyDescent="0.25">
      <c r="A524" s="2">
        <v>524</v>
      </c>
      <c r="B524" s="2">
        <v>1</v>
      </c>
      <c r="C524" s="2">
        <v>42</v>
      </c>
      <c r="D524" s="2">
        <v>1</v>
      </c>
      <c r="E524" s="2">
        <v>20</v>
      </c>
      <c r="G524" s="2">
        <v>1</v>
      </c>
      <c r="H524" s="2">
        <v>4</v>
      </c>
      <c r="I524" s="2">
        <v>13382740</v>
      </c>
      <c r="J524" s="2" t="s">
        <v>197</v>
      </c>
      <c r="K524" s="2" t="s">
        <v>426</v>
      </c>
      <c r="L524" s="2" t="str">
        <f>"FCGLH0DHD2OSC3"</f>
        <v>FCGLH0DHD2OSC3</v>
      </c>
      <c r="M524" s="2" t="s">
        <v>2</v>
      </c>
      <c r="N524" s="18">
        <v>31247</v>
      </c>
      <c r="O524" s="2" t="s">
        <v>561</v>
      </c>
    </row>
    <row r="525" spans="1:15" s="2" customFormat="1" x14ac:dyDescent="0.25">
      <c r="A525" s="2">
        <v>525</v>
      </c>
      <c r="B525" s="2">
        <v>1</v>
      </c>
      <c r="C525" s="2">
        <v>42</v>
      </c>
      <c r="D525" s="2">
        <v>1</v>
      </c>
      <c r="E525" s="2">
        <v>20</v>
      </c>
      <c r="G525" s="2">
        <v>1</v>
      </c>
      <c r="H525" s="2">
        <v>4</v>
      </c>
      <c r="I525" s="2">
        <v>13382741</v>
      </c>
      <c r="J525" s="2" t="s">
        <v>197</v>
      </c>
      <c r="K525" s="2" t="s">
        <v>426</v>
      </c>
      <c r="L525" s="2" t="str">
        <f>"FCGLH0D9W2QC0T"</f>
        <v>FCGLH0D9W2QC0T</v>
      </c>
      <c r="M525" s="2" t="s">
        <v>2</v>
      </c>
      <c r="N525" s="18">
        <v>31248</v>
      </c>
      <c r="O525" s="2" t="s">
        <v>561</v>
      </c>
    </row>
    <row r="526" spans="1:15" s="2" customFormat="1" x14ac:dyDescent="0.25">
      <c r="A526" s="2">
        <v>526</v>
      </c>
      <c r="B526" s="2">
        <v>1</v>
      </c>
      <c r="C526" s="2">
        <v>42</v>
      </c>
      <c r="D526" s="2">
        <v>1</v>
      </c>
      <c r="E526" s="2">
        <v>20</v>
      </c>
      <c r="G526" s="2">
        <v>1</v>
      </c>
      <c r="H526" s="2">
        <v>4</v>
      </c>
      <c r="I526" s="2">
        <v>13382742</v>
      </c>
      <c r="J526" s="2" t="s">
        <v>197</v>
      </c>
      <c r="K526" s="2" t="s">
        <v>426</v>
      </c>
      <c r="L526" s="2" t="str">
        <f>"FCGLH0DHD2OSCQ"</f>
        <v>FCGLH0DHD2OSCQ</v>
      </c>
      <c r="M526" s="2" t="s">
        <v>2</v>
      </c>
      <c r="N526" s="18">
        <v>31249</v>
      </c>
      <c r="O526" s="2" t="s">
        <v>561</v>
      </c>
    </row>
    <row r="527" spans="1:15" s="2" customFormat="1" x14ac:dyDescent="0.25">
      <c r="A527" s="2">
        <v>527</v>
      </c>
      <c r="B527" s="2">
        <v>1</v>
      </c>
      <c r="C527" s="2">
        <v>42</v>
      </c>
      <c r="D527" s="2">
        <v>1</v>
      </c>
      <c r="E527" s="2">
        <v>20</v>
      </c>
      <c r="G527" s="2">
        <v>1</v>
      </c>
      <c r="H527" s="2">
        <v>4</v>
      </c>
      <c r="I527" s="2">
        <v>13382743</v>
      </c>
      <c r="J527" s="2" t="s">
        <v>197</v>
      </c>
      <c r="K527" s="2" t="s">
        <v>562</v>
      </c>
      <c r="L527" s="2" t="str">
        <f>"FATSK0JUJZFBRB"</f>
        <v>FATSK0JUJZFBRB</v>
      </c>
      <c r="M527" s="2" t="s">
        <v>2</v>
      </c>
      <c r="N527" s="18">
        <v>31250</v>
      </c>
      <c r="O527" s="2" t="s">
        <v>561</v>
      </c>
    </row>
    <row r="528" spans="1:15" s="2" customFormat="1" x14ac:dyDescent="0.25">
      <c r="A528" s="2">
        <v>528</v>
      </c>
      <c r="B528" s="2">
        <v>1</v>
      </c>
      <c r="C528" s="2">
        <v>69</v>
      </c>
      <c r="D528" s="2">
        <v>1</v>
      </c>
      <c r="E528" s="2">
        <v>20</v>
      </c>
      <c r="G528" s="2">
        <v>1</v>
      </c>
      <c r="H528" s="2">
        <v>4</v>
      </c>
      <c r="I528" s="2">
        <v>13382745</v>
      </c>
      <c r="J528" s="2" t="s">
        <v>197</v>
      </c>
      <c r="K528" s="2" t="s">
        <v>497</v>
      </c>
      <c r="L528" s="2" t="str">
        <f>"1F48896"</f>
        <v>1F48896</v>
      </c>
      <c r="M528" s="2" t="s">
        <v>2</v>
      </c>
      <c r="N528" s="18">
        <v>31251</v>
      </c>
      <c r="O528" s="2" t="s">
        <v>561</v>
      </c>
    </row>
    <row r="529" spans="1:15" s="2" customFormat="1" x14ac:dyDescent="0.25">
      <c r="A529" s="2">
        <v>529</v>
      </c>
      <c r="B529" s="2">
        <v>1</v>
      </c>
      <c r="C529" s="2">
        <v>42</v>
      </c>
      <c r="D529" s="2">
        <v>1</v>
      </c>
      <c r="E529" s="2">
        <v>20</v>
      </c>
      <c r="G529" s="2">
        <v>1</v>
      </c>
      <c r="H529" s="2">
        <v>4</v>
      </c>
      <c r="I529" s="2">
        <v>13382746</v>
      </c>
      <c r="J529" s="2" t="s">
        <v>197</v>
      </c>
      <c r="K529" s="2" t="s">
        <v>505</v>
      </c>
      <c r="L529" s="2" t="str">
        <f>"FB7330AN3WP1GRT"</f>
        <v>FB7330AN3WP1GRT</v>
      </c>
      <c r="M529" s="2" t="s">
        <v>2</v>
      </c>
      <c r="N529" s="18">
        <v>31252</v>
      </c>
      <c r="O529" s="2" t="s">
        <v>561</v>
      </c>
    </row>
    <row r="530" spans="1:15" s="2" customFormat="1" x14ac:dyDescent="0.25">
      <c r="A530" s="2">
        <v>530</v>
      </c>
      <c r="B530" s="2">
        <v>1</v>
      </c>
      <c r="C530" s="2">
        <v>42</v>
      </c>
      <c r="D530" s="2">
        <v>1</v>
      </c>
      <c r="E530" s="2">
        <v>20</v>
      </c>
      <c r="G530" s="2">
        <v>1</v>
      </c>
      <c r="H530" s="2">
        <v>4</v>
      </c>
      <c r="I530" s="2">
        <v>13382747</v>
      </c>
      <c r="J530" s="2" t="s">
        <v>197</v>
      </c>
      <c r="K530" s="2" t="s">
        <v>545</v>
      </c>
      <c r="L530" s="2" t="str">
        <f>"FCGLH0DDR2UW6R"</f>
        <v>FCGLH0DDR2UW6R</v>
      </c>
      <c r="M530" s="2" t="s">
        <v>2</v>
      </c>
      <c r="N530" s="18">
        <v>31253</v>
      </c>
      <c r="O530" s="2" t="s">
        <v>561</v>
      </c>
    </row>
    <row r="531" spans="1:15" s="2" customFormat="1" x14ac:dyDescent="0.25">
      <c r="A531" s="2">
        <v>531</v>
      </c>
      <c r="B531" s="2">
        <v>1</v>
      </c>
      <c r="C531" s="2">
        <v>42</v>
      </c>
      <c r="D531" s="2">
        <v>1</v>
      </c>
      <c r="E531" s="2">
        <v>20</v>
      </c>
      <c r="G531" s="2">
        <v>1</v>
      </c>
      <c r="H531" s="2">
        <v>4</v>
      </c>
      <c r="I531" s="2">
        <v>13382748</v>
      </c>
      <c r="J531" s="2" t="s">
        <v>197</v>
      </c>
      <c r="K531" s="2" t="s">
        <v>426</v>
      </c>
      <c r="L531" s="2" t="str">
        <f>"FCGLH0D9W2DUMQ"</f>
        <v>FCGLH0D9W2DUMQ</v>
      </c>
      <c r="M531" s="2" t="s">
        <v>2</v>
      </c>
      <c r="N531" s="18">
        <v>31254</v>
      </c>
      <c r="O531" s="2" t="s">
        <v>561</v>
      </c>
    </row>
    <row r="532" spans="1:15" s="2" customFormat="1" x14ac:dyDescent="0.25">
      <c r="A532" s="2">
        <v>532</v>
      </c>
      <c r="B532" s="2">
        <v>1</v>
      </c>
      <c r="C532" s="2">
        <v>42</v>
      </c>
      <c r="D532" s="2">
        <v>1</v>
      </c>
      <c r="E532" s="2">
        <v>20</v>
      </c>
      <c r="G532" s="2">
        <v>1</v>
      </c>
      <c r="H532" s="2">
        <v>4</v>
      </c>
      <c r="I532" s="2">
        <v>13382749</v>
      </c>
      <c r="J532" s="2" t="s">
        <v>197</v>
      </c>
      <c r="K532" s="2" t="s">
        <v>545</v>
      </c>
      <c r="L532" s="2" t="str">
        <f>"FCGLH0D5D2R3ML"</f>
        <v>FCGLH0D5D2R3ML</v>
      </c>
      <c r="M532" s="2" t="s">
        <v>2</v>
      </c>
      <c r="N532" s="18">
        <v>31255</v>
      </c>
      <c r="O532" s="2" t="s">
        <v>561</v>
      </c>
    </row>
    <row r="533" spans="1:15" s="2" customFormat="1" x14ac:dyDescent="0.25">
      <c r="A533" s="2">
        <v>533</v>
      </c>
      <c r="B533" s="2">
        <v>1</v>
      </c>
      <c r="C533" s="2">
        <v>42</v>
      </c>
      <c r="D533" s="2">
        <v>1</v>
      </c>
      <c r="E533" s="2">
        <v>20</v>
      </c>
      <c r="G533" s="2">
        <v>1</v>
      </c>
      <c r="H533" s="2">
        <v>4</v>
      </c>
      <c r="I533" s="2">
        <v>13382750</v>
      </c>
      <c r="J533" s="2" t="s">
        <v>197</v>
      </c>
      <c r="K533" s="2" t="s">
        <v>426</v>
      </c>
      <c r="L533" s="2" t="str">
        <f>"FCGLH0DHD2OB6F"</f>
        <v>FCGLH0DHD2OB6F</v>
      </c>
      <c r="M533" s="2" t="s">
        <v>2</v>
      </c>
      <c r="N533" s="18">
        <v>31256</v>
      </c>
      <c r="O533" s="2" t="s">
        <v>561</v>
      </c>
    </row>
    <row r="534" spans="1:15" s="2" customFormat="1" x14ac:dyDescent="0.25">
      <c r="A534" s="2">
        <v>534</v>
      </c>
      <c r="B534" s="2">
        <v>1</v>
      </c>
      <c r="C534" s="2">
        <v>42</v>
      </c>
      <c r="D534" s="2">
        <v>1</v>
      </c>
      <c r="E534" s="2">
        <v>20</v>
      </c>
      <c r="G534" s="2">
        <v>1</v>
      </c>
      <c r="H534" s="2">
        <v>4</v>
      </c>
      <c r="I534" s="2">
        <v>13382751</v>
      </c>
      <c r="J534" s="2" t="s">
        <v>197</v>
      </c>
      <c r="K534" s="2" t="s">
        <v>426</v>
      </c>
      <c r="L534" s="2" t="str">
        <f>"FCGLH0D9W2DV1L"</f>
        <v>FCGLH0D9W2DV1L</v>
      </c>
      <c r="M534" s="2" t="s">
        <v>2</v>
      </c>
      <c r="N534" s="18">
        <v>31257</v>
      </c>
      <c r="O534" s="2" t="s">
        <v>561</v>
      </c>
    </row>
    <row r="535" spans="1:15" s="2" customFormat="1" x14ac:dyDescent="0.25">
      <c r="A535" s="2">
        <v>535</v>
      </c>
      <c r="B535" s="2">
        <v>1</v>
      </c>
      <c r="C535" s="2">
        <v>42</v>
      </c>
      <c r="D535" s="2">
        <v>1</v>
      </c>
      <c r="E535" s="2">
        <v>20</v>
      </c>
      <c r="G535" s="2">
        <v>1</v>
      </c>
      <c r="H535" s="2">
        <v>4</v>
      </c>
      <c r="I535" s="2">
        <v>13382752</v>
      </c>
      <c r="J535" s="2" t="s">
        <v>197</v>
      </c>
      <c r="K535" s="2" t="s">
        <v>426</v>
      </c>
      <c r="L535" s="2" t="str">
        <f>"FCGLH0D5D2R3N8"</f>
        <v>FCGLH0D5D2R3N8</v>
      </c>
      <c r="M535" s="2" t="s">
        <v>2</v>
      </c>
      <c r="N535" s="18">
        <v>31258</v>
      </c>
      <c r="O535" s="2" t="s">
        <v>561</v>
      </c>
    </row>
    <row r="536" spans="1:15" s="2" customFormat="1" x14ac:dyDescent="0.25">
      <c r="A536" s="2">
        <v>536</v>
      </c>
      <c r="B536" s="2">
        <v>1</v>
      </c>
      <c r="C536" s="2">
        <v>42</v>
      </c>
      <c r="D536" s="2">
        <v>1</v>
      </c>
      <c r="E536" s="2">
        <v>20</v>
      </c>
      <c r="G536" s="2">
        <v>1</v>
      </c>
      <c r="H536" s="2">
        <v>4</v>
      </c>
      <c r="I536" s="2">
        <v>13382753</v>
      </c>
      <c r="J536" s="2" t="s">
        <v>197</v>
      </c>
      <c r="K536" s="2" t="s">
        <v>563</v>
      </c>
      <c r="L536" s="2" t="str">
        <f>"FCGLH0D5D2R3NJ"</f>
        <v>FCGLH0D5D2R3NJ</v>
      </c>
      <c r="M536" s="2" t="s">
        <v>2</v>
      </c>
      <c r="N536" s="18">
        <v>31259</v>
      </c>
      <c r="O536" s="2" t="s">
        <v>561</v>
      </c>
    </row>
    <row r="537" spans="1:15" s="2" customFormat="1" x14ac:dyDescent="0.25">
      <c r="A537" s="2">
        <v>537</v>
      </c>
      <c r="B537" s="2">
        <v>1</v>
      </c>
      <c r="C537" s="2">
        <v>42</v>
      </c>
      <c r="D537" s="2">
        <v>1</v>
      </c>
      <c r="E537" s="2">
        <v>20</v>
      </c>
      <c r="G537" s="2">
        <v>1</v>
      </c>
      <c r="H537" s="2">
        <v>4</v>
      </c>
      <c r="I537" s="2">
        <v>13382754</v>
      </c>
      <c r="J537" s="2" t="s">
        <v>197</v>
      </c>
      <c r="K537" s="2" t="s">
        <v>426</v>
      </c>
      <c r="L537" s="2" t="str">
        <f>"FCGLH0DHD2OT4G"</f>
        <v>FCGLH0DHD2OT4G</v>
      </c>
      <c r="M537" s="2" t="s">
        <v>2</v>
      </c>
      <c r="N537" s="18">
        <v>31260</v>
      </c>
      <c r="O537" s="2" t="s">
        <v>561</v>
      </c>
    </row>
    <row r="538" spans="1:15" s="2" customFormat="1" x14ac:dyDescent="0.25">
      <c r="A538" s="2">
        <v>538</v>
      </c>
      <c r="B538" s="2">
        <v>1</v>
      </c>
      <c r="C538" s="2">
        <v>38</v>
      </c>
      <c r="D538" s="2">
        <v>1</v>
      </c>
      <c r="E538" s="2">
        <v>20</v>
      </c>
      <c r="G538" s="2">
        <v>1</v>
      </c>
      <c r="H538" s="2">
        <v>4</v>
      </c>
      <c r="I538" s="2">
        <v>13382755</v>
      </c>
      <c r="J538" s="2" t="s">
        <v>197</v>
      </c>
      <c r="K538" s="2" t="s">
        <v>503</v>
      </c>
      <c r="L538" s="2" t="str">
        <f>"121695903920"</f>
        <v>121695903920</v>
      </c>
      <c r="M538" s="2" t="s">
        <v>2</v>
      </c>
      <c r="N538" s="18">
        <v>31261</v>
      </c>
      <c r="O538" s="2" t="s">
        <v>561</v>
      </c>
    </row>
    <row r="539" spans="1:15" s="2" customFormat="1" x14ac:dyDescent="0.25">
      <c r="A539" s="2">
        <v>539</v>
      </c>
      <c r="B539" s="2">
        <v>1</v>
      </c>
      <c r="C539" s="2">
        <v>42</v>
      </c>
      <c r="D539" s="2">
        <v>1</v>
      </c>
      <c r="E539" s="2">
        <v>20</v>
      </c>
      <c r="G539" s="2">
        <v>1</v>
      </c>
      <c r="H539" s="2">
        <v>4</v>
      </c>
      <c r="I539" s="2">
        <v>13382760</v>
      </c>
      <c r="J539" s="2" t="s">
        <v>198</v>
      </c>
      <c r="K539" s="2" t="s">
        <v>470</v>
      </c>
      <c r="L539" s="2" t="str">
        <f>"BAUDU0OVB2K2IK"</f>
        <v>BAUDU0OVB2K2IK</v>
      </c>
      <c r="M539" s="2" t="s">
        <v>2</v>
      </c>
      <c r="N539" s="18">
        <v>31262</v>
      </c>
      <c r="O539" s="2" t="s">
        <v>564</v>
      </c>
    </row>
    <row r="540" spans="1:15" s="2" customFormat="1" x14ac:dyDescent="0.25">
      <c r="A540" s="2">
        <v>540</v>
      </c>
      <c r="B540" s="2">
        <v>1</v>
      </c>
      <c r="C540" s="2">
        <v>42</v>
      </c>
      <c r="D540" s="2">
        <v>1</v>
      </c>
      <c r="E540" s="2">
        <v>20</v>
      </c>
      <c r="G540" s="2">
        <v>1</v>
      </c>
      <c r="H540" s="2">
        <v>4</v>
      </c>
      <c r="I540" s="2">
        <v>13382761</v>
      </c>
      <c r="J540" s="2" t="s">
        <v>198</v>
      </c>
      <c r="K540" s="2" t="s">
        <v>470</v>
      </c>
      <c r="L540" s="2" t="str">
        <f>"BAUDU0OVB2L43Q"</f>
        <v>BAUDU0OVB2L43Q</v>
      </c>
      <c r="M540" s="2" t="s">
        <v>2</v>
      </c>
      <c r="N540" s="18">
        <v>31263</v>
      </c>
      <c r="O540" s="2" t="s">
        <v>564</v>
      </c>
    </row>
    <row r="541" spans="1:15" s="2" customFormat="1" x14ac:dyDescent="0.25">
      <c r="A541" s="2">
        <v>541</v>
      </c>
      <c r="B541" s="2">
        <v>1</v>
      </c>
      <c r="C541" s="2">
        <v>42</v>
      </c>
      <c r="D541" s="2">
        <v>1</v>
      </c>
      <c r="E541" s="2">
        <v>20</v>
      </c>
      <c r="G541" s="2">
        <v>1</v>
      </c>
      <c r="H541" s="2">
        <v>4</v>
      </c>
      <c r="I541" s="2">
        <v>13382762</v>
      </c>
      <c r="J541" s="2" t="s">
        <v>198</v>
      </c>
      <c r="K541" s="2" t="s">
        <v>470</v>
      </c>
      <c r="L541" s="2" t="str">
        <f>"BAUDU0OVB2K3CB"</f>
        <v>BAUDU0OVB2K3CB</v>
      </c>
      <c r="M541" s="2" t="s">
        <v>2</v>
      </c>
      <c r="N541" s="18">
        <v>31264</v>
      </c>
      <c r="O541" s="2" t="s">
        <v>564</v>
      </c>
    </row>
    <row r="542" spans="1:15" s="2" customFormat="1" x14ac:dyDescent="0.25">
      <c r="A542" s="2">
        <v>542</v>
      </c>
      <c r="B542" s="2">
        <v>1</v>
      </c>
      <c r="C542" s="2">
        <v>42</v>
      </c>
      <c r="D542" s="2">
        <v>1</v>
      </c>
      <c r="E542" s="2">
        <v>20</v>
      </c>
      <c r="G542" s="2">
        <v>1</v>
      </c>
      <c r="H542" s="2">
        <v>4</v>
      </c>
      <c r="I542" s="2">
        <v>13382763</v>
      </c>
      <c r="J542" s="2" t="s">
        <v>198</v>
      </c>
      <c r="K542" s="2" t="s">
        <v>513</v>
      </c>
      <c r="L542" s="2" t="str">
        <f>"BAUHR0IVBZS1PB"</f>
        <v>BAUHR0IVBZS1PB</v>
      </c>
      <c r="M542" s="2" t="s">
        <v>2</v>
      </c>
      <c r="N542" s="18">
        <v>31265</v>
      </c>
      <c r="O542" s="2" t="s">
        <v>564</v>
      </c>
    </row>
    <row r="543" spans="1:15" s="2" customFormat="1" x14ac:dyDescent="0.25">
      <c r="A543" s="2">
        <v>543</v>
      </c>
      <c r="B543" s="2">
        <v>1</v>
      </c>
      <c r="C543" s="2">
        <v>42</v>
      </c>
      <c r="D543" s="2">
        <v>1</v>
      </c>
      <c r="E543" s="2">
        <v>20</v>
      </c>
      <c r="G543" s="2">
        <v>1</v>
      </c>
      <c r="H543" s="2">
        <v>4</v>
      </c>
      <c r="I543" s="2">
        <v>13382765</v>
      </c>
      <c r="J543" s="2" t="s">
        <v>198</v>
      </c>
      <c r="K543" s="2" t="s">
        <v>470</v>
      </c>
      <c r="L543" s="2" t="str">
        <f>"BC3370FVBW46IV"</f>
        <v>BC3370FVBW46IV</v>
      </c>
      <c r="M543" s="2" t="s">
        <v>2</v>
      </c>
      <c r="N543" s="18">
        <v>31266</v>
      </c>
      <c r="O543" s="2" t="s">
        <v>564</v>
      </c>
    </row>
    <row r="544" spans="1:15" s="2" customFormat="1" x14ac:dyDescent="0.25">
      <c r="A544" s="2">
        <v>544</v>
      </c>
      <c r="B544" s="2">
        <v>1</v>
      </c>
      <c r="C544" s="2">
        <v>42</v>
      </c>
      <c r="D544" s="2">
        <v>1</v>
      </c>
      <c r="E544" s="2">
        <v>20</v>
      </c>
      <c r="G544" s="2">
        <v>1</v>
      </c>
      <c r="H544" s="2">
        <v>4</v>
      </c>
      <c r="I544" s="2">
        <v>13382766</v>
      </c>
      <c r="J544" s="2" t="s">
        <v>198</v>
      </c>
      <c r="K544" s="2" t="s">
        <v>470</v>
      </c>
      <c r="L544" s="2" t="str">
        <f>"BAUDU0OVB2O5PZ"</f>
        <v>BAUDU0OVB2O5PZ</v>
      </c>
      <c r="M544" s="2" t="s">
        <v>2</v>
      </c>
      <c r="N544" s="18">
        <v>31267</v>
      </c>
      <c r="O544" s="2" t="s">
        <v>564</v>
      </c>
    </row>
    <row r="545" spans="1:15" s="2" customFormat="1" x14ac:dyDescent="0.25">
      <c r="A545" s="2">
        <v>545</v>
      </c>
      <c r="B545" s="2">
        <v>1</v>
      </c>
      <c r="C545" s="2">
        <v>42</v>
      </c>
      <c r="D545" s="2">
        <v>1</v>
      </c>
      <c r="E545" s="2">
        <v>20</v>
      </c>
      <c r="G545" s="2">
        <v>1</v>
      </c>
      <c r="H545" s="2">
        <v>4</v>
      </c>
      <c r="I545" s="2">
        <v>13382767</v>
      </c>
      <c r="J545" s="2" t="s">
        <v>198</v>
      </c>
      <c r="K545" s="2" t="s">
        <v>470</v>
      </c>
      <c r="L545" s="2" t="str">
        <f>"BAUDU0OVB2M5U0"</f>
        <v>BAUDU0OVB2M5U0</v>
      </c>
      <c r="M545" s="2" t="s">
        <v>2</v>
      </c>
      <c r="N545" s="18">
        <v>31268</v>
      </c>
      <c r="O545" s="2" t="s">
        <v>564</v>
      </c>
    </row>
    <row r="546" spans="1:15" s="2" customFormat="1" x14ac:dyDescent="0.25">
      <c r="A546" s="2">
        <v>546</v>
      </c>
      <c r="B546" s="2">
        <v>1</v>
      </c>
      <c r="C546" s="2">
        <v>42</v>
      </c>
      <c r="D546" s="2">
        <v>1</v>
      </c>
      <c r="E546" s="2">
        <v>20</v>
      </c>
      <c r="G546" s="2">
        <v>1</v>
      </c>
      <c r="H546" s="2">
        <v>4</v>
      </c>
      <c r="I546" s="2">
        <v>13382768</v>
      </c>
      <c r="J546" s="2" t="s">
        <v>198</v>
      </c>
      <c r="K546" s="2" t="s">
        <v>470</v>
      </c>
      <c r="L546" s="2" t="str">
        <f>"BDAEV0QVB3NAQ5"</f>
        <v>BDAEV0QVB3NAQ5</v>
      </c>
      <c r="M546" s="2" t="s">
        <v>2</v>
      </c>
      <c r="N546" s="18">
        <v>31269</v>
      </c>
      <c r="O546" s="2" t="s">
        <v>564</v>
      </c>
    </row>
    <row r="547" spans="1:15" s="2" customFormat="1" x14ac:dyDescent="0.25">
      <c r="A547" s="2">
        <v>547</v>
      </c>
      <c r="B547" s="2">
        <v>1</v>
      </c>
      <c r="C547" s="2">
        <v>42</v>
      </c>
      <c r="D547" s="2">
        <v>1</v>
      </c>
      <c r="E547" s="2">
        <v>20</v>
      </c>
      <c r="G547" s="2">
        <v>1</v>
      </c>
      <c r="H547" s="2">
        <v>4</v>
      </c>
      <c r="I547" s="2">
        <v>13382769</v>
      </c>
      <c r="J547" s="2" t="s">
        <v>198</v>
      </c>
      <c r="K547" s="2" t="s">
        <v>470</v>
      </c>
      <c r="L547" s="2" t="str">
        <f>"BAUDU0OVB2M5XC"</f>
        <v>BAUDU0OVB2M5XC</v>
      </c>
      <c r="M547" s="2" t="s">
        <v>2</v>
      </c>
      <c r="N547" s="18">
        <v>31270</v>
      </c>
      <c r="O547" s="2" t="s">
        <v>564</v>
      </c>
    </row>
    <row r="548" spans="1:15" s="2" customFormat="1" x14ac:dyDescent="0.25">
      <c r="A548" s="2">
        <v>548</v>
      </c>
      <c r="B548" s="2">
        <v>1</v>
      </c>
      <c r="C548" s="2">
        <v>42</v>
      </c>
      <c r="D548" s="2">
        <v>1</v>
      </c>
      <c r="E548" s="2">
        <v>20</v>
      </c>
      <c r="G548" s="2">
        <v>1</v>
      </c>
      <c r="H548" s="2">
        <v>4</v>
      </c>
      <c r="I548" s="2">
        <v>13382770</v>
      </c>
      <c r="J548" s="2" t="s">
        <v>198</v>
      </c>
      <c r="K548" s="2" t="s">
        <v>470</v>
      </c>
      <c r="L548" s="2" t="str">
        <f>"BAUDU0OVB2P92C"</f>
        <v>BAUDU0OVB2P92C</v>
      </c>
      <c r="M548" s="2" t="s">
        <v>2</v>
      </c>
      <c r="N548" s="18">
        <v>31271</v>
      </c>
      <c r="O548" s="2" t="s">
        <v>564</v>
      </c>
    </row>
    <row r="549" spans="1:15" s="2" customFormat="1" x14ac:dyDescent="0.25">
      <c r="A549" s="2">
        <v>549</v>
      </c>
      <c r="B549" s="2">
        <v>1</v>
      </c>
      <c r="C549" s="2">
        <v>42</v>
      </c>
      <c r="D549" s="2">
        <v>1</v>
      </c>
      <c r="E549" s="2">
        <v>20</v>
      </c>
      <c r="G549" s="2">
        <v>1</v>
      </c>
      <c r="H549" s="2">
        <v>4</v>
      </c>
      <c r="I549" s="2">
        <v>13382771</v>
      </c>
      <c r="J549" s="2" t="s">
        <v>198</v>
      </c>
      <c r="K549" s="2" t="s">
        <v>470</v>
      </c>
      <c r="L549" s="2" t="str">
        <f>"BAUDU0OVB2M25P"</f>
        <v>BAUDU0OVB2M25P</v>
      </c>
      <c r="M549" s="2" t="s">
        <v>2</v>
      </c>
      <c r="N549" s="18">
        <v>31272</v>
      </c>
      <c r="O549" s="2" t="s">
        <v>564</v>
      </c>
    </row>
    <row r="550" spans="1:15" s="2" customFormat="1" x14ac:dyDescent="0.25">
      <c r="A550" s="2">
        <v>550</v>
      </c>
      <c r="B550" s="2">
        <v>1</v>
      </c>
      <c r="C550" s="2">
        <v>42</v>
      </c>
      <c r="D550" s="2">
        <v>1</v>
      </c>
      <c r="E550" s="2">
        <v>20</v>
      </c>
      <c r="G550" s="2">
        <v>1</v>
      </c>
      <c r="H550" s="2">
        <v>4</v>
      </c>
      <c r="I550" s="2">
        <v>13382772</v>
      </c>
      <c r="J550" s="2" t="s">
        <v>198</v>
      </c>
      <c r="K550" s="2" t="s">
        <v>470</v>
      </c>
      <c r="L550" s="2" t="str">
        <f>"BAUDU0OVB2PCWN"</f>
        <v>BAUDU0OVB2PCWN</v>
      </c>
      <c r="M550" s="2" t="s">
        <v>2</v>
      </c>
      <c r="N550" s="18">
        <v>31273</v>
      </c>
      <c r="O550" s="2" t="s">
        <v>564</v>
      </c>
    </row>
    <row r="551" spans="1:15" s="2" customFormat="1" x14ac:dyDescent="0.25">
      <c r="A551" s="2">
        <v>551</v>
      </c>
      <c r="B551" s="2">
        <v>1</v>
      </c>
      <c r="C551" s="2">
        <v>42</v>
      </c>
      <c r="D551" s="2">
        <v>1</v>
      </c>
      <c r="E551" s="2">
        <v>20</v>
      </c>
      <c r="G551" s="2">
        <v>1</v>
      </c>
      <c r="H551" s="2">
        <v>4</v>
      </c>
      <c r="I551" s="2">
        <v>13382773</v>
      </c>
      <c r="J551" s="2" t="s">
        <v>198</v>
      </c>
      <c r="K551" s="2" t="s">
        <v>470</v>
      </c>
      <c r="L551" s="2" t="str">
        <f>"BAUDU0OVB205JK"</f>
        <v>BAUDU0OVB205JK</v>
      </c>
      <c r="M551" s="2" t="s">
        <v>2</v>
      </c>
      <c r="N551" s="18">
        <v>31274</v>
      </c>
      <c r="O551" s="2" t="s">
        <v>564</v>
      </c>
    </row>
    <row r="552" spans="1:15" s="2" customFormat="1" x14ac:dyDescent="0.25">
      <c r="A552" s="2">
        <v>552</v>
      </c>
      <c r="B552" s="2">
        <v>1</v>
      </c>
      <c r="C552" s="2">
        <v>42</v>
      </c>
      <c r="D552" s="2">
        <v>1</v>
      </c>
      <c r="E552" s="2">
        <v>20</v>
      </c>
      <c r="G552" s="2">
        <v>1</v>
      </c>
      <c r="H552" s="2">
        <v>4</v>
      </c>
      <c r="I552" s="2">
        <v>13382774</v>
      </c>
      <c r="J552" s="2" t="s">
        <v>198</v>
      </c>
      <c r="K552" s="2" t="s">
        <v>470</v>
      </c>
      <c r="L552" s="2" t="str">
        <f>"BAUDU0OVB2M5XI"</f>
        <v>BAUDU0OVB2M5XI</v>
      </c>
      <c r="M552" s="2" t="s">
        <v>2</v>
      </c>
      <c r="N552" s="18">
        <v>31275</v>
      </c>
      <c r="O552" s="2" t="s">
        <v>564</v>
      </c>
    </row>
    <row r="553" spans="1:15" s="2" customFormat="1" x14ac:dyDescent="0.25">
      <c r="A553" s="2">
        <v>553</v>
      </c>
      <c r="B553" s="2">
        <v>1</v>
      </c>
      <c r="C553" s="2">
        <v>42</v>
      </c>
      <c r="D553" s="2">
        <v>1</v>
      </c>
      <c r="E553" s="2">
        <v>20</v>
      </c>
      <c r="G553" s="2">
        <v>1</v>
      </c>
      <c r="H553" s="2">
        <v>4</v>
      </c>
      <c r="I553" s="2">
        <v>13382775</v>
      </c>
      <c r="J553" s="2" t="s">
        <v>198</v>
      </c>
      <c r="K553" s="2" t="s">
        <v>470</v>
      </c>
      <c r="L553" s="2" t="str">
        <f>"BAUDU0OVB2L3JP"</f>
        <v>BAUDU0OVB2L3JP</v>
      </c>
      <c r="M553" s="2" t="s">
        <v>2</v>
      </c>
      <c r="N553" s="18">
        <v>31276</v>
      </c>
      <c r="O553" s="2" t="s">
        <v>564</v>
      </c>
    </row>
    <row r="554" spans="1:15" s="2" customFormat="1" x14ac:dyDescent="0.25">
      <c r="A554" s="2">
        <v>554</v>
      </c>
      <c r="B554" s="2">
        <v>2</v>
      </c>
      <c r="C554" s="2">
        <v>76</v>
      </c>
      <c r="D554" s="2">
        <v>2</v>
      </c>
      <c r="E554" s="2">
        <v>20</v>
      </c>
      <c r="G554" s="2">
        <v>1</v>
      </c>
      <c r="H554" s="2">
        <v>39</v>
      </c>
      <c r="I554" s="2">
        <v>7606391</v>
      </c>
      <c r="J554" s="2" t="s">
        <v>189</v>
      </c>
      <c r="K554" s="2" t="s">
        <v>381</v>
      </c>
      <c r="L554" s="2" t="str">
        <f>"14101030112026"</f>
        <v>14101030112026</v>
      </c>
      <c r="M554" s="2" t="s">
        <v>2</v>
      </c>
      <c r="N554" s="18">
        <v>31277</v>
      </c>
      <c r="O554" s="2">
        <v>205</v>
      </c>
    </row>
    <row r="555" spans="1:15" s="2" customFormat="1" x14ac:dyDescent="0.25">
      <c r="A555" s="2">
        <v>555</v>
      </c>
      <c r="B555" s="2">
        <v>2</v>
      </c>
      <c r="C555" s="2">
        <v>76</v>
      </c>
      <c r="D555" s="2">
        <v>1</v>
      </c>
      <c r="E555" s="2">
        <v>20</v>
      </c>
      <c r="G555" s="2">
        <v>1</v>
      </c>
      <c r="H555" s="2">
        <v>39</v>
      </c>
      <c r="I555" s="2">
        <v>7606399</v>
      </c>
      <c r="J555" s="2" t="s">
        <v>275</v>
      </c>
      <c r="K555" s="2" t="s">
        <v>350</v>
      </c>
      <c r="L555" s="2" t="str">
        <f>"14101030113001"</f>
        <v>14101030113001</v>
      </c>
      <c r="M555" s="2" t="s">
        <v>2</v>
      </c>
      <c r="N555" s="18">
        <v>31278</v>
      </c>
      <c r="O555" s="2">
        <v>229</v>
      </c>
    </row>
    <row r="556" spans="1:15" s="2" customFormat="1" x14ac:dyDescent="0.25">
      <c r="A556" s="2">
        <v>556</v>
      </c>
      <c r="B556" s="2">
        <v>2</v>
      </c>
      <c r="C556" s="2">
        <v>76</v>
      </c>
      <c r="D556" s="2">
        <v>1</v>
      </c>
      <c r="E556" s="2">
        <v>20</v>
      </c>
      <c r="G556" s="2">
        <v>1</v>
      </c>
      <c r="H556" s="2">
        <v>39</v>
      </c>
      <c r="I556" s="2">
        <v>7606400</v>
      </c>
      <c r="J556" s="2" t="s">
        <v>275</v>
      </c>
      <c r="K556" s="2" t="s">
        <v>350</v>
      </c>
      <c r="L556" s="2" t="str">
        <f>"14101030113002"</f>
        <v>14101030113002</v>
      </c>
      <c r="M556" s="2" t="s">
        <v>2</v>
      </c>
      <c r="N556" s="18">
        <v>31279</v>
      </c>
      <c r="O556" s="2">
        <v>229</v>
      </c>
    </row>
    <row r="557" spans="1:15" s="2" customFormat="1" x14ac:dyDescent="0.25">
      <c r="A557" s="2">
        <v>557</v>
      </c>
      <c r="B557" s="2">
        <v>2</v>
      </c>
      <c r="C557" s="2">
        <v>76</v>
      </c>
      <c r="D557" s="2">
        <v>1</v>
      </c>
      <c r="E557" s="2">
        <v>20</v>
      </c>
      <c r="G557" s="2">
        <v>1</v>
      </c>
      <c r="H557" s="2">
        <v>39</v>
      </c>
      <c r="I557" s="2">
        <v>7606401</v>
      </c>
      <c r="J557" s="2" t="s">
        <v>275</v>
      </c>
      <c r="K557" s="2" t="s">
        <v>350</v>
      </c>
      <c r="L557" s="2" t="str">
        <f>"14101030113003"</f>
        <v>14101030113003</v>
      </c>
      <c r="M557" s="2" t="s">
        <v>2</v>
      </c>
      <c r="N557" s="18">
        <v>31280</v>
      </c>
      <c r="O557" s="2">
        <v>229</v>
      </c>
    </row>
    <row r="558" spans="1:15" s="2" customFormat="1" x14ac:dyDescent="0.25">
      <c r="A558" s="2">
        <v>558</v>
      </c>
      <c r="B558" s="2">
        <v>2</v>
      </c>
      <c r="C558" s="2">
        <v>76</v>
      </c>
      <c r="D558" s="2">
        <v>1</v>
      </c>
      <c r="E558" s="2">
        <v>10</v>
      </c>
      <c r="G558" s="2">
        <v>1</v>
      </c>
      <c r="H558" s="2">
        <v>39</v>
      </c>
      <c r="I558" s="2">
        <v>7606316</v>
      </c>
      <c r="J558" s="2" t="s">
        <v>276</v>
      </c>
      <c r="K558" s="2" t="s">
        <v>350</v>
      </c>
      <c r="L558" s="2" t="str">
        <f>"14101030102001"</f>
        <v>14101030102001</v>
      </c>
      <c r="M558" s="2" t="s">
        <v>2</v>
      </c>
      <c r="N558" s="18">
        <v>31281</v>
      </c>
      <c r="O558" s="2">
        <v>330</v>
      </c>
    </row>
    <row r="559" spans="1:15" s="2" customFormat="1" x14ac:dyDescent="0.25">
      <c r="A559" s="2">
        <v>559</v>
      </c>
      <c r="B559" s="2">
        <v>2</v>
      </c>
      <c r="C559" s="2">
        <v>76</v>
      </c>
      <c r="D559" s="2">
        <v>1</v>
      </c>
      <c r="E559" s="2">
        <v>10</v>
      </c>
      <c r="G559" s="2">
        <v>1</v>
      </c>
      <c r="H559" s="2">
        <v>39</v>
      </c>
      <c r="I559" s="2">
        <v>7606317</v>
      </c>
      <c r="J559" s="2" t="s">
        <v>276</v>
      </c>
      <c r="K559" s="2" t="s">
        <v>350</v>
      </c>
      <c r="L559" s="2" t="str">
        <f>"14101030102002"</f>
        <v>14101030102002</v>
      </c>
      <c r="M559" s="2" t="s">
        <v>2</v>
      </c>
      <c r="N559" s="18">
        <v>31282</v>
      </c>
      <c r="O559" s="2">
        <v>330</v>
      </c>
    </row>
    <row r="560" spans="1:15" s="2" customFormat="1" x14ac:dyDescent="0.25">
      <c r="A560" s="2">
        <v>560</v>
      </c>
      <c r="B560" s="2">
        <v>2</v>
      </c>
      <c r="C560" s="2">
        <v>76</v>
      </c>
      <c r="D560" s="2">
        <v>2</v>
      </c>
      <c r="E560" s="2">
        <v>10</v>
      </c>
      <c r="G560" s="2">
        <v>1</v>
      </c>
      <c r="H560" s="2">
        <v>39</v>
      </c>
      <c r="I560" s="2">
        <v>7606318</v>
      </c>
      <c r="J560" s="2" t="s">
        <v>276</v>
      </c>
      <c r="K560" s="2" t="s">
        <v>350</v>
      </c>
      <c r="L560" s="2" t="str">
        <f>"14101030102003"</f>
        <v>14101030102003</v>
      </c>
      <c r="M560" s="2" t="s">
        <v>2</v>
      </c>
      <c r="N560" s="18">
        <v>31283</v>
      </c>
      <c r="O560" s="2">
        <v>330</v>
      </c>
    </row>
    <row r="561" spans="1:15" s="2" customFormat="1" x14ac:dyDescent="0.25">
      <c r="A561" s="2">
        <v>561</v>
      </c>
      <c r="B561" s="2">
        <v>2</v>
      </c>
      <c r="C561" s="2">
        <v>76</v>
      </c>
      <c r="D561" s="2">
        <v>1</v>
      </c>
      <c r="E561" s="2">
        <v>10</v>
      </c>
      <c r="G561" s="2">
        <v>1</v>
      </c>
      <c r="H561" s="2">
        <v>39</v>
      </c>
      <c r="I561" s="2">
        <v>7606335</v>
      </c>
      <c r="J561" s="2" t="s">
        <v>185</v>
      </c>
      <c r="K561" s="2" t="s">
        <v>350</v>
      </c>
      <c r="L561" s="2" t="str">
        <f>"14101030105017"</f>
        <v>14101030105017</v>
      </c>
      <c r="M561" s="2" t="s">
        <v>2</v>
      </c>
      <c r="N561" s="18">
        <v>31284</v>
      </c>
      <c r="O561" s="2">
        <v>299</v>
      </c>
    </row>
    <row r="562" spans="1:15" s="2" customFormat="1" x14ac:dyDescent="0.25">
      <c r="A562" s="2">
        <v>562</v>
      </c>
      <c r="B562" s="2">
        <v>2</v>
      </c>
      <c r="C562" s="2">
        <v>76</v>
      </c>
      <c r="D562" s="2">
        <v>1</v>
      </c>
      <c r="E562" s="2">
        <v>10</v>
      </c>
      <c r="G562" s="2">
        <v>1</v>
      </c>
      <c r="H562" s="2">
        <v>39</v>
      </c>
      <c r="I562" s="2">
        <v>7606336</v>
      </c>
      <c r="J562" s="2" t="s">
        <v>185</v>
      </c>
      <c r="K562" s="2" t="s">
        <v>350</v>
      </c>
      <c r="L562" s="2" t="str">
        <f>"14101030105018"</f>
        <v>14101030105018</v>
      </c>
      <c r="M562" s="2" t="s">
        <v>2</v>
      </c>
      <c r="N562" s="18">
        <v>31285</v>
      </c>
      <c r="O562" s="2">
        <v>299</v>
      </c>
    </row>
    <row r="563" spans="1:15" s="2" customFormat="1" x14ac:dyDescent="0.25">
      <c r="A563" s="2">
        <v>563</v>
      </c>
      <c r="B563" s="2">
        <v>2</v>
      </c>
      <c r="C563" s="2">
        <v>76</v>
      </c>
      <c r="D563" s="2">
        <v>1</v>
      </c>
      <c r="E563" s="2">
        <v>10</v>
      </c>
      <c r="G563" s="2">
        <v>1</v>
      </c>
      <c r="H563" s="2">
        <v>39</v>
      </c>
      <c r="I563" s="2">
        <v>7606337</v>
      </c>
      <c r="J563" s="2" t="s">
        <v>185</v>
      </c>
      <c r="K563" s="2" t="s">
        <v>350</v>
      </c>
      <c r="L563" s="2" t="str">
        <f>"14101030105019"</f>
        <v>14101030105019</v>
      </c>
      <c r="M563" s="2" t="s">
        <v>2</v>
      </c>
      <c r="N563" s="18">
        <v>31286</v>
      </c>
      <c r="O563" s="2">
        <v>299</v>
      </c>
    </row>
    <row r="564" spans="1:15" s="2" customFormat="1" x14ac:dyDescent="0.25">
      <c r="A564" s="2">
        <v>564</v>
      </c>
      <c r="B564" s="2">
        <v>2</v>
      </c>
      <c r="C564" s="2">
        <v>76</v>
      </c>
      <c r="D564" s="2">
        <v>1</v>
      </c>
      <c r="E564" s="2">
        <v>10</v>
      </c>
      <c r="G564" s="2">
        <v>1</v>
      </c>
      <c r="H564" s="2">
        <v>39</v>
      </c>
      <c r="I564" s="2">
        <v>7606338</v>
      </c>
      <c r="J564" s="2" t="s">
        <v>185</v>
      </c>
      <c r="K564" s="2" t="s">
        <v>350</v>
      </c>
      <c r="L564" s="2" t="str">
        <f>"14101030105020"</f>
        <v>14101030105020</v>
      </c>
      <c r="M564" s="2" t="s">
        <v>2</v>
      </c>
      <c r="N564" s="18">
        <v>31287</v>
      </c>
      <c r="O564" s="2">
        <v>299</v>
      </c>
    </row>
    <row r="565" spans="1:15" s="2" customFormat="1" x14ac:dyDescent="0.25">
      <c r="A565" s="2">
        <v>565</v>
      </c>
      <c r="B565" s="2">
        <v>2</v>
      </c>
      <c r="C565" s="2">
        <v>76</v>
      </c>
      <c r="D565" s="2">
        <v>2</v>
      </c>
      <c r="E565" s="2">
        <v>10</v>
      </c>
      <c r="G565" s="2">
        <v>1</v>
      </c>
      <c r="H565" s="2">
        <v>39</v>
      </c>
      <c r="I565" s="2">
        <v>7606349</v>
      </c>
      <c r="J565" s="2" t="s">
        <v>277</v>
      </c>
      <c r="K565" s="2" t="s">
        <v>565</v>
      </c>
      <c r="L565" s="2" t="str">
        <f>"14101030109004"</f>
        <v>14101030109004</v>
      </c>
      <c r="M565" s="2" t="s">
        <v>2</v>
      </c>
      <c r="N565" s="18">
        <v>31288</v>
      </c>
      <c r="O565" s="2">
        <v>242</v>
      </c>
    </row>
    <row r="566" spans="1:15" s="2" customFormat="1" x14ac:dyDescent="0.25">
      <c r="A566" s="2">
        <v>566</v>
      </c>
      <c r="B566" s="2">
        <v>2</v>
      </c>
      <c r="C566" s="2">
        <v>76</v>
      </c>
      <c r="D566" s="2">
        <v>1</v>
      </c>
      <c r="E566" s="2">
        <v>20</v>
      </c>
      <c r="G566" s="2">
        <v>1</v>
      </c>
      <c r="H566" s="2">
        <v>39</v>
      </c>
      <c r="I566" s="2">
        <v>7606363</v>
      </c>
      <c r="J566" s="2" t="s">
        <v>183</v>
      </c>
      <c r="K566" s="2" t="s">
        <v>387</v>
      </c>
      <c r="L566" s="2" t="str">
        <f>"14101030111002"</f>
        <v>14101030111002</v>
      </c>
      <c r="M566" s="2" t="s">
        <v>2</v>
      </c>
      <c r="N566" s="18">
        <v>31289</v>
      </c>
      <c r="O566" s="2">
        <v>110</v>
      </c>
    </row>
    <row r="567" spans="1:15" s="2" customFormat="1" x14ac:dyDescent="0.25">
      <c r="A567" s="2">
        <v>567</v>
      </c>
      <c r="B567" s="2">
        <v>2</v>
      </c>
      <c r="C567" s="2">
        <v>76</v>
      </c>
      <c r="D567" s="2">
        <v>1</v>
      </c>
      <c r="E567" s="2">
        <v>20</v>
      </c>
      <c r="G567" s="2">
        <v>1</v>
      </c>
      <c r="H567" s="2">
        <v>39</v>
      </c>
      <c r="I567" s="2">
        <v>7606364</v>
      </c>
      <c r="J567" s="2" t="s">
        <v>183</v>
      </c>
      <c r="K567" s="2" t="s">
        <v>387</v>
      </c>
      <c r="L567" s="2" t="str">
        <f>"14101030111003"</f>
        <v>14101030111003</v>
      </c>
      <c r="M567" s="2" t="s">
        <v>2</v>
      </c>
      <c r="N567" s="18">
        <v>31290</v>
      </c>
      <c r="O567" s="2">
        <v>110</v>
      </c>
    </row>
    <row r="568" spans="1:15" s="2" customFormat="1" x14ac:dyDescent="0.25">
      <c r="A568" s="2">
        <v>568</v>
      </c>
      <c r="B568" s="2">
        <v>2</v>
      </c>
      <c r="C568" s="2">
        <v>76</v>
      </c>
      <c r="D568" s="2">
        <v>1</v>
      </c>
      <c r="E568" s="2">
        <v>20</v>
      </c>
      <c r="G568" s="2">
        <v>1</v>
      </c>
      <c r="H568" s="2">
        <v>39</v>
      </c>
      <c r="I568" s="2">
        <v>7606365</v>
      </c>
      <c r="J568" s="2" t="s">
        <v>183</v>
      </c>
      <c r="K568" s="2" t="s">
        <v>387</v>
      </c>
      <c r="L568" s="2" t="str">
        <f>"14101030111004"</f>
        <v>14101030111004</v>
      </c>
      <c r="M568" s="2" t="s">
        <v>2</v>
      </c>
      <c r="N568" s="18">
        <v>31291</v>
      </c>
      <c r="O568" s="2">
        <v>110</v>
      </c>
    </row>
    <row r="569" spans="1:15" s="2" customFormat="1" x14ac:dyDescent="0.25">
      <c r="A569" s="2">
        <v>569</v>
      </c>
      <c r="B569" s="2">
        <v>2</v>
      </c>
      <c r="C569" s="2">
        <v>76</v>
      </c>
      <c r="D569" s="2">
        <v>1</v>
      </c>
      <c r="E569" s="2">
        <v>20</v>
      </c>
      <c r="G569" s="2">
        <v>1</v>
      </c>
      <c r="H569" s="2">
        <v>39</v>
      </c>
      <c r="I569" s="2">
        <v>7606366</v>
      </c>
      <c r="J569" s="2" t="s">
        <v>183</v>
      </c>
      <c r="K569" s="2" t="s">
        <v>387</v>
      </c>
      <c r="L569" s="2" t="str">
        <f>"14101030111005"</f>
        <v>14101030111005</v>
      </c>
      <c r="M569" s="2" t="s">
        <v>2</v>
      </c>
      <c r="N569" s="18">
        <v>31292</v>
      </c>
      <c r="O569" s="2">
        <v>110</v>
      </c>
    </row>
    <row r="570" spans="1:15" s="2" customFormat="1" x14ac:dyDescent="0.25">
      <c r="A570" s="2">
        <v>570</v>
      </c>
      <c r="B570" s="2">
        <v>2</v>
      </c>
      <c r="C570" s="2">
        <v>76</v>
      </c>
      <c r="D570" s="2">
        <v>1</v>
      </c>
      <c r="E570" s="2">
        <v>20</v>
      </c>
      <c r="G570" s="2">
        <v>1</v>
      </c>
      <c r="H570" s="2">
        <v>39</v>
      </c>
      <c r="I570" s="2">
        <v>7606367</v>
      </c>
      <c r="J570" s="2" t="s">
        <v>183</v>
      </c>
      <c r="K570" s="2" t="s">
        <v>387</v>
      </c>
      <c r="L570" s="2" t="str">
        <f>"14101030111006"</f>
        <v>14101030111006</v>
      </c>
      <c r="M570" s="2" t="s">
        <v>2</v>
      </c>
      <c r="N570" s="18">
        <v>31293</v>
      </c>
      <c r="O570" s="2">
        <v>110</v>
      </c>
    </row>
    <row r="571" spans="1:15" s="2" customFormat="1" x14ac:dyDescent="0.25">
      <c r="A571" s="2">
        <v>571</v>
      </c>
      <c r="B571" s="2">
        <v>2</v>
      </c>
      <c r="C571" s="2">
        <v>76</v>
      </c>
      <c r="D571" s="2">
        <v>1</v>
      </c>
      <c r="E571" s="2">
        <v>20</v>
      </c>
      <c r="G571" s="2">
        <v>1</v>
      </c>
      <c r="H571" s="2">
        <v>39</v>
      </c>
      <c r="I571" s="2">
        <v>7606368</v>
      </c>
      <c r="J571" s="2" t="s">
        <v>183</v>
      </c>
      <c r="K571" s="2" t="s">
        <v>387</v>
      </c>
      <c r="L571" s="2" t="str">
        <f>"14101030111007"</f>
        <v>14101030111007</v>
      </c>
      <c r="M571" s="2" t="s">
        <v>2</v>
      </c>
      <c r="N571" s="18">
        <v>31294</v>
      </c>
      <c r="O571" s="2">
        <v>110</v>
      </c>
    </row>
    <row r="572" spans="1:15" s="2" customFormat="1" x14ac:dyDescent="0.25">
      <c r="A572" s="2">
        <v>572</v>
      </c>
      <c r="B572" s="2">
        <v>2</v>
      </c>
      <c r="C572" s="2">
        <v>76</v>
      </c>
      <c r="D572" s="2">
        <v>1</v>
      </c>
      <c r="E572" s="2">
        <v>20</v>
      </c>
      <c r="G572" s="2">
        <v>1</v>
      </c>
      <c r="H572" s="2">
        <v>39</v>
      </c>
      <c r="I572" s="2">
        <v>7606369</v>
      </c>
      <c r="J572" s="2" t="s">
        <v>183</v>
      </c>
      <c r="K572" s="2" t="s">
        <v>387</v>
      </c>
      <c r="L572" s="2" t="str">
        <f>"14101030111008"</f>
        <v>14101030111008</v>
      </c>
      <c r="M572" s="2" t="s">
        <v>2</v>
      </c>
      <c r="N572" s="18">
        <v>31295</v>
      </c>
      <c r="O572" s="2">
        <v>110</v>
      </c>
    </row>
    <row r="573" spans="1:15" s="2" customFormat="1" x14ac:dyDescent="0.25">
      <c r="A573" s="2">
        <v>573</v>
      </c>
      <c r="B573" s="2">
        <v>2</v>
      </c>
      <c r="C573" s="2">
        <v>76</v>
      </c>
      <c r="D573" s="2">
        <v>1</v>
      </c>
      <c r="E573" s="2">
        <v>20</v>
      </c>
      <c r="G573" s="2">
        <v>1</v>
      </c>
      <c r="H573" s="2">
        <v>39</v>
      </c>
      <c r="I573" s="2">
        <v>7606370</v>
      </c>
      <c r="J573" s="2" t="s">
        <v>183</v>
      </c>
      <c r="K573" s="2" t="s">
        <v>387</v>
      </c>
      <c r="L573" s="2" t="str">
        <f>"14101030111009"</f>
        <v>14101030111009</v>
      </c>
      <c r="M573" s="2" t="s">
        <v>2</v>
      </c>
      <c r="N573" s="18">
        <v>31296</v>
      </c>
      <c r="O573" s="2">
        <v>110</v>
      </c>
    </row>
    <row r="574" spans="1:15" s="2" customFormat="1" x14ac:dyDescent="0.25">
      <c r="A574" s="2">
        <v>574</v>
      </c>
      <c r="B574" s="2">
        <v>2</v>
      </c>
      <c r="C574" s="2">
        <v>76</v>
      </c>
      <c r="D574" s="2">
        <v>1</v>
      </c>
      <c r="E574" s="2">
        <v>20</v>
      </c>
      <c r="G574" s="2">
        <v>1</v>
      </c>
      <c r="H574" s="2">
        <v>39</v>
      </c>
      <c r="I574" s="2">
        <v>7606371</v>
      </c>
      <c r="J574" s="2" t="s">
        <v>183</v>
      </c>
      <c r="K574" s="2" t="s">
        <v>387</v>
      </c>
      <c r="L574" s="2" t="str">
        <f>"14101030111010"</f>
        <v>14101030111010</v>
      </c>
      <c r="M574" s="2" t="s">
        <v>2</v>
      </c>
      <c r="N574" s="18">
        <v>31297</v>
      </c>
      <c r="O574" s="2">
        <v>110</v>
      </c>
    </row>
    <row r="575" spans="1:15" s="2" customFormat="1" x14ac:dyDescent="0.25">
      <c r="A575" s="2">
        <v>575</v>
      </c>
      <c r="B575" s="2">
        <v>2</v>
      </c>
      <c r="C575" s="2">
        <v>76</v>
      </c>
      <c r="D575" s="2">
        <v>1</v>
      </c>
      <c r="E575" s="2">
        <v>20</v>
      </c>
      <c r="G575" s="2">
        <v>1</v>
      </c>
      <c r="H575" s="2">
        <v>39</v>
      </c>
      <c r="I575" s="2">
        <v>7606372</v>
      </c>
      <c r="J575" s="2" t="s">
        <v>177</v>
      </c>
      <c r="K575" s="2" t="s">
        <v>350</v>
      </c>
      <c r="L575" s="2" t="str">
        <f>"14101030111011"</f>
        <v>14101030111011</v>
      </c>
      <c r="M575" s="2" t="s">
        <v>2</v>
      </c>
      <c r="N575" s="18">
        <v>31298</v>
      </c>
      <c r="O575" s="2">
        <v>105</v>
      </c>
    </row>
    <row r="576" spans="1:15" s="2" customFormat="1" x14ac:dyDescent="0.25">
      <c r="A576" s="2">
        <v>576</v>
      </c>
      <c r="B576" s="2">
        <v>2</v>
      </c>
      <c r="C576" s="2">
        <v>76</v>
      </c>
      <c r="D576" s="2">
        <v>1</v>
      </c>
      <c r="E576" s="2">
        <v>20</v>
      </c>
      <c r="G576" s="2">
        <v>1</v>
      </c>
      <c r="H576" s="2">
        <v>39</v>
      </c>
      <c r="I576" s="2">
        <v>7606373</v>
      </c>
      <c r="J576" s="2" t="s">
        <v>177</v>
      </c>
      <c r="K576" s="2" t="s">
        <v>350</v>
      </c>
      <c r="L576" s="2" t="str">
        <f>"14101030111012"</f>
        <v>14101030111012</v>
      </c>
      <c r="M576" s="2" t="s">
        <v>2</v>
      </c>
      <c r="N576" s="18">
        <v>31299</v>
      </c>
      <c r="O576" s="2">
        <v>105</v>
      </c>
    </row>
    <row r="577" spans="1:15" s="2" customFormat="1" x14ac:dyDescent="0.25">
      <c r="A577" s="2">
        <v>577</v>
      </c>
      <c r="B577" s="2">
        <v>2</v>
      </c>
      <c r="C577" s="2">
        <v>76</v>
      </c>
      <c r="D577" s="2">
        <v>1</v>
      </c>
      <c r="E577" s="2">
        <v>20</v>
      </c>
      <c r="G577" s="2">
        <v>1</v>
      </c>
      <c r="H577" s="2">
        <v>39</v>
      </c>
      <c r="I577" s="2">
        <v>13184450</v>
      </c>
      <c r="J577" s="2" t="s">
        <v>177</v>
      </c>
      <c r="K577" s="2" t="s">
        <v>364</v>
      </c>
      <c r="L577" s="2" t="str">
        <f>"63445030113209"</f>
        <v>63445030113209</v>
      </c>
      <c r="M577" s="2" t="s">
        <v>2</v>
      </c>
      <c r="N577" s="18">
        <v>31300</v>
      </c>
      <c r="O577" s="2">
        <v>45</v>
      </c>
    </row>
    <row r="578" spans="1:15" s="2" customFormat="1" x14ac:dyDescent="0.25">
      <c r="A578" s="2">
        <v>578</v>
      </c>
      <c r="B578" s="2">
        <v>2</v>
      </c>
      <c r="C578" s="2">
        <v>76</v>
      </c>
      <c r="D578" s="2">
        <v>1</v>
      </c>
      <c r="E578" s="2">
        <v>20</v>
      </c>
      <c r="G578" s="2">
        <v>1</v>
      </c>
      <c r="H578" s="2">
        <v>39</v>
      </c>
      <c r="I578" s="2">
        <v>13184451</v>
      </c>
      <c r="J578" s="2" t="s">
        <v>177</v>
      </c>
      <c r="K578" s="2" t="s">
        <v>364</v>
      </c>
      <c r="L578" s="2" t="str">
        <f>"63445030113210"</f>
        <v>63445030113210</v>
      </c>
      <c r="M578" s="2" t="s">
        <v>2</v>
      </c>
      <c r="N578" s="18">
        <v>31301</v>
      </c>
      <c r="O578" s="2">
        <v>45</v>
      </c>
    </row>
    <row r="579" spans="1:15" s="2" customFormat="1" x14ac:dyDescent="0.25">
      <c r="A579" s="2">
        <v>579</v>
      </c>
      <c r="B579" s="2">
        <v>2</v>
      </c>
      <c r="C579" s="2">
        <v>76</v>
      </c>
      <c r="D579" s="2">
        <v>1</v>
      </c>
      <c r="E579" s="2">
        <v>20</v>
      </c>
      <c r="G579" s="2">
        <v>1</v>
      </c>
      <c r="H579" s="2">
        <v>39</v>
      </c>
      <c r="I579" s="2">
        <v>13184452</v>
      </c>
      <c r="J579" s="2" t="s">
        <v>177</v>
      </c>
      <c r="K579" s="2" t="s">
        <v>364</v>
      </c>
      <c r="L579" s="2" t="str">
        <f>"63445030113211"</f>
        <v>63445030113211</v>
      </c>
      <c r="M579" s="2" t="s">
        <v>2</v>
      </c>
      <c r="N579" s="18">
        <v>31302</v>
      </c>
      <c r="O579" s="2">
        <v>45</v>
      </c>
    </row>
    <row r="580" spans="1:15" s="2" customFormat="1" x14ac:dyDescent="0.25">
      <c r="A580" s="2">
        <v>580</v>
      </c>
      <c r="B580" s="2">
        <v>2</v>
      </c>
      <c r="C580" s="2">
        <v>76</v>
      </c>
      <c r="D580" s="2">
        <v>1</v>
      </c>
      <c r="E580" s="2">
        <v>20</v>
      </c>
      <c r="G580" s="2">
        <v>1</v>
      </c>
      <c r="H580" s="2">
        <v>39</v>
      </c>
      <c r="I580" s="2">
        <v>13184453</v>
      </c>
      <c r="J580" s="2" t="s">
        <v>177</v>
      </c>
      <c r="K580" s="2" t="s">
        <v>364</v>
      </c>
      <c r="L580" s="2" t="str">
        <f>"63445030113212"</f>
        <v>63445030113212</v>
      </c>
      <c r="M580" s="2" t="s">
        <v>2</v>
      </c>
      <c r="N580" s="18">
        <v>31303</v>
      </c>
      <c r="O580" s="2">
        <v>45</v>
      </c>
    </row>
    <row r="581" spans="1:15" s="2" customFormat="1" x14ac:dyDescent="0.25">
      <c r="A581" s="2">
        <v>581</v>
      </c>
      <c r="B581" s="2">
        <v>2</v>
      </c>
      <c r="C581" s="2">
        <v>76</v>
      </c>
      <c r="D581" s="2">
        <v>1</v>
      </c>
      <c r="E581" s="2">
        <v>20</v>
      </c>
      <c r="G581" s="2">
        <v>1</v>
      </c>
      <c r="H581" s="2">
        <v>39</v>
      </c>
      <c r="I581" s="2">
        <v>13184454</v>
      </c>
      <c r="J581" s="2" t="s">
        <v>177</v>
      </c>
      <c r="K581" s="2" t="s">
        <v>364</v>
      </c>
      <c r="L581" s="2" t="str">
        <f>"63445030113213"</f>
        <v>63445030113213</v>
      </c>
      <c r="M581" s="2" t="s">
        <v>2</v>
      </c>
      <c r="N581" s="18">
        <v>31304</v>
      </c>
      <c r="O581" s="2">
        <v>45</v>
      </c>
    </row>
    <row r="582" spans="1:15" s="2" customFormat="1" x14ac:dyDescent="0.25">
      <c r="A582" s="2">
        <v>582</v>
      </c>
      <c r="B582" s="2">
        <v>2</v>
      </c>
      <c r="C582" s="2">
        <v>76</v>
      </c>
      <c r="D582" s="2">
        <v>1</v>
      </c>
      <c r="E582" s="2">
        <v>20</v>
      </c>
      <c r="G582" s="2">
        <v>1</v>
      </c>
      <c r="H582" s="2">
        <v>39</v>
      </c>
      <c r="I582" s="2">
        <v>13184455</v>
      </c>
      <c r="J582" s="2" t="s">
        <v>177</v>
      </c>
      <c r="K582" s="2" t="s">
        <v>364</v>
      </c>
      <c r="L582" s="2" t="str">
        <f>"63445030113214"</f>
        <v>63445030113214</v>
      </c>
      <c r="M582" s="2" t="s">
        <v>2</v>
      </c>
      <c r="N582" s="18">
        <v>31305</v>
      </c>
      <c r="O582" s="2">
        <v>45</v>
      </c>
    </row>
    <row r="583" spans="1:15" s="2" customFormat="1" x14ac:dyDescent="0.25">
      <c r="A583" s="2">
        <v>583</v>
      </c>
      <c r="B583" s="2">
        <v>2</v>
      </c>
      <c r="C583" s="2">
        <v>76</v>
      </c>
      <c r="D583" s="2">
        <v>1</v>
      </c>
      <c r="E583" s="2">
        <v>20</v>
      </c>
      <c r="G583" s="2">
        <v>1</v>
      </c>
      <c r="H583" s="2">
        <v>39</v>
      </c>
      <c r="I583" s="2">
        <v>13184456</v>
      </c>
      <c r="J583" s="2" t="s">
        <v>177</v>
      </c>
      <c r="K583" s="2" t="s">
        <v>364</v>
      </c>
      <c r="L583" s="2" t="str">
        <f>"63445030113215"</f>
        <v>63445030113215</v>
      </c>
      <c r="M583" s="2" t="s">
        <v>2</v>
      </c>
      <c r="N583" s="18">
        <v>31306</v>
      </c>
      <c r="O583" s="2">
        <v>45</v>
      </c>
    </row>
    <row r="584" spans="1:15" s="2" customFormat="1" x14ac:dyDescent="0.25">
      <c r="A584" s="2">
        <v>584</v>
      </c>
      <c r="B584" s="2">
        <v>2</v>
      </c>
      <c r="C584" s="2">
        <v>76</v>
      </c>
      <c r="D584" s="2">
        <v>1</v>
      </c>
      <c r="E584" s="2">
        <v>20</v>
      </c>
      <c r="G584" s="2">
        <v>1</v>
      </c>
      <c r="H584" s="2">
        <v>39</v>
      </c>
      <c r="I584" s="2">
        <v>13184457</v>
      </c>
      <c r="J584" s="2" t="s">
        <v>177</v>
      </c>
      <c r="K584" s="2" t="s">
        <v>364</v>
      </c>
      <c r="L584" s="2" t="str">
        <f>"63445030113216"</f>
        <v>63445030113216</v>
      </c>
      <c r="M584" s="2" t="s">
        <v>2</v>
      </c>
      <c r="N584" s="18">
        <v>31307</v>
      </c>
      <c r="O584" s="2">
        <v>45</v>
      </c>
    </row>
    <row r="585" spans="1:15" s="2" customFormat="1" x14ac:dyDescent="0.25">
      <c r="A585" s="2">
        <v>585</v>
      </c>
      <c r="B585" s="2">
        <v>2</v>
      </c>
      <c r="C585" s="2">
        <v>76</v>
      </c>
      <c r="D585" s="2">
        <v>1</v>
      </c>
      <c r="E585" s="2">
        <v>20</v>
      </c>
      <c r="G585" s="2">
        <v>1</v>
      </c>
      <c r="H585" s="2">
        <v>39</v>
      </c>
      <c r="I585" s="2">
        <v>13184458</v>
      </c>
      <c r="J585" s="2" t="s">
        <v>177</v>
      </c>
      <c r="K585" s="2" t="s">
        <v>364</v>
      </c>
      <c r="L585" s="2" t="str">
        <f>"63445030113217"</f>
        <v>63445030113217</v>
      </c>
      <c r="M585" s="2" t="s">
        <v>2</v>
      </c>
      <c r="N585" s="18">
        <v>31308</v>
      </c>
      <c r="O585" s="2">
        <v>45</v>
      </c>
    </row>
    <row r="586" spans="1:15" s="2" customFormat="1" x14ac:dyDescent="0.25">
      <c r="A586" s="2">
        <v>586</v>
      </c>
      <c r="B586" s="2">
        <v>2</v>
      </c>
      <c r="C586" s="2">
        <v>76</v>
      </c>
      <c r="D586" s="2">
        <v>1</v>
      </c>
      <c r="E586" s="2">
        <v>20</v>
      </c>
      <c r="G586" s="2">
        <v>1</v>
      </c>
      <c r="H586" s="2">
        <v>39</v>
      </c>
      <c r="I586" s="2">
        <v>13184459</v>
      </c>
      <c r="J586" s="2" t="s">
        <v>177</v>
      </c>
      <c r="K586" s="2" t="s">
        <v>364</v>
      </c>
      <c r="L586" s="2" t="str">
        <f>"63445030113218"</f>
        <v>63445030113218</v>
      </c>
      <c r="M586" s="2" t="s">
        <v>2</v>
      </c>
      <c r="N586" s="18">
        <v>31309</v>
      </c>
      <c r="O586" s="2">
        <v>45</v>
      </c>
    </row>
    <row r="587" spans="1:15" s="2" customFormat="1" x14ac:dyDescent="0.25">
      <c r="A587" s="2">
        <v>587</v>
      </c>
      <c r="B587" s="2">
        <v>2</v>
      </c>
      <c r="C587" s="2">
        <v>76</v>
      </c>
      <c r="D587" s="2">
        <v>1</v>
      </c>
      <c r="E587" s="2">
        <v>20</v>
      </c>
      <c r="G587" s="2">
        <v>1</v>
      </c>
      <c r="H587" s="2">
        <v>39</v>
      </c>
      <c r="I587" s="2">
        <v>13184460</v>
      </c>
      <c r="J587" s="2" t="s">
        <v>177</v>
      </c>
      <c r="K587" s="2" t="s">
        <v>364</v>
      </c>
      <c r="L587" s="2" t="str">
        <f>"63445030113219"</f>
        <v>63445030113219</v>
      </c>
      <c r="M587" s="2" t="s">
        <v>2</v>
      </c>
      <c r="N587" s="18">
        <v>31310</v>
      </c>
      <c r="O587" s="2">
        <v>45</v>
      </c>
    </row>
    <row r="588" spans="1:15" s="2" customFormat="1" x14ac:dyDescent="0.25">
      <c r="A588" s="2">
        <v>588</v>
      </c>
      <c r="B588" s="2">
        <v>2</v>
      </c>
      <c r="C588" s="2">
        <v>76</v>
      </c>
      <c r="D588" s="2">
        <v>1</v>
      </c>
      <c r="E588" s="2">
        <v>20</v>
      </c>
      <c r="G588" s="2">
        <v>1</v>
      </c>
      <c r="H588" s="2">
        <v>39</v>
      </c>
      <c r="I588" s="2">
        <v>13184461</v>
      </c>
      <c r="J588" s="2" t="s">
        <v>177</v>
      </c>
      <c r="K588" s="2" t="s">
        <v>364</v>
      </c>
      <c r="L588" s="2" t="str">
        <f>"63445030113220"</f>
        <v>63445030113220</v>
      </c>
      <c r="M588" s="2" t="s">
        <v>2</v>
      </c>
      <c r="N588" s="18">
        <v>31311</v>
      </c>
      <c r="O588" s="2">
        <v>45</v>
      </c>
    </row>
    <row r="589" spans="1:15" s="2" customFormat="1" x14ac:dyDescent="0.25">
      <c r="A589" s="2">
        <v>589</v>
      </c>
      <c r="B589" s="2">
        <v>1</v>
      </c>
      <c r="C589" s="2">
        <v>42</v>
      </c>
      <c r="D589" s="2">
        <v>1</v>
      </c>
      <c r="E589" s="2">
        <v>23</v>
      </c>
      <c r="G589" s="2">
        <v>1</v>
      </c>
      <c r="H589" s="2">
        <v>4</v>
      </c>
      <c r="I589" s="2">
        <v>6794482</v>
      </c>
      <c r="J589" s="2" t="s">
        <v>216</v>
      </c>
      <c r="K589" s="2">
        <v>668665</v>
      </c>
      <c r="L589" s="2" t="str">
        <f>"MXQ2350824"</f>
        <v>MXQ2350824</v>
      </c>
      <c r="M589" s="2" t="s">
        <v>2</v>
      </c>
      <c r="N589" s="18">
        <v>31312</v>
      </c>
      <c r="O589" s="19">
        <v>5080</v>
      </c>
    </row>
    <row r="590" spans="1:15" s="2" customFormat="1" x14ac:dyDescent="0.25">
      <c r="A590" s="2">
        <v>590</v>
      </c>
      <c r="B590" s="2">
        <v>1</v>
      </c>
      <c r="C590" s="2">
        <v>42</v>
      </c>
      <c r="D590" s="2">
        <v>1</v>
      </c>
      <c r="E590" s="2">
        <v>13</v>
      </c>
      <c r="G590" s="2">
        <v>1</v>
      </c>
      <c r="H590" s="2">
        <v>4</v>
      </c>
      <c r="I590" s="2">
        <v>6794431</v>
      </c>
      <c r="J590" s="2" t="s">
        <v>196</v>
      </c>
      <c r="K590" s="2" t="s">
        <v>566</v>
      </c>
      <c r="L590" s="2" t="str">
        <f>"CNU246911T"</f>
        <v>CNU246911T</v>
      </c>
      <c r="M590" s="2" t="s">
        <v>2</v>
      </c>
      <c r="N590" s="18">
        <v>31313</v>
      </c>
      <c r="O590" s="2" t="s">
        <v>567</v>
      </c>
    </row>
    <row r="591" spans="1:15" s="2" customFormat="1" x14ac:dyDescent="0.25">
      <c r="A591" s="2">
        <v>591</v>
      </c>
      <c r="B591" s="2">
        <v>1</v>
      </c>
      <c r="C591" s="2">
        <v>42</v>
      </c>
      <c r="D591" s="2">
        <v>2</v>
      </c>
      <c r="E591" s="2">
        <v>13</v>
      </c>
      <c r="G591" s="2">
        <v>1</v>
      </c>
      <c r="H591" s="2">
        <v>4</v>
      </c>
      <c r="I591" s="2">
        <v>6794432</v>
      </c>
      <c r="J591" s="2" t="s">
        <v>196</v>
      </c>
      <c r="K591" s="2" t="s">
        <v>566</v>
      </c>
      <c r="L591" s="2" t="str">
        <f>"CNU24691PQ"</f>
        <v>CNU24691PQ</v>
      </c>
      <c r="M591" s="2" t="s">
        <v>2</v>
      </c>
      <c r="N591" s="18">
        <v>31314</v>
      </c>
      <c r="O591" s="2" t="s">
        <v>567</v>
      </c>
    </row>
    <row r="592" spans="1:15" s="2" customFormat="1" x14ac:dyDescent="0.25">
      <c r="A592" s="2">
        <v>592</v>
      </c>
      <c r="B592" s="2">
        <v>1</v>
      </c>
      <c r="C592" s="2">
        <v>42</v>
      </c>
      <c r="D592" s="2">
        <v>1</v>
      </c>
      <c r="E592" s="2">
        <v>13</v>
      </c>
      <c r="G592" s="2">
        <v>1</v>
      </c>
      <c r="H592" s="2">
        <v>4</v>
      </c>
      <c r="I592" s="2">
        <v>6794433</v>
      </c>
      <c r="J592" s="2" t="s">
        <v>196</v>
      </c>
      <c r="K592" s="2" t="s">
        <v>566</v>
      </c>
      <c r="L592" s="2" t="str">
        <f>"CNU24692QK"</f>
        <v>CNU24692QK</v>
      </c>
      <c r="M592" s="2" t="s">
        <v>2</v>
      </c>
      <c r="N592" s="18">
        <v>31315</v>
      </c>
      <c r="O592" s="2" t="s">
        <v>567</v>
      </c>
    </row>
    <row r="593" spans="1:15" s="2" customFormat="1" x14ac:dyDescent="0.25">
      <c r="A593" s="2">
        <v>593</v>
      </c>
      <c r="B593" s="2">
        <v>1</v>
      </c>
      <c r="C593" s="2">
        <v>42</v>
      </c>
      <c r="D593" s="2">
        <v>1</v>
      </c>
      <c r="E593" s="2">
        <v>13</v>
      </c>
      <c r="G593" s="2">
        <v>1</v>
      </c>
      <c r="H593" s="2">
        <v>4</v>
      </c>
      <c r="I593" s="2">
        <v>6794434</v>
      </c>
      <c r="J593" s="2" t="s">
        <v>196</v>
      </c>
      <c r="K593" s="2" t="s">
        <v>566</v>
      </c>
      <c r="L593" s="2" t="str">
        <f>"CNU24691P4"</f>
        <v>CNU24691P4</v>
      </c>
      <c r="M593" s="2" t="s">
        <v>2</v>
      </c>
      <c r="N593" s="18">
        <v>31316</v>
      </c>
      <c r="O593" s="2" t="s">
        <v>567</v>
      </c>
    </row>
    <row r="594" spans="1:15" s="2" customFormat="1" x14ac:dyDescent="0.25">
      <c r="A594" s="2">
        <v>594</v>
      </c>
      <c r="B594" s="2">
        <v>1</v>
      </c>
      <c r="C594" s="2">
        <v>40</v>
      </c>
      <c r="D594" s="2">
        <v>1</v>
      </c>
      <c r="E594" s="2">
        <v>20</v>
      </c>
      <c r="G594" s="2">
        <v>1</v>
      </c>
      <c r="H594" s="2">
        <v>4</v>
      </c>
      <c r="I594" s="2">
        <v>6794504</v>
      </c>
      <c r="J594" s="2" t="s">
        <v>220</v>
      </c>
      <c r="K594" s="2" t="s">
        <v>568</v>
      </c>
      <c r="L594" s="2" t="str">
        <f>"20EYWP8C203BAA8C"</f>
        <v>20EYWP8C203BAA8C</v>
      </c>
      <c r="M594" s="2" t="s">
        <v>2</v>
      </c>
      <c r="N594" s="18">
        <v>31317</v>
      </c>
      <c r="O594" s="2">
        <v>148</v>
      </c>
    </row>
    <row r="595" spans="1:15" s="2" customFormat="1" x14ac:dyDescent="0.25">
      <c r="A595" s="2">
        <v>595</v>
      </c>
      <c r="B595" s="2">
        <v>1</v>
      </c>
      <c r="C595" s="2">
        <v>40</v>
      </c>
      <c r="D595" s="2">
        <v>2</v>
      </c>
      <c r="E595" s="2">
        <v>20</v>
      </c>
      <c r="G595" s="2">
        <v>1</v>
      </c>
      <c r="H595" s="2">
        <v>4</v>
      </c>
      <c r="I595" s="2">
        <v>6794505</v>
      </c>
      <c r="J595" s="2" t="s">
        <v>220</v>
      </c>
      <c r="K595" s="2" t="s">
        <v>568</v>
      </c>
      <c r="L595" s="2" t="str">
        <f>"20EYWP8C604050AC"</f>
        <v>20EYWP8C604050AC</v>
      </c>
      <c r="M595" s="2" t="s">
        <v>2</v>
      </c>
      <c r="N595" s="18">
        <v>31318</v>
      </c>
      <c r="O595" s="2">
        <v>148</v>
      </c>
    </row>
    <row r="596" spans="1:15" s="2" customFormat="1" x14ac:dyDescent="0.25">
      <c r="A596" s="2">
        <v>596</v>
      </c>
      <c r="B596" s="2">
        <v>1</v>
      </c>
      <c r="C596" s="2">
        <v>40</v>
      </c>
      <c r="D596" s="2">
        <v>1</v>
      </c>
      <c r="E596" s="2">
        <v>20</v>
      </c>
      <c r="G596" s="2">
        <v>1</v>
      </c>
      <c r="H596" s="2">
        <v>4</v>
      </c>
      <c r="I596" s="2">
        <v>6794506</v>
      </c>
      <c r="J596" s="2" t="s">
        <v>220</v>
      </c>
      <c r="K596" s="2" t="s">
        <v>568</v>
      </c>
      <c r="L596" s="2" t="str">
        <f>"20EYWP8C60405879"</f>
        <v>20EYWP8C60405879</v>
      </c>
      <c r="M596" s="2" t="s">
        <v>2</v>
      </c>
      <c r="N596" s="18">
        <v>31319</v>
      </c>
      <c r="O596" s="2">
        <v>148</v>
      </c>
    </row>
    <row r="597" spans="1:15" s="2" customFormat="1" x14ac:dyDescent="0.25">
      <c r="A597" s="2">
        <v>597</v>
      </c>
      <c r="B597" s="2">
        <v>1</v>
      </c>
      <c r="C597" s="2">
        <v>40</v>
      </c>
      <c r="D597" s="2">
        <v>1</v>
      </c>
      <c r="E597" s="2">
        <v>20</v>
      </c>
      <c r="G597" s="2">
        <v>1</v>
      </c>
      <c r="H597" s="2">
        <v>4</v>
      </c>
      <c r="I597" s="2">
        <v>6794507</v>
      </c>
      <c r="J597" s="2" t="s">
        <v>220</v>
      </c>
      <c r="K597" s="2" t="s">
        <v>568</v>
      </c>
      <c r="L597" s="2" t="str">
        <f>"20EYWP8C60405878"</f>
        <v>20EYWP8C60405878</v>
      </c>
      <c r="M597" s="2" t="s">
        <v>2</v>
      </c>
      <c r="N597" s="18">
        <v>31320</v>
      </c>
      <c r="O597" s="2">
        <v>148</v>
      </c>
    </row>
    <row r="598" spans="1:15" s="2" customFormat="1" x14ac:dyDescent="0.25">
      <c r="A598" s="2">
        <v>598</v>
      </c>
      <c r="B598" s="2">
        <v>1</v>
      </c>
      <c r="C598" s="2">
        <v>40</v>
      </c>
      <c r="D598" s="2">
        <v>1</v>
      </c>
      <c r="E598" s="2">
        <v>20</v>
      </c>
      <c r="G598" s="2">
        <v>1</v>
      </c>
      <c r="H598" s="2">
        <v>4</v>
      </c>
      <c r="I598" s="2">
        <v>6794508</v>
      </c>
      <c r="J598" s="2" t="s">
        <v>220</v>
      </c>
      <c r="K598" s="2" t="s">
        <v>568</v>
      </c>
      <c r="L598" s="2" t="str">
        <f>"20EYWP8C604050AA"</f>
        <v>20EYWP8C604050AA</v>
      </c>
      <c r="M598" s="2" t="s">
        <v>2</v>
      </c>
      <c r="N598" s="18">
        <v>31321</v>
      </c>
      <c r="O598" s="2">
        <v>148</v>
      </c>
    </row>
    <row r="599" spans="1:15" s="2" customFormat="1" x14ac:dyDescent="0.25">
      <c r="A599" s="2">
        <v>599</v>
      </c>
      <c r="B599" s="2">
        <v>1</v>
      </c>
      <c r="C599" s="2">
        <v>40</v>
      </c>
      <c r="D599" s="2">
        <v>1</v>
      </c>
      <c r="E599" s="2">
        <v>20</v>
      </c>
      <c r="G599" s="2">
        <v>1</v>
      </c>
      <c r="H599" s="2">
        <v>4</v>
      </c>
      <c r="I599" s="2">
        <v>6794509</v>
      </c>
      <c r="J599" s="2" t="s">
        <v>220</v>
      </c>
      <c r="K599" s="2" t="s">
        <v>568</v>
      </c>
      <c r="L599" s="2" t="str">
        <f>"20EYWP8C203BAA8B"</f>
        <v>20EYWP8C203BAA8B</v>
      </c>
      <c r="M599" s="2" t="s">
        <v>2</v>
      </c>
      <c r="N599" s="18">
        <v>31322</v>
      </c>
      <c r="O599" s="2">
        <v>148</v>
      </c>
    </row>
    <row r="600" spans="1:15" s="2" customFormat="1" x14ac:dyDescent="0.25">
      <c r="A600" s="2">
        <v>600</v>
      </c>
      <c r="B600" s="2">
        <v>1</v>
      </c>
      <c r="C600" s="2">
        <v>40</v>
      </c>
      <c r="D600" s="2">
        <v>1</v>
      </c>
      <c r="E600" s="2">
        <v>20</v>
      </c>
      <c r="G600" s="2">
        <v>1</v>
      </c>
      <c r="H600" s="2">
        <v>4</v>
      </c>
      <c r="I600" s="2">
        <v>6794510</v>
      </c>
      <c r="J600" s="2" t="s">
        <v>220</v>
      </c>
      <c r="K600" s="2" t="s">
        <v>568</v>
      </c>
      <c r="L600" s="2" t="str">
        <f>"20EYWP8C604050AB"</f>
        <v>20EYWP8C604050AB</v>
      </c>
      <c r="M600" s="2" t="s">
        <v>2</v>
      </c>
      <c r="N600" s="18">
        <v>31323</v>
      </c>
      <c r="O600" s="2">
        <v>148</v>
      </c>
    </row>
    <row r="601" spans="1:15" s="2" customFormat="1" x14ac:dyDescent="0.25">
      <c r="A601" s="2">
        <v>601</v>
      </c>
      <c r="B601" s="2">
        <v>1</v>
      </c>
      <c r="C601" s="2">
        <v>40</v>
      </c>
      <c r="D601" s="2">
        <v>1</v>
      </c>
      <c r="E601" s="2">
        <v>20</v>
      </c>
      <c r="G601" s="2">
        <v>1</v>
      </c>
      <c r="H601" s="2">
        <v>4</v>
      </c>
      <c r="I601" s="2">
        <v>6794511</v>
      </c>
      <c r="J601" s="2" t="s">
        <v>220</v>
      </c>
      <c r="K601" s="2" t="s">
        <v>568</v>
      </c>
      <c r="L601" s="2" t="str">
        <f>"20EYWP8C604050AF"</f>
        <v>20EYWP8C604050AF</v>
      </c>
      <c r="M601" s="2" t="s">
        <v>2</v>
      </c>
      <c r="N601" s="18">
        <v>31324</v>
      </c>
      <c r="O601" s="2">
        <v>148</v>
      </c>
    </row>
    <row r="602" spans="1:15" s="2" customFormat="1" x14ac:dyDescent="0.25">
      <c r="A602" s="2">
        <v>602</v>
      </c>
      <c r="B602" s="2">
        <v>1</v>
      </c>
      <c r="C602" s="2">
        <v>40</v>
      </c>
      <c r="D602" s="2">
        <v>1</v>
      </c>
      <c r="E602" s="2">
        <v>20</v>
      </c>
      <c r="G602" s="2">
        <v>1</v>
      </c>
      <c r="H602" s="2">
        <v>4</v>
      </c>
      <c r="I602" s="2">
        <v>6794512</v>
      </c>
      <c r="J602" s="2" t="s">
        <v>220</v>
      </c>
      <c r="K602" s="2" t="s">
        <v>568</v>
      </c>
      <c r="L602" s="2" t="str">
        <f>"20EYWP8C604050B1"</f>
        <v>20EYWP8C604050B1</v>
      </c>
      <c r="M602" s="2" t="s">
        <v>2</v>
      </c>
      <c r="N602" s="18">
        <v>31325</v>
      </c>
      <c r="O602" s="2">
        <v>148</v>
      </c>
    </row>
    <row r="603" spans="1:15" s="2" customFormat="1" x14ac:dyDescent="0.25">
      <c r="A603" s="2">
        <v>603</v>
      </c>
      <c r="B603" s="2">
        <v>1</v>
      </c>
      <c r="C603" s="2">
        <v>40</v>
      </c>
      <c r="D603" s="2">
        <v>1</v>
      </c>
      <c r="E603" s="2">
        <v>20</v>
      </c>
      <c r="G603" s="2">
        <v>1</v>
      </c>
      <c r="H603" s="2">
        <v>4</v>
      </c>
      <c r="I603" s="2">
        <v>6794513</v>
      </c>
      <c r="J603" s="2" t="s">
        <v>220</v>
      </c>
      <c r="K603" s="2" t="s">
        <v>568</v>
      </c>
      <c r="L603" s="2" t="str">
        <f>"20EYWP8C604050BO"</f>
        <v>20EYWP8C604050BO</v>
      </c>
      <c r="M603" s="2" t="s">
        <v>2</v>
      </c>
      <c r="N603" s="18">
        <v>31326</v>
      </c>
      <c r="O603" s="2">
        <v>148</v>
      </c>
    </row>
    <row r="604" spans="1:15" s="2" customFormat="1" x14ac:dyDescent="0.25">
      <c r="A604" s="2">
        <v>604</v>
      </c>
      <c r="B604" s="2">
        <v>1</v>
      </c>
      <c r="C604" s="2">
        <v>40</v>
      </c>
      <c r="D604" s="2">
        <v>1</v>
      </c>
      <c r="E604" s="2">
        <v>20</v>
      </c>
      <c r="G604" s="2">
        <v>1</v>
      </c>
      <c r="H604" s="2">
        <v>4</v>
      </c>
      <c r="I604" s="2">
        <v>6794514</v>
      </c>
      <c r="J604" s="2" t="s">
        <v>220</v>
      </c>
      <c r="K604" s="2" t="s">
        <v>568</v>
      </c>
      <c r="L604" s="2" t="str">
        <f>"20EYWP8C604050AE"</f>
        <v>20EYWP8C604050AE</v>
      </c>
      <c r="M604" s="2" t="s">
        <v>2</v>
      </c>
      <c r="N604" s="18">
        <v>31327</v>
      </c>
      <c r="O604" s="2">
        <v>148</v>
      </c>
    </row>
    <row r="605" spans="1:15" s="2" customFormat="1" x14ac:dyDescent="0.25">
      <c r="A605" s="2">
        <v>605</v>
      </c>
      <c r="B605" s="2">
        <v>1</v>
      </c>
      <c r="C605" s="2">
        <v>6</v>
      </c>
      <c r="D605" s="2">
        <v>2</v>
      </c>
      <c r="E605" s="2">
        <v>22</v>
      </c>
      <c r="G605" s="2">
        <v>1</v>
      </c>
      <c r="H605" s="2">
        <v>4</v>
      </c>
      <c r="I605" s="2">
        <v>6794493</v>
      </c>
      <c r="J605" s="2" t="s">
        <v>247</v>
      </c>
      <c r="K605" s="2" t="s">
        <v>569</v>
      </c>
      <c r="L605" s="2" t="str">
        <f>"F5XKR3YMDFHW"</f>
        <v>F5XKR3YMDFHW</v>
      </c>
      <c r="M605" s="2" t="s">
        <v>2</v>
      </c>
      <c r="N605" s="18">
        <v>31328</v>
      </c>
      <c r="O605" s="2">
        <v>980</v>
      </c>
    </row>
    <row r="606" spans="1:15" s="2" customFormat="1" x14ac:dyDescent="0.25">
      <c r="A606" s="2">
        <v>606</v>
      </c>
      <c r="B606" s="2">
        <v>1</v>
      </c>
      <c r="C606" s="2">
        <v>23</v>
      </c>
      <c r="D606" s="2">
        <v>1</v>
      </c>
      <c r="E606" s="2">
        <v>1</v>
      </c>
      <c r="G606" s="2">
        <v>1</v>
      </c>
      <c r="H606" s="2">
        <v>4</v>
      </c>
      <c r="I606" s="2">
        <v>13460220</v>
      </c>
      <c r="J606" s="2" t="s">
        <v>248</v>
      </c>
      <c r="K606" s="2" t="s">
        <v>570</v>
      </c>
      <c r="L606" s="2" t="str">
        <f>"39189"</f>
        <v>39189</v>
      </c>
      <c r="M606" s="2" t="s">
        <v>2</v>
      </c>
      <c r="N606" s="18">
        <v>31329</v>
      </c>
      <c r="O606" s="2">
        <v>80</v>
      </c>
    </row>
    <row r="607" spans="1:15" s="2" customFormat="1" x14ac:dyDescent="0.25">
      <c r="A607" s="2">
        <v>607</v>
      </c>
      <c r="B607" s="2">
        <v>1</v>
      </c>
      <c r="C607" s="2">
        <v>34</v>
      </c>
      <c r="D607" s="2">
        <v>1</v>
      </c>
      <c r="E607" s="2">
        <v>17</v>
      </c>
      <c r="G607" s="2">
        <v>1</v>
      </c>
      <c r="H607" s="2">
        <v>4</v>
      </c>
      <c r="I607" s="2">
        <v>6794475</v>
      </c>
      <c r="J607" s="2" t="s">
        <v>249</v>
      </c>
      <c r="K607" s="2" t="s">
        <v>571</v>
      </c>
      <c r="L607" s="2" t="str">
        <f>"473442"</f>
        <v>473442</v>
      </c>
      <c r="M607" s="2" t="s">
        <v>2</v>
      </c>
      <c r="N607" s="18">
        <v>31330</v>
      </c>
      <c r="O607" s="19">
        <v>1369</v>
      </c>
    </row>
    <row r="608" spans="1:15" s="2" customFormat="1" x14ac:dyDescent="0.25">
      <c r="A608" s="2">
        <v>608</v>
      </c>
      <c r="B608" s="2">
        <v>1</v>
      </c>
      <c r="C608" s="2">
        <v>34</v>
      </c>
      <c r="D608" s="2">
        <v>1</v>
      </c>
      <c r="E608" s="2">
        <v>17</v>
      </c>
      <c r="G608" s="2">
        <v>1</v>
      </c>
      <c r="H608" s="2">
        <v>4</v>
      </c>
      <c r="I608" s="2">
        <v>6794476</v>
      </c>
      <c r="J608" s="2" t="s">
        <v>249</v>
      </c>
      <c r="K608" s="2" t="s">
        <v>571</v>
      </c>
      <c r="L608" s="2" t="str">
        <f>"600288"</f>
        <v>600288</v>
      </c>
      <c r="M608" s="2" t="s">
        <v>2</v>
      </c>
      <c r="N608" s="18">
        <v>31331</v>
      </c>
      <c r="O608" s="19">
        <v>1369</v>
      </c>
    </row>
    <row r="609" spans="1:15" s="2" customFormat="1" x14ac:dyDescent="0.25">
      <c r="A609" s="2">
        <v>609</v>
      </c>
      <c r="B609" s="2">
        <v>1</v>
      </c>
      <c r="C609" s="2">
        <v>34</v>
      </c>
      <c r="D609" s="2">
        <v>1</v>
      </c>
      <c r="E609" s="2">
        <v>17</v>
      </c>
      <c r="G609" s="2">
        <v>1</v>
      </c>
      <c r="H609" s="2">
        <v>4</v>
      </c>
      <c r="I609" s="2">
        <v>6794477</v>
      </c>
      <c r="J609" s="2" t="s">
        <v>249</v>
      </c>
      <c r="K609" s="2" t="s">
        <v>571</v>
      </c>
      <c r="L609" s="2" t="str">
        <f>"600289"</f>
        <v>600289</v>
      </c>
      <c r="M609" s="2" t="s">
        <v>2</v>
      </c>
      <c r="N609" s="18">
        <v>31332</v>
      </c>
      <c r="O609" s="19">
        <v>1369</v>
      </c>
    </row>
    <row r="610" spans="1:15" s="2" customFormat="1" x14ac:dyDescent="0.25">
      <c r="A610" s="2">
        <v>610</v>
      </c>
      <c r="B610" s="2">
        <v>1</v>
      </c>
      <c r="C610" s="2">
        <v>50</v>
      </c>
      <c r="D610" s="2">
        <v>1</v>
      </c>
      <c r="E610" s="2">
        <v>17</v>
      </c>
      <c r="G610" s="2">
        <v>1</v>
      </c>
      <c r="H610" s="2">
        <v>4</v>
      </c>
      <c r="I610" s="2">
        <v>7602755</v>
      </c>
      <c r="J610" s="2" t="s">
        <v>250</v>
      </c>
      <c r="K610" s="2" t="s">
        <v>572</v>
      </c>
      <c r="L610" s="2" t="str">
        <f>"241X017K 204TADR01154"</f>
        <v>241X017K 204TADR01154</v>
      </c>
      <c r="M610" s="2" t="s">
        <v>2</v>
      </c>
      <c r="N610" s="18">
        <v>31333</v>
      </c>
      <c r="O610" s="2" t="s">
        <v>573</v>
      </c>
    </row>
    <row r="611" spans="1:15" s="2" customFormat="1" x14ac:dyDescent="0.25">
      <c r="A611" s="2">
        <v>611</v>
      </c>
      <c r="B611" s="2">
        <v>1</v>
      </c>
      <c r="C611" s="2">
        <v>50</v>
      </c>
      <c r="D611" s="2">
        <v>1</v>
      </c>
      <c r="E611" s="2">
        <v>17</v>
      </c>
      <c r="G611" s="2">
        <v>1</v>
      </c>
      <c r="H611" s="2">
        <v>4</v>
      </c>
      <c r="I611" s="2">
        <v>7602756</v>
      </c>
      <c r="J611" s="2" t="s">
        <v>250</v>
      </c>
      <c r="K611" s="2" t="s">
        <v>572</v>
      </c>
      <c r="L611" s="2" t="str">
        <f>"241X017K 204TACX01099"</f>
        <v>241X017K 204TACX01099</v>
      </c>
      <c r="M611" s="2" t="s">
        <v>2</v>
      </c>
      <c r="N611" s="18">
        <v>31334</v>
      </c>
      <c r="O611" s="2" t="s">
        <v>573</v>
      </c>
    </row>
    <row r="612" spans="1:15" s="2" customFormat="1" x14ac:dyDescent="0.25">
      <c r="A612" s="2">
        <v>612</v>
      </c>
      <c r="B612" s="2">
        <v>1</v>
      </c>
      <c r="C612" s="2">
        <v>50</v>
      </c>
      <c r="D612" s="2">
        <v>1</v>
      </c>
      <c r="E612" s="2">
        <v>17</v>
      </c>
      <c r="G612" s="2">
        <v>1</v>
      </c>
      <c r="H612" s="2">
        <v>4</v>
      </c>
      <c r="I612" s="2">
        <v>7602757</v>
      </c>
      <c r="J612" s="2" t="s">
        <v>250</v>
      </c>
      <c r="K612" s="2" t="s">
        <v>572</v>
      </c>
      <c r="L612" s="2" t="str">
        <f>"241X017K 204TALB01104"</f>
        <v>241X017K 204TALB01104</v>
      </c>
      <c r="M612" s="2" t="s">
        <v>2</v>
      </c>
      <c r="N612" s="18">
        <v>31335</v>
      </c>
      <c r="O612" s="2" t="s">
        <v>573</v>
      </c>
    </row>
    <row r="613" spans="1:15" s="2" customFormat="1" x14ac:dyDescent="0.25">
      <c r="A613" s="2">
        <v>613</v>
      </c>
      <c r="B613" s="2">
        <v>1</v>
      </c>
      <c r="C613" s="2">
        <v>50</v>
      </c>
      <c r="D613" s="2">
        <v>1</v>
      </c>
      <c r="E613" s="2">
        <v>17</v>
      </c>
      <c r="G613" s="2">
        <v>1</v>
      </c>
      <c r="H613" s="2">
        <v>4</v>
      </c>
      <c r="I613" s="2">
        <v>7602758</v>
      </c>
      <c r="J613" s="2" t="s">
        <v>250</v>
      </c>
      <c r="K613" s="2" t="s">
        <v>572</v>
      </c>
      <c r="L613" s="2" t="str">
        <f>"241X017K 204TARU01094"</f>
        <v>241X017K 204TARU01094</v>
      </c>
      <c r="M613" s="2" t="s">
        <v>2</v>
      </c>
      <c r="N613" s="18">
        <v>31336</v>
      </c>
      <c r="O613" s="2" t="s">
        <v>573</v>
      </c>
    </row>
    <row r="614" spans="1:15" s="2" customFormat="1" x14ac:dyDescent="0.25">
      <c r="A614" s="2">
        <v>614</v>
      </c>
      <c r="B614" s="2">
        <v>1</v>
      </c>
      <c r="C614" s="2">
        <v>50</v>
      </c>
      <c r="D614" s="2">
        <v>1</v>
      </c>
      <c r="E614" s="2">
        <v>17</v>
      </c>
      <c r="G614" s="2">
        <v>1</v>
      </c>
      <c r="H614" s="2">
        <v>4</v>
      </c>
      <c r="I614" s="2">
        <v>7602761</v>
      </c>
      <c r="J614" s="2" t="s">
        <v>250</v>
      </c>
      <c r="K614" s="2" t="s">
        <v>572</v>
      </c>
      <c r="L614" s="2" t="str">
        <f>"241X017K 204TAMA01155"</f>
        <v>241X017K 204TAMA01155</v>
      </c>
      <c r="M614" s="2" t="s">
        <v>2</v>
      </c>
      <c r="N614" s="18">
        <v>31337</v>
      </c>
      <c r="O614" s="2" t="s">
        <v>574</v>
      </c>
    </row>
    <row r="615" spans="1:15" s="2" customFormat="1" x14ac:dyDescent="0.25">
      <c r="A615" s="2">
        <v>615</v>
      </c>
      <c r="B615" s="2">
        <v>1</v>
      </c>
      <c r="C615" s="2">
        <v>31</v>
      </c>
      <c r="D615" s="2">
        <v>2</v>
      </c>
      <c r="E615" s="2">
        <v>13</v>
      </c>
      <c r="G615" s="2">
        <v>1</v>
      </c>
      <c r="H615" s="2">
        <v>4</v>
      </c>
      <c r="I615" s="2">
        <v>7602776</v>
      </c>
      <c r="J615" s="2" t="s">
        <v>208</v>
      </c>
      <c r="K615" s="2" t="s">
        <v>575</v>
      </c>
      <c r="L615" s="2" t="str">
        <f>"PSCK2802475"</f>
        <v>PSCK2802475</v>
      </c>
      <c r="M615" s="2" t="s">
        <v>2</v>
      </c>
      <c r="N615" s="18">
        <v>31338</v>
      </c>
      <c r="O615" s="2">
        <v>760</v>
      </c>
    </row>
    <row r="616" spans="1:15" s="2" customFormat="1" x14ac:dyDescent="0.25">
      <c r="A616" s="2">
        <v>616</v>
      </c>
      <c r="B616" s="2">
        <v>1</v>
      </c>
      <c r="C616" s="2">
        <v>31</v>
      </c>
      <c r="D616" s="2">
        <v>2</v>
      </c>
      <c r="E616" s="2">
        <v>13</v>
      </c>
      <c r="G616" s="2">
        <v>1</v>
      </c>
      <c r="H616" s="2">
        <v>4</v>
      </c>
      <c r="I616" s="2">
        <v>7602777</v>
      </c>
      <c r="J616" s="2" t="s">
        <v>208</v>
      </c>
      <c r="K616" s="2" t="s">
        <v>575</v>
      </c>
      <c r="L616" s="2" t="str">
        <f>"PSCK2801143"</f>
        <v>PSCK2801143</v>
      </c>
      <c r="M616" s="2" t="s">
        <v>2</v>
      </c>
      <c r="N616" s="18">
        <v>31339</v>
      </c>
      <c r="O616" s="2">
        <v>760</v>
      </c>
    </row>
    <row r="617" spans="1:15" s="2" customFormat="1" x14ac:dyDescent="0.25">
      <c r="A617" s="2">
        <v>617</v>
      </c>
      <c r="B617" s="2">
        <v>1</v>
      </c>
      <c r="C617" s="2">
        <v>77</v>
      </c>
      <c r="D617" s="2">
        <v>1</v>
      </c>
      <c r="E617" s="2">
        <v>20</v>
      </c>
      <c r="G617" s="2">
        <v>1</v>
      </c>
      <c r="H617" s="2">
        <v>4</v>
      </c>
      <c r="I617" s="2">
        <v>7602811</v>
      </c>
      <c r="J617" s="2" t="s">
        <v>205</v>
      </c>
      <c r="K617" s="2" t="s">
        <v>576</v>
      </c>
      <c r="L617" s="2" t="str">
        <f>"5032676"</f>
        <v>5032676</v>
      </c>
      <c r="M617" s="2" t="s">
        <v>2</v>
      </c>
      <c r="N617" s="18">
        <v>31340</v>
      </c>
      <c r="O617" s="2" t="s">
        <v>577</v>
      </c>
    </row>
    <row r="618" spans="1:15" s="2" customFormat="1" x14ac:dyDescent="0.25">
      <c r="A618" s="2">
        <v>618</v>
      </c>
      <c r="B618" s="2">
        <v>1</v>
      </c>
      <c r="C618" s="2">
        <v>42</v>
      </c>
      <c r="D618" s="2">
        <v>1</v>
      </c>
      <c r="E618" s="2">
        <v>13</v>
      </c>
      <c r="G618" s="2">
        <v>1</v>
      </c>
      <c r="H618" s="2">
        <v>4</v>
      </c>
      <c r="I618" s="2">
        <v>6794561</v>
      </c>
      <c r="J618" s="2" t="s">
        <v>201</v>
      </c>
      <c r="K618" s="2" t="s">
        <v>578</v>
      </c>
      <c r="L618" s="2" t="str">
        <f>"CN234DE0LG"</f>
        <v>CN234DE0LG</v>
      </c>
      <c r="M618" s="2" t="s">
        <v>2</v>
      </c>
      <c r="N618" s="18">
        <v>31341</v>
      </c>
      <c r="O618" s="19">
        <v>1100</v>
      </c>
    </row>
    <row r="619" spans="1:15" s="2" customFormat="1" x14ac:dyDescent="0.25">
      <c r="A619" s="2">
        <v>619</v>
      </c>
      <c r="B619" s="2">
        <v>1</v>
      </c>
      <c r="C619" s="2">
        <v>50</v>
      </c>
      <c r="D619" s="2">
        <v>1</v>
      </c>
      <c r="E619" s="2">
        <v>20</v>
      </c>
      <c r="G619" s="2">
        <v>1</v>
      </c>
      <c r="H619" s="2">
        <v>4</v>
      </c>
      <c r="I619" s="2">
        <v>6794531</v>
      </c>
      <c r="J619" s="2" t="s">
        <v>195</v>
      </c>
      <c r="K619" s="2" t="s">
        <v>542</v>
      </c>
      <c r="L619" s="2" t="str">
        <f>"202NDFV2C371"</f>
        <v>202NDFV2C371</v>
      </c>
      <c r="M619" s="2" t="s">
        <v>2</v>
      </c>
      <c r="N619" s="18">
        <v>31342</v>
      </c>
      <c r="O619" s="2" t="s">
        <v>543</v>
      </c>
    </row>
    <row r="620" spans="1:15" s="2" customFormat="1" x14ac:dyDescent="0.25">
      <c r="A620" s="2">
        <v>620</v>
      </c>
      <c r="B620" s="2">
        <v>1</v>
      </c>
      <c r="C620" s="2">
        <v>25</v>
      </c>
      <c r="D620" s="2">
        <v>1</v>
      </c>
      <c r="E620" s="2">
        <v>11</v>
      </c>
      <c r="G620" s="2">
        <v>1</v>
      </c>
      <c r="H620" s="2">
        <v>4</v>
      </c>
      <c r="I620" s="2">
        <v>6794558</v>
      </c>
      <c r="J620" s="2" t="s">
        <v>251</v>
      </c>
      <c r="K620" s="2" t="s">
        <v>579</v>
      </c>
      <c r="L620" s="2" t="str">
        <f>"F3U92C5000101"</f>
        <v>F3U92C5000101</v>
      </c>
      <c r="M620" s="2" t="s">
        <v>2</v>
      </c>
      <c r="N620" s="18">
        <v>31343</v>
      </c>
      <c r="O620" s="2" t="s">
        <v>580</v>
      </c>
    </row>
    <row r="621" spans="1:15" s="2" customFormat="1" x14ac:dyDescent="0.25">
      <c r="A621" s="2">
        <v>621</v>
      </c>
      <c r="B621" s="2">
        <v>1</v>
      </c>
      <c r="C621" s="2">
        <v>42</v>
      </c>
      <c r="D621" s="2">
        <v>1</v>
      </c>
      <c r="E621" s="2">
        <v>13</v>
      </c>
      <c r="G621" s="2">
        <v>1</v>
      </c>
      <c r="H621" s="2">
        <v>4</v>
      </c>
      <c r="I621" s="2">
        <v>6794559</v>
      </c>
      <c r="J621" s="2" t="s">
        <v>201</v>
      </c>
      <c r="K621" s="2" t="s">
        <v>578</v>
      </c>
      <c r="L621" s="2" t="str">
        <f>"CN234DE0HZ"</f>
        <v>CN234DE0HZ</v>
      </c>
      <c r="M621" s="2" t="s">
        <v>2</v>
      </c>
      <c r="N621" s="18">
        <v>31344</v>
      </c>
      <c r="O621" s="19">
        <v>1100</v>
      </c>
    </row>
    <row r="622" spans="1:15" s="2" customFormat="1" x14ac:dyDescent="0.25">
      <c r="A622" s="2">
        <v>622</v>
      </c>
      <c r="B622" s="2">
        <v>1</v>
      </c>
      <c r="C622" s="2">
        <v>42</v>
      </c>
      <c r="D622" s="2">
        <v>1</v>
      </c>
      <c r="E622" s="2">
        <v>13</v>
      </c>
      <c r="G622" s="2">
        <v>1</v>
      </c>
      <c r="H622" s="2">
        <v>4</v>
      </c>
      <c r="I622" s="2">
        <v>6794560</v>
      </c>
      <c r="J622" s="2" t="s">
        <v>201</v>
      </c>
      <c r="K622" s="2" t="s">
        <v>578</v>
      </c>
      <c r="L622" s="2" t="str">
        <f>"CN232DE062"</f>
        <v>CN232DE062</v>
      </c>
      <c r="M622" s="2" t="s">
        <v>2</v>
      </c>
      <c r="N622" s="18">
        <v>31345</v>
      </c>
      <c r="O622" s="19">
        <v>1100</v>
      </c>
    </row>
    <row r="623" spans="1:15" s="2" customFormat="1" x14ac:dyDescent="0.25">
      <c r="A623" s="2">
        <v>623</v>
      </c>
      <c r="B623" s="2">
        <v>1</v>
      </c>
      <c r="C623" s="2">
        <v>42</v>
      </c>
      <c r="D623" s="2">
        <v>1</v>
      </c>
      <c r="E623" s="2">
        <v>20</v>
      </c>
      <c r="G623" s="2">
        <v>1</v>
      </c>
      <c r="H623" s="2">
        <v>4</v>
      </c>
      <c r="I623" s="2">
        <v>6794616</v>
      </c>
      <c r="J623" s="2" t="s">
        <v>195</v>
      </c>
      <c r="K623" s="2" t="s">
        <v>558</v>
      </c>
      <c r="L623" s="2" t="str">
        <f>"6CM219010G"</f>
        <v>6CM219010G</v>
      </c>
      <c r="M623" s="2" t="s">
        <v>2</v>
      </c>
      <c r="N623" s="18">
        <v>31346</v>
      </c>
      <c r="O623" s="2">
        <v>138</v>
      </c>
    </row>
    <row r="624" spans="1:15" s="2" customFormat="1" x14ac:dyDescent="0.25">
      <c r="A624" s="2">
        <v>624</v>
      </c>
      <c r="B624" s="2">
        <v>1</v>
      </c>
      <c r="C624" s="2">
        <v>42</v>
      </c>
      <c r="D624" s="2">
        <v>1</v>
      </c>
      <c r="E624" s="2">
        <v>20</v>
      </c>
      <c r="G624" s="2">
        <v>1</v>
      </c>
      <c r="H624" s="2">
        <v>4</v>
      </c>
      <c r="I624" s="2">
        <v>6794617</v>
      </c>
      <c r="J624" s="2" t="s">
        <v>195</v>
      </c>
      <c r="K624" s="2" t="s">
        <v>558</v>
      </c>
      <c r="L624" s="2" t="str">
        <f>"6CM21903R1"</f>
        <v>6CM21903R1</v>
      </c>
      <c r="M624" s="2" t="s">
        <v>2</v>
      </c>
      <c r="N624" s="18">
        <v>31347</v>
      </c>
      <c r="O624" s="2">
        <v>138</v>
      </c>
    </row>
    <row r="625" spans="1:15" s="2" customFormat="1" x14ac:dyDescent="0.25">
      <c r="A625" s="2">
        <v>625</v>
      </c>
      <c r="B625" s="2">
        <v>1</v>
      </c>
      <c r="C625" s="2">
        <v>42</v>
      </c>
      <c r="D625" s="2">
        <v>1</v>
      </c>
      <c r="E625" s="2">
        <v>13</v>
      </c>
      <c r="G625" s="2">
        <v>1</v>
      </c>
      <c r="H625" s="2">
        <v>4</v>
      </c>
      <c r="I625" s="2">
        <v>6794562</v>
      </c>
      <c r="J625" s="2" t="s">
        <v>201</v>
      </c>
      <c r="K625" s="2" t="s">
        <v>578</v>
      </c>
      <c r="L625" s="2" t="str">
        <f>"CN233DE128"</f>
        <v>CN233DE128</v>
      </c>
      <c r="M625" s="2" t="s">
        <v>2</v>
      </c>
      <c r="N625" s="18">
        <v>31348</v>
      </c>
      <c r="O625" s="19">
        <v>1100</v>
      </c>
    </row>
    <row r="626" spans="1:15" s="2" customFormat="1" x14ac:dyDescent="0.25">
      <c r="A626" s="2">
        <v>626</v>
      </c>
      <c r="B626" s="2">
        <v>1</v>
      </c>
      <c r="C626" s="2">
        <v>42</v>
      </c>
      <c r="D626" s="2">
        <v>1</v>
      </c>
      <c r="E626" s="2">
        <v>13</v>
      </c>
      <c r="G626" s="2">
        <v>1</v>
      </c>
      <c r="H626" s="2">
        <v>4</v>
      </c>
      <c r="I626" s="2">
        <v>6794563</v>
      </c>
      <c r="J626" s="2" t="s">
        <v>201</v>
      </c>
      <c r="K626" s="2" t="s">
        <v>581</v>
      </c>
      <c r="L626" s="2" t="str">
        <f>"CN28BYV15L"</f>
        <v>CN28BYV15L</v>
      </c>
      <c r="M626" s="2" t="s">
        <v>2</v>
      </c>
      <c r="N626" s="18">
        <v>31349</v>
      </c>
      <c r="O626" s="19">
        <v>2300</v>
      </c>
    </row>
    <row r="627" spans="1:15" s="2" customFormat="1" x14ac:dyDescent="0.25">
      <c r="A627" s="2">
        <v>627</v>
      </c>
      <c r="B627" s="2">
        <v>1</v>
      </c>
      <c r="C627" s="2">
        <v>42</v>
      </c>
      <c r="D627" s="2">
        <v>1</v>
      </c>
      <c r="E627" s="2">
        <v>13</v>
      </c>
      <c r="G627" s="2">
        <v>1</v>
      </c>
      <c r="H627" s="2">
        <v>4</v>
      </c>
      <c r="I627" s="2">
        <v>6794564</v>
      </c>
      <c r="J627" s="2" t="s">
        <v>201</v>
      </c>
      <c r="K627" s="2" t="s">
        <v>581</v>
      </c>
      <c r="L627" s="2" t="str">
        <f>"CN28BYV16L"</f>
        <v>CN28BYV16L</v>
      </c>
      <c r="M627" s="2" t="s">
        <v>2</v>
      </c>
      <c r="N627" s="18">
        <v>31350</v>
      </c>
      <c r="O627" s="19">
        <v>2300</v>
      </c>
    </row>
    <row r="628" spans="1:15" s="2" customFormat="1" x14ac:dyDescent="0.25">
      <c r="A628" s="2">
        <v>628</v>
      </c>
      <c r="B628" s="2">
        <v>2</v>
      </c>
      <c r="C628" s="2">
        <v>76</v>
      </c>
      <c r="D628" s="2">
        <v>1</v>
      </c>
      <c r="E628" s="2">
        <v>20</v>
      </c>
      <c r="G628" s="2">
        <v>1</v>
      </c>
      <c r="H628" s="2">
        <v>39</v>
      </c>
      <c r="I628" s="2">
        <v>6794565</v>
      </c>
      <c r="J628" s="2" t="s">
        <v>252</v>
      </c>
      <c r="K628" s="2" t="s">
        <v>350</v>
      </c>
      <c r="L628" s="2" t="str">
        <f>"14101070107002"</f>
        <v>14101070107002</v>
      </c>
      <c r="M628" s="2" t="s">
        <v>2</v>
      </c>
      <c r="N628" s="18">
        <v>31351</v>
      </c>
      <c r="O628" s="19">
        <v>1035</v>
      </c>
    </row>
    <row r="629" spans="1:15" s="2" customFormat="1" x14ac:dyDescent="0.25">
      <c r="A629" s="2">
        <v>629</v>
      </c>
      <c r="B629" s="2">
        <v>1</v>
      </c>
      <c r="C629" s="2">
        <v>89</v>
      </c>
      <c r="D629" s="2">
        <v>1</v>
      </c>
      <c r="E629" s="2">
        <v>13</v>
      </c>
      <c r="G629" s="2">
        <v>1</v>
      </c>
      <c r="H629" s="2">
        <v>4</v>
      </c>
      <c r="I629" s="2">
        <v>6794472</v>
      </c>
      <c r="J629" s="2" t="s">
        <v>253</v>
      </c>
      <c r="K629" s="2" t="s">
        <v>582</v>
      </c>
      <c r="L629" s="2" t="str">
        <f>"88J123600050"</f>
        <v>88J123600050</v>
      </c>
      <c r="M629" s="2" t="s">
        <v>2</v>
      </c>
      <c r="N629" s="18">
        <v>31352</v>
      </c>
      <c r="O629" s="2" t="s">
        <v>583</v>
      </c>
    </row>
    <row r="630" spans="1:15" s="2" customFormat="1" x14ac:dyDescent="0.25">
      <c r="A630" s="2">
        <v>630</v>
      </c>
      <c r="B630" s="2">
        <v>1</v>
      </c>
      <c r="C630" s="2">
        <v>51</v>
      </c>
      <c r="D630" s="2">
        <v>1</v>
      </c>
      <c r="E630" s="2">
        <v>20</v>
      </c>
      <c r="G630" s="2">
        <v>1</v>
      </c>
      <c r="H630" s="2">
        <v>4</v>
      </c>
      <c r="I630" s="2">
        <v>6794556</v>
      </c>
      <c r="J630" s="2" t="s">
        <v>254</v>
      </c>
      <c r="K630" s="2" t="s">
        <v>584</v>
      </c>
      <c r="L630" s="2" t="str">
        <f>"1215LZ010RQ9"</f>
        <v>1215LZ010RQ9</v>
      </c>
      <c r="M630" s="2" t="s">
        <v>2</v>
      </c>
      <c r="N630" s="18">
        <v>31353</v>
      </c>
      <c r="O630" s="2">
        <v>300</v>
      </c>
    </row>
    <row r="631" spans="1:15" s="2" customFormat="1" x14ac:dyDescent="0.25">
      <c r="A631" s="2">
        <v>631</v>
      </c>
      <c r="B631" s="2">
        <v>1</v>
      </c>
      <c r="C631" s="2">
        <v>42</v>
      </c>
      <c r="D631" s="2">
        <v>1</v>
      </c>
      <c r="E631" s="2">
        <v>20</v>
      </c>
      <c r="G631" s="2">
        <v>1</v>
      </c>
      <c r="H631" s="2">
        <v>4</v>
      </c>
      <c r="I631" s="2">
        <v>6794580</v>
      </c>
      <c r="J631" s="2" t="s">
        <v>145</v>
      </c>
      <c r="K631" s="2" t="s">
        <v>559</v>
      </c>
      <c r="L631" s="2" t="str">
        <f>"MXL2280F95"</f>
        <v>MXL2280F95</v>
      </c>
      <c r="M631" s="2" t="s">
        <v>2</v>
      </c>
      <c r="N631" s="18">
        <v>31354</v>
      </c>
      <c r="O631" s="2" t="s">
        <v>585</v>
      </c>
    </row>
    <row r="632" spans="1:15" s="2" customFormat="1" x14ac:dyDescent="0.25">
      <c r="A632" s="2">
        <v>632</v>
      </c>
      <c r="B632" s="2">
        <v>1</v>
      </c>
      <c r="C632" s="2">
        <v>42</v>
      </c>
      <c r="D632" s="2">
        <v>1</v>
      </c>
      <c r="E632" s="2">
        <v>20</v>
      </c>
      <c r="G632" s="2">
        <v>1</v>
      </c>
      <c r="H632" s="2">
        <v>4</v>
      </c>
      <c r="I632" s="2">
        <v>6794606</v>
      </c>
      <c r="J632" s="2" t="s">
        <v>195</v>
      </c>
      <c r="K632" s="2" t="s">
        <v>558</v>
      </c>
      <c r="L632" s="2" t="str">
        <f>"6CM2190275"</f>
        <v>6CM2190275</v>
      </c>
      <c r="M632" s="2" t="s">
        <v>2</v>
      </c>
      <c r="N632" s="18">
        <v>31355</v>
      </c>
      <c r="O632" s="2">
        <v>138</v>
      </c>
    </row>
    <row r="633" spans="1:15" s="2" customFormat="1" x14ac:dyDescent="0.25">
      <c r="A633" s="2">
        <v>633</v>
      </c>
      <c r="B633" s="2">
        <v>1</v>
      </c>
      <c r="C633" s="2">
        <v>85</v>
      </c>
      <c r="D633" s="2">
        <v>1</v>
      </c>
      <c r="E633" s="2">
        <v>22</v>
      </c>
      <c r="G633" s="2">
        <v>1</v>
      </c>
      <c r="H633" s="2">
        <v>4</v>
      </c>
      <c r="I633" s="2">
        <v>7602824</v>
      </c>
      <c r="J633" s="2" t="s">
        <v>255</v>
      </c>
      <c r="K633" s="2" t="s">
        <v>586</v>
      </c>
      <c r="L633" s="2" t="str">
        <f>"UNK01025930J"</f>
        <v>UNK01025930J</v>
      </c>
      <c r="M633" s="2" t="s">
        <v>2</v>
      </c>
      <c r="N633" s="18">
        <v>31356</v>
      </c>
      <c r="O633" s="2">
        <v>230</v>
      </c>
    </row>
    <row r="634" spans="1:15" s="2" customFormat="1" x14ac:dyDescent="0.25">
      <c r="A634" s="2">
        <v>634</v>
      </c>
      <c r="B634" s="2">
        <v>1</v>
      </c>
      <c r="C634" s="2">
        <v>60</v>
      </c>
      <c r="D634" s="2">
        <v>1</v>
      </c>
      <c r="E634" s="2">
        <v>22</v>
      </c>
      <c r="G634" s="2">
        <v>1</v>
      </c>
      <c r="H634" s="2">
        <v>4</v>
      </c>
      <c r="I634" s="2">
        <v>13182080</v>
      </c>
      <c r="J634" s="2" t="s">
        <v>256</v>
      </c>
      <c r="K634" s="2" t="s">
        <v>350</v>
      </c>
      <c r="L634" s="2" t="str">
        <f>"63445040507001"</f>
        <v>63445040507001</v>
      </c>
      <c r="M634" s="2" t="s">
        <v>2</v>
      </c>
      <c r="N634" s="18">
        <v>31357</v>
      </c>
      <c r="O634" s="2">
        <v>20</v>
      </c>
    </row>
    <row r="635" spans="1:15" s="2" customFormat="1" x14ac:dyDescent="0.25">
      <c r="A635" s="2">
        <v>635</v>
      </c>
      <c r="B635" s="2">
        <v>1</v>
      </c>
      <c r="C635" s="2">
        <v>42</v>
      </c>
      <c r="D635" s="2">
        <v>1</v>
      </c>
      <c r="E635" s="2">
        <v>20</v>
      </c>
      <c r="G635" s="2">
        <v>1</v>
      </c>
      <c r="H635" s="2">
        <v>4</v>
      </c>
      <c r="I635" s="2">
        <v>13382744</v>
      </c>
      <c r="J635" s="2" t="s">
        <v>197</v>
      </c>
      <c r="K635" s="2" t="s">
        <v>587</v>
      </c>
      <c r="L635" s="2" t="str">
        <f>"0403067665"</f>
        <v>0403067665</v>
      </c>
      <c r="M635" s="2" t="s">
        <v>2</v>
      </c>
      <c r="N635" s="18">
        <v>31358</v>
      </c>
      <c r="O635" s="2" t="s">
        <v>561</v>
      </c>
    </row>
    <row r="636" spans="1:15" s="2" customFormat="1" x14ac:dyDescent="0.25">
      <c r="A636" s="2">
        <v>636</v>
      </c>
      <c r="B636" s="2">
        <v>1</v>
      </c>
      <c r="C636" s="2">
        <v>42</v>
      </c>
      <c r="D636" s="2">
        <v>1</v>
      </c>
      <c r="E636" s="2">
        <v>20</v>
      </c>
      <c r="G636" s="2">
        <v>1</v>
      </c>
      <c r="H636" s="2">
        <v>4</v>
      </c>
      <c r="I636" s="2">
        <v>13382764</v>
      </c>
      <c r="J636" s="2" t="s">
        <v>198</v>
      </c>
      <c r="K636" s="2" t="s">
        <v>470</v>
      </c>
      <c r="L636" s="2" t="str">
        <f>"BAUDU0OVB2P3YL"</f>
        <v>BAUDU0OVB2P3YL</v>
      </c>
      <c r="M636" s="2" t="s">
        <v>2</v>
      </c>
      <c r="N636" s="18">
        <v>31359</v>
      </c>
      <c r="O636" s="2" t="s">
        <v>564</v>
      </c>
    </row>
    <row r="637" spans="1:15" s="2" customFormat="1" x14ac:dyDescent="0.25">
      <c r="A637" s="2">
        <v>637</v>
      </c>
      <c r="B637" s="2">
        <v>2</v>
      </c>
      <c r="C637" s="2">
        <v>76</v>
      </c>
      <c r="D637" s="2">
        <v>2</v>
      </c>
      <c r="E637" s="2">
        <v>10</v>
      </c>
      <c r="G637" s="2">
        <v>1</v>
      </c>
      <c r="H637" s="2">
        <v>39</v>
      </c>
      <c r="I637" s="2">
        <v>7606350</v>
      </c>
      <c r="J637" s="2" t="s">
        <v>278</v>
      </c>
      <c r="K637" s="2" t="s">
        <v>350</v>
      </c>
      <c r="L637" s="2" t="str">
        <f>"14101030109005"</f>
        <v>14101030109005</v>
      </c>
      <c r="M637" s="2" t="s">
        <v>2</v>
      </c>
      <c r="N637" s="18">
        <v>31360</v>
      </c>
      <c r="O637" s="2" t="s">
        <v>588</v>
      </c>
    </row>
    <row r="638" spans="1:15" s="2" customFormat="1" x14ac:dyDescent="0.25">
      <c r="A638" s="2">
        <v>638</v>
      </c>
      <c r="B638" s="2">
        <v>2</v>
      </c>
      <c r="C638" s="2">
        <v>76</v>
      </c>
      <c r="D638" s="2">
        <v>2</v>
      </c>
      <c r="E638" s="2">
        <v>10</v>
      </c>
      <c r="G638" s="2">
        <v>1</v>
      </c>
      <c r="H638" s="2">
        <v>39</v>
      </c>
      <c r="I638" s="2">
        <v>7606351</v>
      </c>
      <c r="J638" s="2" t="s">
        <v>278</v>
      </c>
      <c r="K638" s="2" t="s">
        <v>350</v>
      </c>
      <c r="L638" s="2" t="str">
        <f>"14101030109006"</f>
        <v>14101030109006</v>
      </c>
      <c r="M638" s="2" t="s">
        <v>2</v>
      </c>
      <c r="N638" s="18">
        <v>31361</v>
      </c>
      <c r="O638" s="2" t="s">
        <v>588</v>
      </c>
    </row>
    <row r="639" spans="1:15" s="2" customFormat="1" x14ac:dyDescent="0.25">
      <c r="A639" s="2">
        <v>639</v>
      </c>
      <c r="B639" s="2">
        <v>2</v>
      </c>
      <c r="C639" s="2">
        <v>76</v>
      </c>
      <c r="D639" s="2">
        <v>2</v>
      </c>
      <c r="E639" s="2">
        <v>10</v>
      </c>
      <c r="G639" s="2">
        <v>1</v>
      </c>
      <c r="H639" s="2">
        <v>39</v>
      </c>
      <c r="I639" s="2">
        <v>7606352</v>
      </c>
      <c r="J639" s="2" t="s">
        <v>278</v>
      </c>
      <c r="K639" s="2" t="s">
        <v>350</v>
      </c>
      <c r="L639" s="2" t="str">
        <f>"14101030109007"</f>
        <v>14101030109007</v>
      </c>
      <c r="M639" s="2" t="s">
        <v>2</v>
      </c>
      <c r="N639" s="18">
        <v>31362</v>
      </c>
      <c r="O639" s="2" t="s">
        <v>588</v>
      </c>
    </row>
    <row r="640" spans="1:15" s="2" customFormat="1" x14ac:dyDescent="0.25">
      <c r="A640" s="2">
        <v>640</v>
      </c>
      <c r="B640" s="2">
        <v>2</v>
      </c>
      <c r="C640" s="2">
        <v>76</v>
      </c>
      <c r="D640" s="2">
        <v>2</v>
      </c>
      <c r="E640" s="2">
        <v>10</v>
      </c>
      <c r="G640" s="2">
        <v>1</v>
      </c>
      <c r="H640" s="2">
        <v>39</v>
      </c>
      <c r="I640" s="2">
        <v>7606353</v>
      </c>
      <c r="J640" s="2" t="s">
        <v>278</v>
      </c>
      <c r="K640" s="2" t="s">
        <v>350</v>
      </c>
      <c r="L640" s="2" t="str">
        <f>"14101030109008"</f>
        <v>14101030109008</v>
      </c>
      <c r="M640" s="2" t="s">
        <v>2</v>
      </c>
      <c r="N640" s="18">
        <v>31363</v>
      </c>
      <c r="O640" s="2" t="s">
        <v>588</v>
      </c>
    </row>
    <row r="641" spans="1:15" s="2" customFormat="1" x14ac:dyDescent="0.25">
      <c r="A641" s="2">
        <v>641</v>
      </c>
      <c r="B641" s="2">
        <v>2</v>
      </c>
      <c r="C641" s="2">
        <v>76</v>
      </c>
      <c r="D641" s="2">
        <v>2</v>
      </c>
      <c r="E641" s="2">
        <v>10</v>
      </c>
      <c r="G641" s="2">
        <v>1</v>
      </c>
      <c r="H641" s="2">
        <v>39</v>
      </c>
      <c r="I641" s="2">
        <v>7606354</v>
      </c>
      <c r="J641" s="2" t="s">
        <v>278</v>
      </c>
      <c r="K641" s="2" t="s">
        <v>350</v>
      </c>
      <c r="L641" s="2" t="str">
        <f>"14101030109009"</f>
        <v>14101030109009</v>
      </c>
      <c r="M641" s="2" t="s">
        <v>2</v>
      </c>
      <c r="N641" s="18">
        <v>31364</v>
      </c>
      <c r="O641" s="2" t="s">
        <v>588</v>
      </c>
    </row>
    <row r="642" spans="1:15" s="2" customFormat="1" x14ac:dyDescent="0.25">
      <c r="A642" s="2">
        <v>642</v>
      </c>
      <c r="B642" s="2">
        <v>2</v>
      </c>
      <c r="C642" s="2">
        <v>76</v>
      </c>
      <c r="D642" s="2">
        <v>2</v>
      </c>
      <c r="E642" s="2">
        <v>10</v>
      </c>
      <c r="G642" s="2">
        <v>1</v>
      </c>
      <c r="H642" s="2">
        <v>39</v>
      </c>
      <c r="I642" s="2">
        <v>7606355</v>
      </c>
      <c r="J642" s="2" t="s">
        <v>278</v>
      </c>
      <c r="K642" s="2" t="s">
        <v>350</v>
      </c>
      <c r="L642" s="2" t="str">
        <f>"14101030109010"</f>
        <v>14101030109010</v>
      </c>
      <c r="M642" s="2" t="s">
        <v>2</v>
      </c>
      <c r="N642" s="18">
        <v>31365</v>
      </c>
      <c r="O642" s="2" t="s">
        <v>588</v>
      </c>
    </row>
    <row r="643" spans="1:15" s="2" customFormat="1" x14ac:dyDescent="0.25">
      <c r="A643" s="2">
        <v>643</v>
      </c>
      <c r="B643" s="2">
        <v>2</v>
      </c>
      <c r="C643" s="2">
        <v>76</v>
      </c>
      <c r="D643" s="2">
        <v>2</v>
      </c>
      <c r="E643" s="2">
        <v>10</v>
      </c>
      <c r="G643" s="2">
        <v>1</v>
      </c>
      <c r="H643" s="2">
        <v>39</v>
      </c>
      <c r="I643" s="2">
        <v>7606356</v>
      </c>
      <c r="J643" s="2" t="s">
        <v>278</v>
      </c>
      <c r="K643" s="2" t="s">
        <v>350</v>
      </c>
      <c r="L643" s="2" t="str">
        <f>"14101030109011"</f>
        <v>14101030109011</v>
      </c>
      <c r="M643" s="2" t="s">
        <v>2</v>
      </c>
      <c r="N643" s="18">
        <v>31366</v>
      </c>
      <c r="O643" s="2" t="s">
        <v>588</v>
      </c>
    </row>
    <row r="644" spans="1:15" s="2" customFormat="1" x14ac:dyDescent="0.25">
      <c r="A644" s="2">
        <v>644</v>
      </c>
      <c r="B644" s="2">
        <v>2</v>
      </c>
      <c r="C644" s="2">
        <v>76</v>
      </c>
      <c r="D644" s="2">
        <v>2</v>
      </c>
      <c r="E644" s="2">
        <v>10</v>
      </c>
      <c r="G644" s="2">
        <v>1</v>
      </c>
      <c r="H644" s="2">
        <v>39</v>
      </c>
      <c r="I644" s="2">
        <v>7606357</v>
      </c>
      <c r="J644" s="2" t="s">
        <v>278</v>
      </c>
      <c r="K644" s="2" t="s">
        <v>350</v>
      </c>
      <c r="L644" s="2" t="str">
        <f>"14101030109012"</f>
        <v>14101030109012</v>
      </c>
      <c r="M644" s="2" t="s">
        <v>2</v>
      </c>
      <c r="N644" s="18">
        <v>31367</v>
      </c>
      <c r="O644" s="2" t="s">
        <v>588</v>
      </c>
    </row>
    <row r="645" spans="1:15" s="2" customFormat="1" x14ac:dyDescent="0.25">
      <c r="A645" s="2">
        <v>645</v>
      </c>
      <c r="B645" s="2">
        <v>2</v>
      </c>
      <c r="C645" s="2">
        <v>76</v>
      </c>
      <c r="D645" s="2">
        <v>2</v>
      </c>
      <c r="E645" s="2">
        <v>10</v>
      </c>
      <c r="G645" s="2">
        <v>1</v>
      </c>
      <c r="H645" s="2">
        <v>39</v>
      </c>
      <c r="I645" s="2">
        <v>7606358</v>
      </c>
      <c r="J645" s="2" t="s">
        <v>278</v>
      </c>
      <c r="K645" s="2" t="s">
        <v>350</v>
      </c>
      <c r="L645" s="2" t="str">
        <f>"14101030109013"</f>
        <v>14101030109013</v>
      </c>
      <c r="M645" s="2" t="s">
        <v>2</v>
      </c>
      <c r="N645" s="18">
        <v>31368</v>
      </c>
      <c r="O645" s="2" t="s">
        <v>588</v>
      </c>
    </row>
    <row r="646" spans="1:15" s="2" customFormat="1" x14ac:dyDescent="0.25">
      <c r="A646" s="2">
        <v>646</v>
      </c>
      <c r="B646" s="2">
        <v>2</v>
      </c>
      <c r="C646" s="2">
        <v>76</v>
      </c>
      <c r="D646" s="2">
        <v>2</v>
      </c>
      <c r="E646" s="2">
        <v>10</v>
      </c>
      <c r="G646" s="2">
        <v>1</v>
      </c>
      <c r="H646" s="2">
        <v>39</v>
      </c>
      <c r="I646" s="2">
        <v>7606359</v>
      </c>
      <c r="J646" s="2" t="s">
        <v>278</v>
      </c>
      <c r="K646" s="2" t="s">
        <v>350</v>
      </c>
      <c r="L646" s="2" t="str">
        <f>"14101030109014"</f>
        <v>14101030109014</v>
      </c>
      <c r="M646" s="2" t="s">
        <v>2</v>
      </c>
      <c r="N646" s="18">
        <v>31369</v>
      </c>
      <c r="O646" s="2" t="s">
        <v>588</v>
      </c>
    </row>
    <row r="647" spans="1:15" s="2" customFormat="1" x14ac:dyDescent="0.25">
      <c r="A647" s="2">
        <v>647</v>
      </c>
      <c r="B647" s="2">
        <v>1</v>
      </c>
      <c r="C647" s="2">
        <v>42</v>
      </c>
      <c r="D647" s="2">
        <v>1</v>
      </c>
      <c r="E647" s="2">
        <v>20</v>
      </c>
      <c r="G647" s="2">
        <v>1</v>
      </c>
      <c r="H647" s="2">
        <v>4</v>
      </c>
      <c r="I647" s="2">
        <v>6794574</v>
      </c>
      <c r="J647" s="2" t="s">
        <v>195</v>
      </c>
      <c r="K647" s="2" t="s">
        <v>558</v>
      </c>
      <c r="L647" s="2" t="str">
        <f>"6CM22912HT"</f>
        <v>6CM22912HT</v>
      </c>
      <c r="M647" s="2" t="s">
        <v>2</v>
      </c>
      <c r="N647" s="18">
        <v>31370</v>
      </c>
      <c r="O647" s="2" t="s">
        <v>589</v>
      </c>
    </row>
    <row r="648" spans="1:15" s="2" customFormat="1" x14ac:dyDescent="0.25">
      <c r="A648" s="2">
        <v>648</v>
      </c>
      <c r="B648" s="2">
        <v>1</v>
      </c>
      <c r="C648" s="2">
        <v>42</v>
      </c>
      <c r="D648" s="2">
        <v>1</v>
      </c>
      <c r="E648" s="2">
        <v>20</v>
      </c>
      <c r="G648" s="2">
        <v>1</v>
      </c>
      <c r="H648" s="2">
        <v>4</v>
      </c>
      <c r="I648" s="2">
        <v>6794422</v>
      </c>
      <c r="J648" s="2" t="s">
        <v>145</v>
      </c>
      <c r="K648" s="2" t="s">
        <v>590</v>
      </c>
      <c r="L648" s="2" t="str">
        <f>"MXL2500KXL"</f>
        <v>MXL2500KXL</v>
      </c>
      <c r="M648" s="2" t="s">
        <v>2</v>
      </c>
      <c r="N648" s="18">
        <v>31371</v>
      </c>
      <c r="O648" s="2" t="s">
        <v>591</v>
      </c>
    </row>
    <row r="649" spans="1:15" s="2" customFormat="1" x14ac:dyDescent="0.25">
      <c r="A649" s="2">
        <v>649</v>
      </c>
      <c r="B649" s="2">
        <v>1</v>
      </c>
      <c r="C649" s="2">
        <v>42</v>
      </c>
      <c r="D649" s="2">
        <v>1</v>
      </c>
      <c r="E649" s="2">
        <v>20</v>
      </c>
      <c r="G649" s="2">
        <v>1</v>
      </c>
      <c r="H649" s="2">
        <v>4</v>
      </c>
      <c r="I649" s="2">
        <v>6794423</v>
      </c>
      <c r="J649" s="2" t="s">
        <v>145</v>
      </c>
      <c r="K649" s="2" t="s">
        <v>590</v>
      </c>
      <c r="L649" s="2" t="str">
        <f>"MXL2500KWS"</f>
        <v>MXL2500KWS</v>
      </c>
      <c r="M649" s="2" t="s">
        <v>2</v>
      </c>
      <c r="N649" s="18">
        <v>31372</v>
      </c>
      <c r="O649" s="2" t="s">
        <v>591</v>
      </c>
    </row>
    <row r="650" spans="1:15" s="2" customFormat="1" x14ac:dyDescent="0.25">
      <c r="A650" s="2">
        <v>650</v>
      </c>
      <c r="B650" s="2">
        <v>1</v>
      </c>
      <c r="C650" s="2">
        <v>42</v>
      </c>
      <c r="D650" s="2">
        <v>1</v>
      </c>
      <c r="E650" s="2">
        <v>20</v>
      </c>
      <c r="G650" s="2">
        <v>1</v>
      </c>
      <c r="H650" s="2">
        <v>4</v>
      </c>
      <c r="I650" s="2">
        <v>6794424</v>
      </c>
      <c r="J650" s="2" t="s">
        <v>145</v>
      </c>
      <c r="K650" s="2" t="s">
        <v>590</v>
      </c>
      <c r="L650" s="2" t="str">
        <f>"MXL2500KY1"</f>
        <v>MXL2500KY1</v>
      </c>
      <c r="M650" s="2" t="s">
        <v>2</v>
      </c>
      <c r="N650" s="18">
        <v>31373</v>
      </c>
      <c r="O650" s="2" t="s">
        <v>591</v>
      </c>
    </row>
    <row r="651" spans="1:15" s="2" customFormat="1" x14ac:dyDescent="0.25">
      <c r="A651" s="2">
        <v>651</v>
      </c>
      <c r="B651" s="2">
        <v>1</v>
      </c>
      <c r="C651" s="2">
        <v>42</v>
      </c>
      <c r="D651" s="2">
        <v>1</v>
      </c>
      <c r="E651" s="2">
        <v>20</v>
      </c>
      <c r="G651" s="2">
        <v>1</v>
      </c>
      <c r="H651" s="2">
        <v>4</v>
      </c>
      <c r="I651" s="2">
        <v>6794425</v>
      </c>
      <c r="J651" s="2" t="s">
        <v>145</v>
      </c>
      <c r="K651" s="2" t="s">
        <v>590</v>
      </c>
      <c r="L651" s="2" t="str">
        <f>"MXL2500KXZ"</f>
        <v>MXL2500KXZ</v>
      </c>
      <c r="M651" s="2" t="s">
        <v>2</v>
      </c>
      <c r="N651" s="18">
        <v>31374</v>
      </c>
      <c r="O651" s="2" t="s">
        <v>591</v>
      </c>
    </row>
    <row r="652" spans="1:15" s="2" customFormat="1" x14ac:dyDescent="0.25">
      <c r="A652" s="2">
        <v>652</v>
      </c>
      <c r="B652" s="2">
        <v>1</v>
      </c>
      <c r="C652" s="2">
        <v>42</v>
      </c>
      <c r="D652" s="2">
        <v>1</v>
      </c>
      <c r="E652" s="2">
        <v>20</v>
      </c>
      <c r="G652" s="2">
        <v>1</v>
      </c>
      <c r="H652" s="2">
        <v>4</v>
      </c>
      <c r="I652" s="2">
        <v>6794426</v>
      </c>
      <c r="J652" s="2" t="s">
        <v>145</v>
      </c>
      <c r="K652" s="2" t="s">
        <v>590</v>
      </c>
      <c r="L652" s="2" t="str">
        <f>"MXL2500KXQ"</f>
        <v>MXL2500KXQ</v>
      </c>
      <c r="M652" s="2" t="s">
        <v>2</v>
      </c>
      <c r="N652" s="18">
        <v>31375</v>
      </c>
      <c r="O652" s="2" t="s">
        <v>591</v>
      </c>
    </row>
    <row r="653" spans="1:15" s="2" customFormat="1" x14ac:dyDescent="0.25">
      <c r="A653" s="2">
        <v>653</v>
      </c>
      <c r="B653" s="2">
        <v>1</v>
      </c>
      <c r="C653" s="2">
        <v>37</v>
      </c>
      <c r="D653" s="2">
        <v>1</v>
      </c>
      <c r="E653" s="2">
        <v>24</v>
      </c>
      <c r="G653" s="2">
        <v>1</v>
      </c>
      <c r="H653" s="2">
        <v>4</v>
      </c>
      <c r="I653" s="2">
        <v>6794427</v>
      </c>
      <c r="J653" s="2" t="s">
        <v>145</v>
      </c>
      <c r="K653" s="2" t="s">
        <v>350</v>
      </c>
      <c r="L653" s="2" t="str">
        <f>"14101070101054"</f>
        <v>14101070101054</v>
      </c>
      <c r="M653" s="2" t="s">
        <v>2</v>
      </c>
      <c r="N653" s="18">
        <v>31376</v>
      </c>
      <c r="O653" s="2" t="s">
        <v>592</v>
      </c>
    </row>
    <row r="654" spans="1:15" s="2" customFormat="1" x14ac:dyDescent="0.25">
      <c r="A654" s="2">
        <v>654</v>
      </c>
      <c r="B654" s="2">
        <v>1</v>
      </c>
      <c r="C654" s="2">
        <v>37</v>
      </c>
      <c r="D654" s="2">
        <v>1</v>
      </c>
      <c r="E654" s="2">
        <v>24</v>
      </c>
      <c r="G654" s="2">
        <v>1</v>
      </c>
      <c r="H654" s="2">
        <v>4</v>
      </c>
      <c r="I654" s="2">
        <v>6794428</v>
      </c>
      <c r="J654" s="2" t="s">
        <v>145</v>
      </c>
      <c r="K654" s="2" t="s">
        <v>350</v>
      </c>
      <c r="L654" s="2" t="str">
        <f>"14101070101055"</f>
        <v>14101070101055</v>
      </c>
      <c r="M654" s="2" t="s">
        <v>2</v>
      </c>
      <c r="N654" s="18">
        <v>31377</v>
      </c>
      <c r="O654" s="2" t="s">
        <v>592</v>
      </c>
    </row>
    <row r="655" spans="1:15" s="2" customFormat="1" x14ac:dyDescent="0.25">
      <c r="A655" s="2">
        <v>655</v>
      </c>
      <c r="B655" s="2">
        <v>1</v>
      </c>
      <c r="C655" s="2">
        <v>37</v>
      </c>
      <c r="D655" s="2">
        <v>1</v>
      </c>
      <c r="E655" s="2">
        <v>24</v>
      </c>
      <c r="G655" s="2">
        <v>1</v>
      </c>
      <c r="H655" s="2">
        <v>4</v>
      </c>
      <c r="I655" s="2">
        <v>6794429</v>
      </c>
      <c r="J655" s="2" t="s">
        <v>145</v>
      </c>
      <c r="K655" s="2" t="s">
        <v>350</v>
      </c>
      <c r="L655" s="2" t="str">
        <f>"14101070101056"</f>
        <v>14101070101056</v>
      </c>
      <c r="M655" s="2" t="s">
        <v>2</v>
      </c>
      <c r="N655" s="18">
        <v>31378</v>
      </c>
      <c r="O655" s="2" t="s">
        <v>592</v>
      </c>
    </row>
    <row r="656" spans="1:15" s="2" customFormat="1" x14ac:dyDescent="0.25">
      <c r="A656" s="2">
        <v>656</v>
      </c>
      <c r="B656" s="2">
        <v>1</v>
      </c>
      <c r="C656" s="2">
        <v>37</v>
      </c>
      <c r="D656" s="2">
        <v>1</v>
      </c>
      <c r="E656" s="2">
        <v>24</v>
      </c>
      <c r="G656" s="2">
        <v>1</v>
      </c>
      <c r="H656" s="2">
        <v>4</v>
      </c>
      <c r="I656" s="2">
        <v>6794430</v>
      </c>
      <c r="J656" s="2" t="s">
        <v>145</v>
      </c>
      <c r="K656" s="2" t="s">
        <v>350</v>
      </c>
      <c r="L656" s="2" t="str">
        <f>"14101070101057"</f>
        <v>14101070101057</v>
      </c>
      <c r="M656" s="2" t="s">
        <v>2</v>
      </c>
      <c r="N656" s="18">
        <v>31379</v>
      </c>
      <c r="O656" s="2" t="s">
        <v>592</v>
      </c>
    </row>
    <row r="657" spans="1:15" s="2" customFormat="1" x14ac:dyDescent="0.25">
      <c r="A657" s="2">
        <v>657</v>
      </c>
      <c r="B657" s="2">
        <v>1</v>
      </c>
      <c r="C657" s="2">
        <v>42</v>
      </c>
      <c r="D657" s="2">
        <v>1</v>
      </c>
      <c r="E657" s="2">
        <v>5</v>
      </c>
      <c r="G657" s="2">
        <v>1</v>
      </c>
      <c r="H657" s="2">
        <v>4</v>
      </c>
      <c r="I657" s="2">
        <v>6794462</v>
      </c>
      <c r="J657" s="2" t="s">
        <v>192</v>
      </c>
      <c r="K657" s="2" t="s">
        <v>593</v>
      </c>
      <c r="L657" s="2" t="str">
        <f>"CNB2Q15708"</f>
        <v>CNB2Q15708</v>
      </c>
      <c r="M657" s="2" t="s">
        <v>2</v>
      </c>
      <c r="N657" s="18">
        <v>31380</v>
      </c>
      <c r="O657" s="2" t="s">
        <v>594</v>
      </c>
    </row>
    <row r="658" spans="1:15" s="2" customFormat="1" x14ac:dyDescent="0.25">
      <c r="A658" s="2">
        <v>658</v>
      </c>
      <c r="B658" s="2">
        <v>2</v>
      </c>
      <c r="C658" s="2">
        <v>76</v>
      </c>
      <c r="D658" s="2">
        <v>2</v>
      </c>
      <c r="E658" s="2">
        <v>20</v>
      </c>
      <c r="G658" s="2">
        <v>1</v>
      </c>
      <c r="H658" s="2">
        <v>39</v>
      </c>
      <c r="I658" s="2">
        <v>6794473</v>
      </c>
      <c r="J658" s="2" t="s">
        <v>252</v>
      </c>
      <c r="K658" s="2" t="s">
        <v>595</v>
      </c>
      <c r="L658" s="2" t="str">
        <f>"14101070107001"</f>
        <v>14101070107001</v>
      </c>
      <c r="M658" s="2" t="s">
        <v>2</v>
      </c>
      <c r="N658" s="18">
        <v>31381</v>
      </c>
      <c r="O658" s="19">
        <v>1600</v>
      </c>
    </row>
    <row r="659" spans="1:15" s="2" customFormat="1" x14ac:dyDescent="0.25">
      <c r="A659" s="2">
        <v>659</v>
      </c>
      <c r="B659" s="2">
        <v>1</v>
      </c>
      <c r="C659" s="2">
        <v>42</v>
      </c>
      <c r="D659" s="2">
        <v>1</v>
      </c>
      <c r="E659" s="2">
        <v>5</v>
      </c>
      <c r="G659" s="2">
        <v>1</v>
      </c>
      <c r="H659" s="2">
        <v>4</v>
      </c>
      <c r="I659" s="2">
        <v>6794479</v>
      </c>
      <c r="J659" s="2" t="s">
        <v>249</v>
      </c>
      <c r="K659" s="2" t="s">
        <v>596</v>
      </c>
      <c r="L659" s="2" t="str">
        <f>"CN249AD0V6"</f>
        <v>CN249AD0V6</v>
      </c>
      <c r="M659" s="2" t="s">
        <v>2</v>
      </c>
      <c r="N659" s="18">
        <v>31382</v>
      </c>
      <c r="O659" s="2" t="s">
        <v>597</v>
      </c>
    </row>
    <row r="660" spans="1:15" s="2" customFormat="1" x14ac:dyDescent="0.25">
      <c r="A660" s="2">
        <v>660</v>
      </c>
      <c r="B660" s="2">
        <v>1</v>
      </c>
      <c r="C660" s="2">
        <v>42</v>
      </c>
      <c r="D660" s="2">
        <v>1</v>
      </c>
      <c r="E660" s="2">
        <v>13</v>
      </c>
      <c r="G660" s="2">
        <v>1</v>
      </c>
      <c r="H660" s="2">
        <v>4</v>
      </c>
      <c r="I660" s="2">
        <v>6794485</v>
      </c>
      <c r="J660" s="2" t="s">
        <v>201</v>
      </c>
      <c r="K660" s="2" t="s">
        <v>598</v>
      </c>
      <c r="L660" s="2" t="str">
        <f>"7893552003130"</f>
        <v>7893552003130</v>
      </c>
      <c r="M660" s="2" t="s">
        <v>2</v>
      </c>
      <c r="N660" s="18">
        <v>31383</v>
      </c>
      <c r="O660" s="2" t="s">
        <v>599</v>
      </c>
    </row>
    <row r="661" spans="1:15" s="2" customFormat="1" x14ac:dyDescent="0.25">
      <c r="A661" s="2">
        <v>661</v>
      </c>
      <c r="B661" s="2">
        <v>1</v>
      </c>
      <c r="C661" s="2">
        <v>32</v>
      </c>
      <c r="D661" s="2">
        <v>1</v>
      </c>
      <c r="E661" s="2">
        <v>20</v>
      </c>
      <c r="G661" s="2">
        <v>1</v>
      </c>
      <c r="H661" s="2">
        <v>4</v>
      </c>
      <c r="I661" s="2">
        <v>6794492</v>
      </c>
      <c r="J661" s="2" t="s">
        <v>257</v>
      </c>
      <c r="K661" s="2" t="s">
        <v>600</v>
      </c>
      <c r="L661" s="2" t="str">
        <f>"83311210100309"</f>
        <v>83311210100309</v>
      </c>
      <c r="M661" s="2" t="s">
        <v>2</v>
      </c>
      <c r="N661" s="18">
        <v>31384</v>
      </c>
      <c r="O661" s="19">
        <v>1429</v>
      </c>
    </row>
    <row r="662" spans="1:15" s="2" customFormat="1" x14ac:dyDescent="0.25">
      <c r="A662" s="2">
        <v>662</v>
      </c>
      <c r="B662" s="2">
        <v>1</v>
      </c>
      <c r="C662" s="2">
        <v>42</v>
      </c>
      <c r="D662" s="2">
        <v>1</v>
      </c>
      <c r="E662" s="2">
        <v>20</v>
      </c>
      <c r="G662" s="2">
        <v>1</v>
      </c>
      <c r="H662" s="2">
        <v>4</v>
      </c>
      <c r="I662" s="2">
        <v>6794547</v>
      </c>
      <c r="J662" s="2" t="s">
        <v>195</v>
      </c>
      <c r="K662" s="2" t="s">
        <v>558</v>
      </c>
      <c r="L662" s="2" t="str">
        <f>"6CM2300K18"</f>
        <v>6CM2300K18</v>
      </c>
      <c r="M662" s="2" t="s">
        <v>2</v>
      </c>
      <c r="N662" s="18">
        <v>31385</v>
      </c>
      <c r="O662" s="2" t="s">
        <v>601</v>
      </c>
    </row>
    <row r="663" spans="1:15" s="2" customFormat="1" x14ac:dyDescent="0.25">
      <c r="A663" s="2">
        <v>663</v>
      </c>
      <c r="B663" s="2">
        <v>1</v>
      </c>
      <c r="C663" s="2">
        <v>42</v>
      </c>
      <c r="D663" s="2">
        <v>1</v>
      </c>
      <c r="E663" s="2">
        <v>20</v>
      </c>
      <c r="G663" s="2">
        <v>1</v>
      </c>
      <c r="H663" s="2">
        <v>4</v>
      </c>
      <c r="I663" s="2">
        <v>6794548</v>
      </c>
      <c r="J663" s="2" t="s">
        <v>195</v>
      </c>
      <c r="K663" s="2" t="s">
        <v>558</v>
      </c>
      <c r="L663" s="2" t="str">
        <f>"6CM2270RR2"</f>
        <v>6CM2270RR2</v>
      </c>
      <c r="M663" s="2" t="s">
        <v>2</v>
      </c>
      <c r="N663" s="18">
        <v>31386</v>
      </c>
      <c r="O663" s="2" t="s">
        <v>601</v>
      </c>
    </row>
    <row r="664" spans="1:15" s="2" customFormat="1" x14ac:dyDescent="0.25">
      <c r="A664" s="2">
        <v>664</v>
      </c>
      <c r="B664" s="2">
        <v>1</v>
      </c>
      <c r="C664" s="2">
        <v>42</v>
      </c>
      <c r="D664" s="2">
        <v>1</v>
      </c>
      <c r="E664" s="2">
        <v>20</v>
      </c>
      <c r="G664" s="2">
        <v>1</v>
      </c>
      <c r="H664" s="2">
        <v>4</v>
      </c>
      <c r="I664" s="2">
        <v>6794549</v>
      </c>
      <c r="J664" s="2" t="s">
        <v>195</v>
      </c>
      <c r="K664" s="2" t="s">
        <v>558</v>
      </c>
      <c r="L664" s="2" t="str">
        <f>"6CM2270QCC"</f>
        <v>6CM2270QCC</v>
      </c>
      <c r="M664" s="2" t="s">
        <v>2</v>
      </c>
      <c r="N664" s="18">
        <v>31387</v>
      </c>
      <c r="O664" s="2" t="s">
        <v>601</v>
      </c>
    </row>
    <row r="665" spans="1:15" s="2" customFormat="1" x14ac:dyDescent="0.25">
      <c r="A665" s="2">
        <v>665</v>
      </c>
      <c r="B665" s="2">
        <v>1</v>
      </c>
      <c r="C665" s="2">
        <v>42</v>
      </c>
      <c r="D665" s="2">
        <v>1</v>
      </c>
      <c r="E665" s="2">
        <v>20</v>
      </c>
      <c r="G665" s="2">
        <v>1</v>
      </c>
      <c r="H665" s="2">
        <v>4</v>
      </c>
      <c r="I665" s="2">
        <v>6794550</v>
      </c>
      <c r="J665" s="2" t="s">
        <v>195</v>
      </c>
      <c r="K665" s="2" t="s">
        <v>558</v>
      </c>
      <c r="L665" s="2" t="str">
        <f>"6CM2270QBQ"</f>
        <v>6CM2270QBQ</v>
      </c>
      <c r="M665" s="2" t="s">
        <v>2</v>
      </c>
      <c r="N665" s="18">
        <v>31388</v>
      </c>
      <c r="O665" s="2" t="s">
        <v>601</v>
      </c>
    </row>
    <row r="666" spans="1:15" s="2" customFormat="1" x14ac:dyDescent="0.25">
      <c r="A666" s="2">
        <v>666</v>
      </c>
      <c r="B666" s="2">
        <v>1</v>
      </c>
      <c r="C666" s="2">
        <v>42</v>
      </c>
      <c r="D666" s="2">
        <v>1</v>
      </c>
      <c r="E666" s="2">
        <v>20</v>
      </c>
      <c r="G666" s="2">
        <v>1</v>
      </c>
      <c r="H666" s="2">
        <v>4</v>
      </c>
      <c r="I666" s="2">
        <v>6794551</v>
      </c>
      <c r="J666" s="2" t="s">
        <v>195</v>
      </c>
      <c r="K666" s="2" t="s">
        <v>558</v>
      </c>
      <c r="L666" s="2" t="str">
        <f>"6CM2270QBV"</f>
        <v>6CM2270QBV</v>
      </c>
      <c r="M666" s="2" t="s">
        <v>2</v>
      </c>
      <c r="N666" s="18">
        <v>31389</v>
      </c>
      <c r="O666" s="2" t="s">
        <v>601</v>
      </c>
    </row>
    <row r="667" spans="1:15" s="2" customFormat="1" x14ac:dyDescent="0.25">
      <c r="A667" s="2">
        <v>667</v>
      </c>
      <c r="B667" s="2">
        <v>1</v>
      </c>
      <c r="C667" s="2">
        <v>50</v>
      </c>
      <c r="D667" s="2">
        <v>1</v>
      </c>
      <c r="E667" s="2">
        <v>20</v>
      </c>
      <c r="G667" s="2">
        <v>1</v>
      </c>
      <c r="H667" s="2">
        <v>4</v>
      </c>
      <c r="I667" s="2">
        <v>6794552</v>
      </c>
      <c r="J667" s="2" t="s">
        <v>195</v>
      </c>
      <c r="K667" s="2" t="s">
        <v>602</v>
      </c>
      <c r="L667" s="2" t="str">
        <f>"209INFK9L683"</f>
        <v>209INFK9L683</v>
      </c>
      <c r="M667" s="2" t="s">
        <v>2</v>
      </c>
      <c r="N667" s="18">
        <v>31390</v>
      </c>
      <c r="O667" s="2" t="s">
        <v>603</v>
      </c>
    </row>
    <row r="668" spans="1:15" s="2" customFormat="1" x14ac:dyDescent="0.25">
      <c r="A668" s="2">
        <v>668</v>
      </c>
      <c r="B668" s="2">
        <v>1</v>
      </c>
      <c r="C668" s="2">
        <v>50</v>
      </c>
      <c r="D668" s="2">
        <v>1</v>
      </c>
      <c r="E668" s="2">
        <v>20</v>
      </c>
      <c r="G668" s="2">
        <v>1</v>
      </c>
      <c r="H668" s="2">
        <v>4</v>
      </c>
      <c r="I668" s="2">
        <v>6794553</v>
      </c>
      <c r="J668" s="2" t="s">
        <v>195</v>
      </c>
      <c r="K668" s="2" t="s">
        <v>602</v>
      </c>
      <c r="L668" s="2" t="str">
        <f>"209INUB9L606"</f>
        <v>209INUB9L606</v>
      </c>
      <c r="M668" s="2" t="s">
        <v>2</v>
      </c>
      <c r="N668" s="18">
        <v>31391</v>
      </c>
      <c r="O668" s="2" t="s">
        <v>603</v>
      </c>
    </row>
    <row r="669" spans="1:15" s="2" customFormat="1" x14ac:dyDescent="0.25">
      <c r="A669" s="2">
        <v>669</v>
      </c>
      <c r="B669" s="2">
        <v>1</v>
      </c>
      <c r="C669" s="2">
        <v>50</v>
      </c>
      <c r="D669" s="2">
        <v>1</v>
      </c>
      <c r="E669" s="2">
        <v>20</v>
      </c>
      <c r="G669" s="2">
        <v>1</v>
      </c>
      <c r="H669" s="2">
        <v>4</v>
      </c>
      <c r="I669" s="2">
        <v>6794554</v>
      </c>
      <c r="J669" s="2" t="s">
        <v>195</v>
      </c>
      <c r="K669" s="2" t="s">
        <v>602</v>
      </c>
      <c r="L669" s="2" t="str">
        <f>"209INWA9L633"</f>
        <v>209INWA9L633</v>
      </c>
      <c r="M669" s="2" t="s">
        <v>2</v>
      </c>
      <c r="N669" s="18">
        <v>31392</v>
      </c>
      <c r="O669" s="2" t="s">
        <v>603</v>
      </c>
    </row>
    <row r="670" spans="1:15" s="2" customFormat="1" x14ac:dyDescent="0.25">
      <c r="A670" s="2">
        <v>670</v>
      </c>
      <c r="B670" s="2">
        <v>1</v>
      </c>
      <c r="C670" s="2">
        <v>50</v>
      </c>
      <c r="D670" s="2">
        <v>1</v>
      </c>
      <c r="E670" s="2">
        <v>20</v>
      </c>
      <c r="G670" s="2">
        <v>1</v>
      </c>
      <c r="H670" s="2">
        <v>4</v>
      </c>
      <c r="I670" s="2">
        <v>6794555</v>
      </c>
      <c r="J670" s="2" t="s">
        <v>195</v>
      </c>
      <c r="K670" s="2" t="s">
        <v>602</v>
      </c>
      <c r="L670" s="2" t="str">
        <f>"209INKH9N325"</f>
        <v>209INKH9N325</v>
      </c>
      <c r="M670" s="2" t="s">
        <v>2</v>
      </c>
      <c r="N670" s="18">
        <v>31393</v>
      </c>
      <c r="O670" s="2" t="s">
        <v>603</v>
      </c>
    </row>
    <row r="671" spans="1:15" s="2" customFormat="1" x14ac:dyDescent="0.25">
      <c r="A671" s="2">
        <v>671</v>
      </c>
      <c r="B671" s="2">
        <v>1</v>
      </c>
      <c r="C671" s="2">
        <v>45</v>
      </c>
      <c r="D671" s="2">
        <v>1</v>
      </c>
      <c r="E671" s="2">
        <v>5</v>
      </c>
      <c r="G671" s="2">
        <v>1</v>
      </c>
      <c r="H671" s="2">
        <v>4</v>
      </c>
      <c r="I671" s="2">
        <v>7602762</v>
      </c>
      <c r="J671" s="2" t="s">
        <v>250</v>
      </c>
      <c r="K671" s="2" t="s">
        <v>604</v>
      </c>
      <c r="L671" s="2" t="str">
        <f>"D205016710112504200144"</f>
        <v>D205016710112504200144</v>
      </c>
      <c r="M671" s="2" t="s">
        <v>2</v>
      </c>
      <c r="N671" s="18">
        <v>31394</v>
      </c>
      <c r="O671" s="2" t="s">
        <v>605</v>
      </c>
    </row>
    <row r="672" spans="1:15" s="2" customFormat="1" x14ac:dyDescent="0.25">
      <c r="A672" s="2">
        <v>672</v>
      </c>
      <c r="B672" s="2">
        <v>1</v>
      </c>
      <c r="C672" s="2">
        <v>81</v>
      </c>
      <c r="D672" s="2">
        <v>1</v>
      </c>
      <c r="E672" s="2">
        <v>13</v>
      </c>
      <c r="G672" s="2">
        <v>1</v>
      </c>
      <c r="H672" s="2">
        <v>4</v>
      </c>
      <c r="I672" s="2">
        <v>7602767</v>
      </c>
      <c r="J672" s="2" t="s">
        <v>193</v>
      </c>
      <c r="K672" s="2" t="s">
        <v>412</v>
      </c>
      <c r="L672" s="2" t="str">
        <f>"YAEB02"</f>
        <v>YAEB02</v>
      </c>
      <c r="M672" s="2" t="s">
        <v>2</v>
      </c>
      <c r="N672" s="18">
        <v>31395</v>
      </c>
      <c r="O672" s="2" t="s">
        <v>606</v>
      </c>
    </row>
    <row r="673" spans="1:15" s="2" customFormat="1" x14ac:dyDescent="0.25">
      <c r="A673" s="2">
        <v>673</v>
      </c>
      <c r="B673" s="2">
        <v>1</v>
      </c>
      <c r="C673" s="2">
        <v>81</v>
      </c>
      <c r="D673" s="2">
        <v>1</v>
      </c>
      <c r="E673" s="2">
        <v>13</v>
      </c>
      <c r="G673" s="2">
        <v>1</v>
      </c>
      <c r="H673" s="2">
        <v>4</v>
      </c>
      <c r="I673" s="2">
        <v>7602768</v>
      </c>
      <c r="J673" s="2" t="s">
        <v>193</v>
      </c>
      <c r="K673" s="2" t="s">
        <v>412</v>
      </c>
      <c r="L673" s="2" t="str">
        <f>"YAEB10"</f>
        <v>YAEB10</v>
      </c>
      <c r="M673" s="2" t="s">
        <v>2</v>
      </c>
      <c r="N673" s="18">
        <v>31396</v>
      </c>
      <c r="O673" s="2" t="s">
        <v>606</v>
      </c>
    </row>
    <row r="674" spans="1:15" s="2" customFormat="1" x14ac:dyDescent="0.25">
      <c r="A674" s="2">
        <v>674</v>
      </c>
      <c r="B674" s="2">
        <v>1</v>
      </c>
      <c r="C674" s="2">
        <v>81</v>
      </c>
      <c r="D674" s="2">
        <v>1</v>
      </c>
      <c r="E674" s="2">
        <v>13</v>
      </c>
      <c r="G674" s="2">
        <v>1</v>
      </c>
      <c r="H674" s="2">
        <v>4</v>
      </c>
      <c r="I674" s="2">
        <v>7602769</v>
      </c>
      <c r="J674" s="2" t="s">
        <v>193</v>
      </c>
      <c r="K674" s="2" t="s">
        <v>412</v>
      </c>
      <c r="L674" s="2" t="str">
        <f>"YAEB0W"</f>
        <v>YAEB0W</v>
      </c>
      <c r="M674" s="2" t="s">
        <v>2</v>
      </c>
      <c r="N674" s="18">
        <v>31397</v>
      </c>
      <c r="O674" s="2" t="s">
        <v>606</v>
      </c>
    </row>
    <row r="675" spans="1:15" s="2" customFormat="1" x14ac:dyDescent="0.25">
      <c r="A675" s="2">
        <v>675</v>
      </c>
      <c r="B675" s="2">
        <v>1</v>
      </c>
      <c r="C675" s="2">
        <v>31</v>
      </c>
      <c r="D675" s="2">
        <v>1</v>
      </c>
      <c r="E675" s="2">
        <v>20</v>
      </c>
      <c r="G675" s="2">
        <v>1</v>
      </c>
      <c r="H675" s="2">
        <v>4</v>
      </c>
      <c r="I675" s="2">
        <v>7602780</v>
      </c>
      <c r="J675" s="2" t="s">
        <v>208</v>
      </c>
      <c r="K675" s="2" t="s">
        <v>607</v>
      </c>
      <c r="L675" s="2" t="str">
        <f>"PSPK2903121"</f>
        <v>PSPK2903121</v>
      </c>
      <c r="M675" s="2" t="s">
        <v>2</v>
      </c>
      <c r="N675" s="18">
        <v>31398</v>
      </c>
      <c r="O675" s="2" t="s">
        <v>608</v>
      </c>
    </row>
    <row r="676" spans="1:15" s="2" customFormat="1" x14ac:dyDescent="0.25">
      <c r="A676" s="2">
        <v>676</v>
      </c>
      <c r="B676" s="2">
        <v>1</v>
      </c>
      <c r="C676" s="2">
        <v>64</v>
      </c>
      <c r="D676" s="2">
        <v>1</v>
      </c>
      <c r="E676" s="2">
        <v>1</v>
      </c>
      <c r="G676" s="2">
        <v>1</v>
      </c>
      <c r="H676" s="2">
        <v>4</v>
      </c>
      <c r="I676" s="2">
        <v>7602818</v>
      </c>
      <c r="J676" s="2" t="s">
        <v>219</v>
      </c>
      <c r="K676" s="2" t="s">
        <v>609</v>
      </c>
      <c r="L676" s="2" t="str">
        <f>"110C6501710"</f>
        <v>110C6501710</v>
      </c>
      <c r="M676" s="2" t="s">
        <v>2</v>
      </c>
      <c r="N676" s="18">
        <v>31399</v>
      </c>
      <c r="O676" s="2" t="s">
        <v>610</v>
      </c>
    </row>
    <row r="677" spans="1:15" s="2" customFormat="1" x14ac:dyDescent="0.25">
      <c r="A677" s="2">
        <v>677</v>
      </c>
      <c r="B677" s="2">
        <v>1</v>
      </c>
      <c r="C677" s="2">
        <v>83</v>
      </c>
      <c r="D677" s="2">
        <v>1</v>
      </c>
      <c r="E677" s="2">
        <v>2</v>
      </c>
      <c r="G677" s="2">
        <v>1</v>
      </c>
      <c r="H677" s="2">
        <v>4</v>
      </c>
      <c r="I677" s="2">
        <v>13382648</v>
      </c>
      <c r="J677" s="2" t="s">
        <v>201</v>
      </c>
      <c r="K677" s="2" t="s">
        <v>611</v>
      </c>
      <c r="L677" s="2" t="str">
        <f>"UN12204092524"</f>
        <v>UN12204092524</v>
      </c>
      <c r="M677" s="2" t="s">
        <v>2</v>
      </c>
      <c r="N677" s="18">
        <v>31400</v>
      </c>
      <c r="O677" s="2" t="s">
        <v>612</v>
      </c>
    </row>
    <row r="678" spans="1:15" s="2" customFormat="1" x14ac:dyDescent="0.25">
      <c r="A678" s="2">
        <v>678</v>
      </c>
      <c r="B678" s="2">
        <v>1</v>
      </c>
      <c r="C678" s="2">
        <v>83</v>
      </c>
      <c r="D678" s="2">
        <v>1</v>
      </c>
      <c r="E678" s="2">
        <v>2</v>
      </c>
      <c r="G678" s="2">
        <v>1</v>
      </c>
      <c r="H678" s="2">
        <v>4</v>
      </c>
      <c r="I678" s="2">
        <v>13382649</v>
      </c>
      <c r="J678" s="2" t="s">
        <v>201</v>
      </c>
      <c r="K678" s="2" t="s">
        <v>613</v>
      </c>
      <c r="L678" s="2" t="str">
        <f>"UN12304071428"</f>
        <v>UN12304071428</v>
      </c>
      <c r="M678" s="2" t="s">
        <v>2</v>
      </c>
      <c r="N678" s="18">
        <v>31401</v>
      </c>
      <c r="O678" s="2" t="s">
        <v>612</v>
      </c>
    </row>
    <row r="679" spans="1:15" s="2" customFormat="1" x14ac:dyDescent="0.25">
      <c r="A679" s="2">
        <v>679</v>
      </c>
      <c r="B679" s="2">
        <v>1</v>
      </c>
      <c r="C679" s="2">
        <v>42</v>
      </c>
      <c r="D679" s="2">
        <v>1</v>
      </c>
      <c r="E679" s="2">
        <v>20</v>
      </c>
      <c r="G679" s="2">
        <v>1</v>
      </c>
      <c r="H679" s="2">
        <v>4</v>
      </c>
      <c r="I679" s="2">
        <v>13382679</v>
      </c>
      <c r="J679" s="2" t="s">
        <v>198</v>
      </c>
      <c r="K679" s="2" t="s">
        <v>470</v>
      </c>
      <c r="L679" s="2" t="str">
        <f>"BAUDU0OVB2M571"</f>
        <v>BAUDU0OVB2M571</v>
      </c>
      <c r="M679" s="2" t="s">
        <v>2</v>
      </c>
      <c r="N679" s="18">
        <v>31402</v>
      </c>
      <c r="O679" s="2" t="s">
        <v>614</v>
      </c>
    </row>
    <row r="680" spans="1:15" s="2" customFormat="1" x14ac:dyDescent="0.25">
      <c r="A680" s="2">
        <v>680</v>
      </c>
      <c r="B680" s="2">
        <v>1</v>
      </c>
      <c r="C680" s="2">
        <v>42</v>
      </c>
      <c r="D680" s="2">
        <v>1</v>
      </c>
      <c r="E680" s="2">
        <v>20</v>
      </c>
      <c r="G680" s="2">
        <v>1</v>
      </c>
      <c r="H680" s="2">
        <v>4</v>
      </c>
      <c r="I680" s="2">
        <v>13382680</v>
      </c>
      <c r="J680" s="2" t="s">
        <v>198</v>
      </c>
      <c r="K680" s="2" t="s">
        <v>470</v>
      </c>
      <c r="L680" s="2" t="str">
        <f>"BDAEV0QVB3K6CJ"</f>
        <v>BDAEV0QVB3K6CJ</v>
      </c>
      <c r="M680" s="2" t="s">
        <v>2</v>
      </c>
      <c r="N680" s="18">
        <v>31403</v>
      </c>
      <c r="O680" s="2" t="s">
        <v>614</v>
      </c>
    </row>
    <row r="681" spans="1:15" s="2" customFormat="1" x14ac:dyDescent="0.25">
      <c r="A681" s="2">
        <v>681</v>
      </c>
      <c r="B681" s="2">
        <v>1</v>
      </c>
      <c r="C681" s="2">
        <v>42</v>
      </c>
      <c r="D681" s="2">
        <v>1</v>
      </c>
      <c r="E681" s="2">
        <v>20</v>
      </c>
      <c r="G681" s="2">
        <v>1</v>
      </c>
      <c r="H681" s="2">
        <v>4</v>
      </c>
      <c r="I681" s="2">
        <v>13382681</v>
      </c>
      <c r="J681" s="2" t="s">
        <v>198</v>
      </c>
      <c r="K681" s="2" t="s">
        <v>470</v>
      </c>
      <c r="L681" s="2" t="str">
        <f>"BDAEV0QVB3NATW"</f>
        <v>BDAEV0QVB3NATW</v>
      </c>
      <c r="M681" s="2" t="s">
        <v>2</v>
      </c>
      <c r="N681" s="18">
        <v>31404</v>
      </c>
      <c r="O681" s="2" t="s">
        <v>614</v>
      </c>
    </row>
    <row r="682" spans="1:15" s="2" customFormat="1" x14ac:dyDescent="0.25">
      <c r="A682" s="2">
        <v>682</v>
      </c>
      <c r="B682" s="2">
        <v>1</v>
      </c>
      <c r="C682" s="2">
        <v>42</v>
      </c>
      <c r="D682" s="2">
        <v>1</v>
      </c>
      <c r="E682" s="2">
        <v>20</v>
      </c>
      <c r="G682" s="2">
        <v>1</v>
      </c>
      <c r="H682" s="2">
        <v>4</v>
      </c>
      <c r="I682" s="2">
        <v>13382682</v>
      </c>
      <c r="J682" s="2" t="s">
        <v>198</v>
      </c>
      <c r="K682" s="2" t="s">
        <v>470</v>
      </c>
      <c r="L682" s="2" t="str">
        <f>"BDAEV0QVB3K6BS"</f>
        <v>BDAEV0QVB3K6BS</v>
      </c>
      <c r="M682" s="2" t="s">
        <v>2</v>
      </c>
      <c r="N682" s="18">
        <v>31405</v>
      </c>
      <c r="O682" s="2" t="s">
        <v>614</v>
      </c>
    </row>
    <row r="683" spans="1:15" s="2" customFormat="1" x14ac:dyDescent="0.25">
      <c r="A683" s="2">
        <v>683</v>
      </c>
      <c r="B683" s="2">
        <v>1</v>
      </c>
      <c r="C683" s="2">
        <v>42</v>
      </c>
      <c r="D683" s="2">
        <v>1</v>
      </c>
      <c r="E683" s="2">
        <v>20</v>
      </c>
      <c r="G683" s="2">
        <v>1</v>
      </c>
      <c r="H683" s="2">
        <v>4</v>
      </c>
      <c r="I683" s="2">
        <v>13382683</v>
      </c>
      <c r="J683" s="2" t="s">
        <v>198</v>
      </c>
      <c r="K683" s="2" t="s">
        <v>470</v>
      </c>
      <c r="L683" s="2" t="str">
        <f>"BDAEV0QVB3K6CO"</f>
        <v>BDAEV0QVB3K6CO</v>
      </c>
      <c r="M683" s="2" t="s">
        <v>2</v>
      </c>
      <c r="N683" s="18">
        <v>31406</v>
      </c>
      <c r="O683" s="2" t="s">
        <v>614</v>
      </c>
    </row>
    <row r="684" spans="1:15" s="2" customFormat="1" x14ac:dyDescent="0.25">
      <c r="A684" s="2">
        <v>684</v>
      </c>
      <c r="B684" s="2">
        <v>1</v>
      </c>
      <c r="C684" s="2">
        <v>70</v>
      </c>
      <c r="D684" s="2">
        <v>1</v>
      </c>
      <c r="E684" s="2">
        <v>24</v>
      </c>
      <c r="G684" s="2">
        <v>1</v>
      </c>
      <c r="H684" s="2">
        <v>4</v>
      </c>
      <c r="I684" s="2">
        <v>13382684</v>
      </c>
      <c r="J684" s="2" t="s">
        <v>198</v>
      </c>
      <c r="K684" s="2" t="s">
        <v>615</v>
      </c>
      <c r="L684" s="2" t="str">
        <f>"63445070103035"</f>
        <v>63445070103035</v>
      </c>
      <c r="M684" s="2" t="s">
        <v>2</v>
      </c>
      <c r="N684" s="18">
        <v>31407</v>
      </c>
      <c r="O684" s="2" t="s">
        <v>616</v>
      </c>
    </row>
    <row r="685" spans="1:15" s="2" customFormat="1" x14ac:dyDescent="0.25">
      <c r="A685" s="2">
        <v>685</v>
      </c>
      <c r="B685" s="2">
        <v>1</v>
      </c>
      <c r="C685" s="2">
        <v>70</v>
      </c>
      <c r="D685" s="2">
        <v>1</v>
      </c>
      <c r="E685" s="2">
        <v>20</v>
      </c>
      <c r="G685" s="2">
        <v>1</v>
      </c>
      <c r="H685" s="2">
        <v>4</v>
      </c>
      <c r="I685" s="2">
        <v>13382685</v>
      </c>
      <c r="J685" s="2" t="s">
        <v>198</v>
      </c>
      <c r="K685" s="2" t="s">
        <v>419</v>
      </c>
      <c r="L685" s="2" t="str">
        <f>"63445070103036"</f>
        <v>63445070103036</v>
      </c>
      <c r="M685" s="2" t="s">
        <v>2</v>
      </c>
      <c r="N685" s="18">
        <v>31408</v>
      </c>
      <c r="O685" s="2" t="s">
        <v>616</v>
      </c>
    </row>
    <row r="686" spans="1:15" s="2" customFormat="1" x14ac:dyDescent="0.25">
      <c r="A686" s="2">
        <v>686</v>
      </c>
      <c r="B686" s="2">
        <v>1</v>
      </c>
      <c r="C686" s="2">
        <v>70</v>
      </c>
      <c r="D686" s="2">
        <v>1</v>
      </c>
      <c r="E686" s="2">
        <v>24</v>
      </c>
      <c r="G686" s="2">
        <v>1</v>
      </c>
      <c r="H686" s="2">
        <v>4</v>
      </c>
      <c r="I686" s="2">
        <v>13382686</v>
      </c>
      <c r="J686" s="2" t="s">
        <v>198</v>
      </c>
      <c r="K686" s="2" t="s">
        <v>615</v>
      </c>
      <c r="L686" s="2" t="str">
        <f>"63445070103037"</f>
        <v>63445070103037</v>
      </c>
      <c r="M686" s="2" t="s">
        <v>2</v>
      </c>
      <c r="N686" s="18">
        <v>31409</v>
      </c>
      <c r="O686" s="2" t="s">
        <v>616</v>
      </c>
    </row>
    <row r="687" spans="1:15" s="2" customFormat="1" x14ac:dyDescent="0.25">
      <c r="A687" s="2">
        <v>687</v>
      </c>
      <c r="B687" s="2">
        <v>1</v>
      </c>
      <c r="C687" s="2">
        <v>70</v>
      </c>
      <c r="D687" s="2">
        <v>1</v>
      </c>
      <c r="E687" s="2">
        <v>24</v>
      </c>
      <c r="G687" s="2">
        <v>1</v>
      </c>
      <c r="H687" s="2">
        <v>4</v>
      </c>
      <c r="I687" s="2">
        <v>13382687</v>
      </c>
      <c r="J687" s="2" t="s">
        <v>198</v>
      </c>
      <c r="K687" s="2" t="s">
        <v>615</v>
      </c>
      <c r="L687" s="2" t="str">
        <f>"63445070103038"</f>
        <v>63445070103038</v>
      </c>
      <c r="M687" s="2" t="s">
        <v>2</v>
      </c>
      <c r="N687" s="18">
        <v>31410</v>
      </c>
      <c r="O687" s="2" t="s">
        <v>616</v>
      </c>
    </row>
    <row r="688" spans="1:15" s="2" customFormat="1" x14ac:dyDescent="0.25">
      <c r="A688" s="2">
        <v>688</v>
      </c>
      <c r="B688" s="2">
        <v>1</v>
      </c>
      <c r="C688" s="2">
        <v>38</v>
      </c>
      <c r="D688" s="2">
        <v>1</v>
      </c>
      <c r="E688" s="2">
        <v>20</v>
      </c>
      <c r="G688" s="2">
        <v>1</v>
      </c>
      <c r="H688" s="2">
        <v>4</v>
      </c>
      <c r="I688" s="2">
        <v>13382688</v>
      </c>
      <c r="J688" s="2" t="s">
        <v>198</v>
      </c>
      <c r="K688" s="2" t="s">
        <v>423</v>
      </c>
      <c r="L688" s="2" t="str">
        <f>"ZM7305002163"</f>
        <v>ZM7305002163</v>
      </c>
      <c r="M688" s="2" t="s">
        <v>2</v>
      </c>
      <c r="N688" s="18">
        <v>31411</v>
      </c>
      <c r="O688" s="2" t="s">
        <v>501</v>
      </c>
    </row>
    <row r="689" spans="1:15" s="2" customFormat="1" x14ac:dyDescent="0.25">
      <c r="A689" s="2">
        <v>689</v>
      </c>
      <c r="B689" s="2">
        <v>1</v>
      </c>
      <c r="C689" s="2">
        <v>38</v>
      </c>
      <c r="D689" s="2">
        <v>1</v>
      </c>
      <c r="E689" s="2">
        <v>20</v>
      </c>
      <c r="G689" s="2">
        <v>1</v>
      </c>
      <c r="H689" s="2">
        <v>4</v>
      </c>
      <c r="I689" s="2">
        <v>13382691</v>
      </c>
      <c r="J689" s="2" t="s">
        <v>197</v>
      </c>
      <c r="K689" s="2" t="s">
        <v>617</v>
      </c>
      <c r="L689" s="2" t="str">
        <f>"X80369300403"</f>
        <v>X80369300403</v>
      </c>
      <c r="M689" s="2" t="s">
        <v>2</v>
      </c>
      <c r="N689" s="18">
        <v>31412</v>
      </c>
      <c r="O689" s="2" t="s">
        <v>504</v>
      </c>
    </row>
    <row r="690" spans="1:15" s="2" customFormat="1" x14ac:dyDescent="0.25">
      <c r="A690" s="2">
        <v>690</v>
      </c>
      <c r="B690" s="2">
        <v>1</v>
      </c>
      <c r="C690" s="2">
        <v>42</v>
      </c>
      <c r="D690" s="2">
        <v>1</v>
      </c>
      <c r="E690" s="2">
        <v>20</v>
      </c>
      <c r="G690" s="2">
        <v>1</v>
      </c>
      <c r="H690" s="2">
        <v>4</v>
      </c>
      <c r="I690" s="2">
        <v>13382718</v>
      </c>
      <c r="J690" s="2" t="s">
        <v>197</v>
      </c>
      <c r="K690" s="2" t="s">
        <v>426</v>
      </c>
      <c r="L690" s="2" t="str">
        <f>"FCGLH0D9W3K9JP"</f>
        <v>FCGLH0D9W3K9JP</v>
      </c>
      <c r="M690" s="2" t="s">
        <v>2</v>
      </c>
      <c r="N690" s="18">
        <v>31413</v>
      </c>
      <c r="O690" s="2" t="s">
        <v>618</v>
      </c>
    </row>
    <row r="691" spans="1:15" s="2" customFormat="1" x14ac:dyDescent="0.25">
      <c r="A691" s="2">
        <v>691</v>
      </c>
      <c r="B691" s="2">
        <v>1</v>
      </c>
      <c r="C691" s="2">
        <v>42</v>
      </c>
      <c r="D691" s="2">
        <v>1</v>
      </c>
      <c r="E691" s="2">
        <v>20</v>
      </c>
      <c r="G691" s="2">
        <v>1</v>
      </c>
      <c r="H691" s="2">
        <v>4</v>
      </c>
      <c r="I691" s="2">
        <v>13382719</v>
      </c>
      <c r="J691" s="2" t="s">
        <v>197</v>
      </c>
      <c r="K691" s="2" t="s">
        <v>619</v>
      </c>
      <c r="L691" s="2" t="str">
        <f>"FB7330AN3WN17XU"</f>
        <v>FB7330AN3WN17XU</v>
      </c>
      <c r="M691" s="2" t="s">
        <v>2</v>
      </c>
      <c r="N691" s="18">
        <v>31414</v>
      </c>
      <c r="O691" s="2" t="s">
        <v>618</v>
      </c>
    </row>
    <row r="692" spans="1:15" s="2" customFormat="1" x14ac:dyDescent="0.25">
      <c r="A692" s="2">
        <v>692</v>
      </c>
      <c r="B692" s="2">
        <v>1</v>
      </c>
      <c r="C692" s="2">
        <v>42</v>
      </c>
      <c r="D692" s="2">
        <v>1</v>
      </c>
      <c r="E692" s="2">
        <v>20</v>
      </c>
      <c r="G692" s="2">
        <v>1</v>
      </c>
      <c r="H692" s="2">
        <v>4</v>
      </c>
      <c r="I692" s="2">
        <v>13382720</v>
      </c>
      <c r="J692" s="2" t="s">
        <v>197</v>
      </c>
      <c r="K692" s="2" t="s">
        <v>426</v>
      </c>
      <c r="L692" s="2" t="str">
        <f>"FCGLH0D9W3K4MT"</f>
        <v>FCGLH0D9W3K4MT</v>
      </c>
      <c r="M692" s="2" t="s">
        <v>2</v>
      </c>
      <c r="N692" s="18">
        <v>31415</v>
      </c>
      <c r="O692" s="2" t="s">
        <v>618</v>
      </c>
    </row>
    <row r="693" spans="1:15" s="2" customFormat="1" x14ac:dyDescent="0.25">
      <c r="A693" s="2">
        <v>693</v>
      </c>
      <c r="B693" s="2">
        <v>1</v>
      </c>
      <c r="C693" s="2">
        <v>42</v>
      </c>
      <c r="D693" s="2">
        <v>1</v>
      </c>
      <c r="E693" s="2">
        <v>20</v>
      </c>
      <c r="G693" s="2">
        <v>1</v>
      </c>
      <c r="H693" s="2">
        <v>4</v>
      </c>
      <c r="I693" s="2">
        <v>13382721</v>
      </c>
      <c r="J693" s="2" t="s">
        <v>197</v>
      </c>
      <c r="K693" s="2" t="s">
        <v>426</v>
      </c>
      <c r="L693" s="2" t="str">
        <f>"FCGLH0D9W3K9JO"</f>
        <v>FCGLH0D9W3K9JO</v>
      </c>
      <c r="M693" s="2" t="s">
        <v>2</v>
      </c>
      <c r="N693" s="18">
        <v>31416</v>
      </c>
      <c r="O693" s="2" t="s">
        <v>618</v>
      </c>
    </row>
    <row r="694" spans="1:15" s="2" customFormat="1" x14ac:dyDescent="0.25">
      <c r="A694" s="2">
        <v>694</v>
      </c>
      <c r="B694" s="2">
        <v>1</v>
      </c>
      <c r="C694" s="2">
        <v>42</v>
      </c>
      <c r="D694" s="2">
        <v>1</v>
      </c>
      <c r="E694" s="2">
        <v>20</v>
      </c>
      <c r="G694" s="2">
        <v>1</v>
      </c>
      <c r="H694" s="2">
        <v>4</v>
      </c>
      <c r="I694" s="2">
        <v>13382722</v>
      </c>
      <c r="J694" s="2" t="s">
        <v>197</v>
      </c>
      <c r="K694" s="2" t="s">
        <v>426</v>
      </c>
      <c r="L694" s="2" t="str">
        <f>"FCGLH0D9W3K9JI"</f>
        <v>FCGLH0D9W3K9JI</v>
      </c>
      <c r="M694" s="2" t="s">
        <v>2</v>
      </c>
      <c r="N694" s="18">
        <v>31417</v>
      </c>
      <c r="O694" s="2" t="s">
        <v>618</v>
      </c>
    </row>
    <row r="695" spans="1:15" s="2" customFormat="1" x14ac:dyDescent="0.25">
      <c r="A695" s="2">
        <v>695</v>
      </c>
      <c r="B695" s="2">
        <v>1</v>
      </c>
      <c r="C695" s="2">
        <v>70</v>
      </c>
      <c r="D695" s="2">
        <v>1</v>
      </c>
      <c r="E695" s="2">
        <v>20</v>
      </c>
      <c r="G695" s="2">
        <v>1</v>
      </c>
      <c r="H695" s="2">
        <v>4</v>
      </c>
      <c r="I695" s="2">
        <v>13382723</v>
      </c>
      <c r="J695" s="2" t="s">
        <v>197</v>
      </c>
      <c r="K695" s="2" t="s">
        <v>620</v>
      </c>
      <c r="L695" s="2" t="str">
        <f>"IAS71450629"</f>
        <v>IAS71450629</v>
      </c>
      <c r="M695" s="2" t="s">
        <v>2</v>
      </c>
      <c r="N695" s="18">
        <v>31418</v>
      </c>
      <c r="O695" s="2" t="s">
        <v>621</v>
      </c>
    </row>
    <row r="696" spans="1:15" s="2" customFormat="1" x14ac:dyDescent="0.25">
      <c r="A696" s="2">
        <v>696</v>
      </c>
      <c r="B696" s="2">
        <v>1</v>
      </c>
      <c r="C696" s="2">
        <v>42</v>
      </c>
      <c r="D696" s="2">
        <v>1</v>
      </c>
      <c r="E696" s="2">
        <v>20</v>
      </c>
      <c r="G696" s="2">
        <v>1</v>
      </c>
      <c r="H696" s="2">
        <v>4</v>
      </c>
      <c r="I696" s="2">
        <v>13382724</v>
      </c>
      <c r="J696" s="2" t="s">
        <v>197</v>
      </c>
      <c r="K696" s="2" t="s">
        <v>545</v>
      </c>
      <c r="L696" s="2" t="str">
        <f>"FCGLH0DDR2PJN7"</f>
        <v>FCGLH0DDR2PJN7</v>
      </c>
      <c r="M696" s="2" t="s">
        <v>2</v>
      </c>
      <c r="N696" s="18">
        <v>31419</v>
      </c>
      <c r="O696" s="2" t="s">
        <v>621</v>
      </c>
    </row>
    <row r="697" spans="1:15" s="2" customFormat="1" x14ac:dyDescent="0.25">
      <c r="A697" s="2">
        <v>697</v>
      </c>
      <c r="B697" s="2">
        <v>1</v>
      </c>
      <c r="C697" s="2">
        <v>70</v>
      </c>
      <c r="D697" s="2">
        <v>1</v>
      </c>
      <c r="E697" s="2">
        <v>20</v>
      </c>
      <c r="G697" s="2">
        <v>1</v>
      </c>
      <c r="H697" s="2">
        <v>4</v>
      </c>
      <c r="I697" s="2">
        <v>13382725</v>
      </c>
      <c r="J697" s="2" t="s">
        <v>197</v>
      </c>
      <c r="K697" s="2" t="s">
        <v>620</v>
      </c>
      <c r="L697" s="2" t="str">
        <f>"63445070104037"</f>
        <v>63445070104037</v>
      </c>
      <c r="M697" s="2" t="s">
        <v>2</v>
      </c>
      <c r="N697" s="18">
        <v>31420</v>
      </c>
      <c r="O697" s="2" t="s">
        <v>621</v>
      </c>
    </row>
    <row r="698" spans="1:15" s="2" customFormat="1" x14ac:dyDescent="0.25">
      <c r="A698" s="2">
        <v>698</v>
      </c>
      <c r="B698" s="2">
        <v>1</v>
      </c>
      <c r="C698" s="2">
        <v>70</v>
      </c>
      <c r="D698" s="2">
        <v>1</v>
      </c>
      <c r="E698" s="2">
        <v>20</v>
      </c>
      <c r="G698" s="2">
        <v>1</v>
      </c>
      <c r="H698" s="2">
        <v>4</v>
      </c>
      <c r="I698" s="2">
        <v>13382726</v>
      </c>
      <c r="J698" s="2" t="s">
        <v>197</v>
      </c>
      <c r="K698" s="2" t="s">
        <v>622</v>
      </c>
      <c r="L698" s="2" t="str">
        <f>"63445070104038"</f>
        <v>63445070104038</v>
      </c>
      <c r="M698" s="2" t="s">
        <v>2</v>
      </c>
      <c r="N698" s="18">
        <v>31421</v>
      </c>
      <c r="O698" s="2" t="s">
        <v>621</v>
      </c>
    </row>
    <row r="699" spans="1:15" s="2" customFormat="1" x14ac:dyDescent="0.25">
      <c r="A699" s="2">
        <v>699</v>
      </c>
      <c r="B699" s="2">
        <v>1</v>
      </c>
      <c r="C699" s="2">
        <v>38</v>
      </c>
      <c r="D699" s="2">
        <v>1</v>
      </c>
      <c r="E699" s="2">
        <v>20</v>
      </c>
      <c r="G699" s="2">
        <v>1</v>
      </c>
      <c r="H699" s="2">
        <v>4</v>
      </c>
      <c r="I699" s="2">
        <v>13382727</v>
      </c>
      <c r="J699" s="2" t="s">
        <v>197</v>
      </c>
      <c r="K699" s="2" t="s">
        <v>623</v>
      </c>
      <c r="L699" s="2" t="str">
        <f>"139635705770"</f>
        <v>139635705770</v>
      </c>
      <c r="M699" s="2" t="s">
        <v>2</v>
      </c>
      <c r="N699" s="18">
        <v>31422</v>
      </c>
      <c r="O699" s="2" t="s">
        <v>504</v>
      </c>
    </row>
    <row r="700" spans="1:15" s="2" customFormat="1" x14ac:dyDescent="0.25">
      <c r="A700" s="2">
        <v>700</v>
      </c>
      <c r="B700" s="2">
        <v>1</v>
      </c>
      <c r="C700" s="2">
        <v>34</v>
      </c>
      <c r="D700" s="2">
        <v>1</v>
      </c>
      <c r="E700" s="2">
        <v>11</v>
      </c>
      <c r="G700" s="2">
        <v>1</v>
      </c>
      <c r="H700" s="2">
        <v>4</v>
      </c>
      <c r="I700" s="2">
        <v>6794599</v>
      </c>
      <c r="J700" s="2" t="s">
        <v>249</v>
      </c>
      <c r="K700" s="2" t="s">
        <v>624</v>
      </c>
      <c r="L700" s="2" t="str">
        <f>"500718"</f>
        <v>500718</v>
      </c>
      <c r="M700" s="2" t="s">
        <v>2</v>
      </c>
      <c r="N700" s="18">
        <v>31423</v>
      </c>
      <c r="O700" s="2" t="s">
        <v>625</v>
      </c>
    </row>
    <row r="701" spans="1:15" s="2" customFormat="1" x14ac:dyDescent="0.25">
      <c r="A701" s="2">
        <v>701</v>
      </c>
      <c r="B701" s="2">
        <v>1</v>
      </c>
      <c r="C701" s="2">
        <v>56</v>
      </c>
      <c r="D701" s="2">
        <v>1</v>
      </c>
      <c r="E701" s="2">
        <v>24</v>
      </c>
      <c r="G701" s="2">
        <v>1</v>
      </c>
      <c r="H701" s="2">
        <v>4</v>
      </c>
      <c r="I701" s="2">
        <v>6794575</v>
      </c>
      <c r="J701" s="2" t="s">
        <v>251</v>
      </c>
      <c r="K701" s="2" t="s">
        <v>626</v>
      </c>
      <c r="L701" s="2" t="str">
        <f>"402702B4629D"</f>
        <v>402702B4629D</v>
      </c>
      <c r="M701" s="2" t="s">
        <v>2</v>
      </c>
      <c r="N701" s="18">
        <v>31424</v>
      </c>
      <c r="O701" s="2" t="s">
        <v>627</v>
      </c>
    </row>
    <row r="702" spans="1:15" s="2" customFormat="1" x14ac:dyDescent="0.25">
      <c r="A702" s="2">
        <v>702</v>
      </c>
      <c r="B702" s="2">
        <v>1</v>
      </c>
      <c r="C702" s="2">
        <v>38</v>
      </c>
      <c r="D702" s="2">
        <v>2</v>
      </c>
      <c r="E702" s="2">
        <v>20</v>
      </c>
      <c r="G702" s="2">
        <v>1</v>
      </c>
      <c r="H702" s="2">
        <v>4</v>
      </c>
      <c r="I702" s="2">
        <v>13382635</v>
      </c>
      <c r="J702" s="2" t="s">
        <v>258</v>
      </c>
      <c r="K702" s="2" t="s">
        <v>628</v>
      </c>
      <c r="L702" s="2" t="str">
        <f>"WL1212F08642"</f>
        <v>WL1212F08642</v>
      </c>
      <c r="M702" s="2" t="s">
        <v>2</v>
      </c>
      <c r="N702" s="18">
        <v>31425</v>
      </c>
      <c r="O702" s="2" t="s">
        <v>629</v>
      </c>
    </row>
    <row r="703" spans="1:15" s="2" customFormat="1" x14ac:dyDescent="0.25">
      <c r="A703" s="2">
        <v>703</v>
      </c>
      <c r="B703" s="2">
        <v>1</v>
      </c>
      <c r="C703" s="2">
        <v>38</v>
      </c>
      <c r="D703" s="2">
        <v>2</v>
      </c>
      <c r="E703" s="2">
        <v>20</v>
      </c>
      <c r="G703" s="2">
        <v>1</v>
      </c>
      <c r="H703" s="2">
        <v>4</v>
      </c>
      <c r="I703" s="2">
        <v>13382636</v>
      </c>
      <c r="J703" s="2" t="s">
        <v>258</v>
      </c>
      <c r="K703" s="2" t="s">
        <v>628</v>
      </c>
      <c r="L703" s="2" t="str">
        <f>"WL1212F08660"</f>
        <v>WL1212F08660</v>
      </c>
      <c r="M703" s="2" t="s">
        <v>2</v>
      </c>
      <c r="N703" s="18">
        <v>31426</v>
      </c>
      <c r="O703" s="2" t="s">
        <v>629</v>
      </c>
    </row>
    <row r="704" spans="1:15" s="2" customFormat="1" x14ac:dyDescent="0.25">
      <c r="A704" s="2">
        <v>704</v>
      </c>
      <c r="B704" s="2">
        <v>1</v>
      </c>
      <c r="C704" s="2">
        <v>38</v>
      </c>
      <c r="D704" s="2">
        <v>2</v>
      </c>
      <c r="E704" s="2">
        <v>20</v>
      </c>
      <c r="G704" s="2">
        <v>1</v>
      </c>
      <c r="H704" s="2">
        <v>4</v>
      </c>
      <c r="I704" s="2">
        <v>13382637</v>
      </c>
      <c r="J704" s="2" t="s">
        <v>258</v>
      </c>
      <c r="K704" s="2" t="s">
        <v>628</v>
      </c>
      <c r="L704" s="2" t="str">
        <f>"WL1212F08655"</f>
        <v>WL1212F08655</v>
      </c>
      <c r="M704" s="2" t="s">
        <v>2</v>
      </c>
      <c r="N704" s="18">
        <v>31427</v>
      </c>
      <c r="O704" s="2" t="s">
        <v>629</v>
      </c>
    </row>
    <row r="705" spans="1:15" s="2" customFormat="1" x14ac:dyDescent="0.25">
      <c r="A705" s="2">
        <v>705</v>
      </c>
      <c r="B705" s="2">
        <v>1</v>
      </c>
      <c r="C705" s="2">
        <v>38</v>
      </c>
      <c r="D705" s="2">
        <v>2</v>
      </c>
      <c r="E705" s="2">
        <v>20</v>
      </c>
      <c r="G705" s="2">
        <v>1</v>
      </c>
      <c r="H705" s="2">
        <v>4</v>
      </c>
      <c r="I705" s="2">
        <v>13382638</v>
      </c>
      <c r="J705" s="2" t="s">
        <v>258</v>
      </c>
      <c r="K705" s="2" t="s">
        <v>628</v>
      </c>
      <c r="L705" s="2" t="str">
        <f>"WL1212G10952"</f>
        <v>WL1212G10952</v>
      </c>
      <c r="M705" s="2" t="s">
        <v>2</v>
      </c>
      <c r="N705" s="18">
        <v>31428</v>
      </c>
      <c r="O705" s="2" t="s">
        <v>629</v>
      </c>
    </row>
    <row r="706" spans="1:15" s="2" customFormat="1" x14ac:dyDescent="0.25">
      <c r="A706" s="2">
        <v>706</v>
      </c>
      <c r="B706" s="2">
        <v>1</v>
      </c>
      <c r="C706" s="2">
        <v>55</v>
      </c>
      <c r="D706" s="2">
        <v>1</v>
      </c>
      <c r="E706" s="2">
        <v>22</v>
      </c>
      <c r="G706" s="2">
        <v>1</v>
      </c>
      <c r="H706" s="2">
        <v>4</v>
      </c>
      <c r="I706" s="2">
        <v>6794566</v>
      </c>
      <c r="J706" s="2" t="s">
        <v>254</v>
      </c>
      <c r="K706" s="2">
        <v>1425</v>
      </c>
      <c r="L706" s="2" t="str">
        <f>"X821857 003"</f>
        <v>X821857 003</v>
      </c>
      <c r="M706" s="2" t="s">
        <v>2</v>
      </c>
      <c r="N706" s="18">
        <v>31429</v>
      </c>
      <c r="O706" s="2" t="s">
        <v>630</v>
      </c>
    </row>
    <row r="707" spans="1:15" s="2" customFormat="1" x14ac:dyDescent="0.25">
      <c r="A707" s="2">
        <v>707</v>
      </c>
      <c r="B707" s="2">
        <v>1</v>
      </c>
      <c r="C707" s="2">
        <v>12</v>
      </c>
      <c r="D707" s="2">
        <v>1</v>
      </c>
      <c r="E707" s="2">
        <v>20</v>
      </c>
      <c r="G707" s="2">
        <v>1</v>
      </c>
      <c r="H707" s="2">
        <v>4</v>
      </c>
      <c r="I707" s="2">
        <v>6794567</v>
      </c>
      <c r="J707" s="2" t="s">
        <v>209</v>
      </c>
      <c r="K707" s="2" t="s">
        <v>631</v>
      </c>
      <c r="L707" s="2" t="str">
        <f>"1111090500044"</f>
        <v>1111090500044</v>
      </c>
      <c r="M707" s="2" t="s">
        <v>2</v>
      </c>
      <c r="N707" s="18">
        <v>31430</v>
      </c>
      <c r="O707" s="2" t="s">
        <v>632</v>
      </c>
    </row>
    <row r="708" spans="1:15" s="2" customFormat="1" x14ac:dyDescent="0.25">
      <c r="A708" s="2">
        <v>708</v>
      </c>
      <c r="B708" s="2">
        <v>1</v>
      </c>
      <c r="C708" s="2">
        <v>63</v>
      </c>
      <c r="D708" s="2">
        <v>1</v>
      </c>
      <c r="E708" s="2">
        <v>23</v>
      </c>
      <c r="G708" s="2">
        <v>1</v>
      </c>
      <c r="H708" s="2">
        <v>4</v>
      </c>
      <c r="I708" s="2">
        <v>7602825</v>
      </c>
      <c r="J708" s="2" t="s">
        <v>218</v>
      </c>
      <c r="K708" s="2" t="s">
        <v>633</v>
      </c>
      <c r="L708" s="2" t="str">
        <f>"L811490B4BD2"</f>
        <v>L811490B4BD2</v>
      </c>
      <c r="M708" s="2" t="s">
        <v>2</v>
      </c>
      <c r="N708" s="18">
        <v>31431</v>
      </c>
      <c r="O708" s="2" t="s">
        <v>634</v>
      </c>
    </row>
    <row r="709" spans="1:15" s="2" customFormat="1" x14ac:dyDescent="0.25">
      <c r="A709" s="2">
        <v>709</v>
      </c>
      <c r="B709" s="2">
        <v>1</v>
      </c>
      <c r="C709" s="2">
        <v>77</v>
      </c>
      <c r="D709" s="2">
        <v>1</v>
      </c>
      <c r="E709" s="2">
        <v>20</v>
      </c>
      <c r="G709" s="2">
        <v>1</v>
      </c>
      <c r="H709" s="2">
        <v>4</v>
      </c>
      <c r="I709" s="2">
        <v>7602826</v>
      </c>
      <c r="J709" s="2" t="s">
        <v>205</v>
      </c>
      <c r="K709" s="2" t="s">
        <v>635</v>
      </c>
      <c r="L709" s="2" t="str">
        <f>"5502677"</f>
        <v>5502677</v>
      </c>
      <c r="M709" s="2" t="s">
        <v>2</v>
      </c>
      <c r="N709" s="18">
        <v>31432</v>
      </c>
      <c r="O709" s="2" t="s">
        <v>636</v>
      </c>
    </row>
    <row r="710" spans="1:15" s="2" customFormat="1" x14ac:dyDescent="0.25">
      <c r="A710" s="2">
        <v>710</v>
      </c>
      <c r="B710" s="2">
        <v>1</v>
      </c>
      <c r="C710" s="2">
        <v>63</v>
      </c>
      <c r="D710" s="2">
        <v>1</v>
      </c>
      <c r="E710" s="2">
        <v>22</v>
      </c>
      <c r="G710" s="2">
        <v>1</v>
      </c>
      <c r="H710" s="2">
        <v>4</v>
      </c>
      <c r="I710" s="2">
        <v>7602827</v>
      </c>
      <c r="J710" s="2" t="s">
        <v>259</v>
      </c>
      <c r="K710" s="2" t="s">
        <v>637</v>
      </c>
      <c r="L710" s="2" t="str">
        <f>"14101040208001"</f>
        <v>14101040208001</v>
      </c>
      <c r="M710" s="2" t="s">
        <v>2</v>
      </c>
      <c r="N710" s="18">
        <v>31433</v>
      </c>
      <c r="O710" s="2" t="s">
        <v>638</v>
      </c>
    </row>
    <row r="711" spans="1:15" s="2" customFormat="1" x14ac:dyDescent="0.25">
      <c r="A711" s="2">
        <v>711</v>
      </c>
      <c r="B711" s="2">
        <v>1</v>
      </c>
      <c r="C711" s="2">
        <v>73</v>
      </c>
      <c r="D711" s="2">
        <v>1</v>
      </c>
      <c r="E711" s="2">
        <v>17</v>
      </c>
      <c r="G711" s="2">
        <v>1</v>
      </c>
      <c r="H711" s="2">
        <v>4</v>
      </c>
      <c r="I711" s="2">
        <v>7602764</v>
      </c>
      <c r="J711" s="2" t="s">
        <v>260</v>
      </c>
      <c r="K711" s="2" t="s">
        <v>639</v>
      </c>
      <c r="L711" s="2" t="str">
        <f>"V1385800407"</f>
        <v>V1385800407</v>
      </c>
      <c r="M711" s="2" t="s">
        <v>2</v>
      </c>
      <c r="N711" s="18">
        <v>31434</v>
      </c>
      <c r="O711" s="19">
        <v>4312</v>
      </c>
    </row>
    <row r="712" spans="1:15" s="2" customFormat="1" x14ac:dyDescent="0.25">
      <c r="A712" s="2">
        <v>712</v>
      </c>
      <c r="B712" s="2">
        <v>2</v>
      </c>
      <c r="C712" s="2">
        <v>76</v>
      </c>
      <c r="D712" s="2">
        <v>1</v>
      </c>
      <c r="E712" s="2">
        <v>20</v>
      </c>
      <c r="G712" s="2">
        <v>1</v>
      </c>
      <c r="H712" s="2">
        <v>39</v>
      </c>
      <c r="I712" s="2">
        <v>7606392</v>
      </c>
      <c r="J712" s="2" t="s">
        <v>189</v>
      </c>
      <c r="K712" s="2" t="s">
        <v>381</v>
      </c>
      <c r="L712" s="2" t="str">
        <f>"14101030112027"</f>
        <v>14101030112027</v>
      </c>
      <c r="M712" s="2" t="s">
        <v>2</v>
      </c>
      <c r="N712" s="18">
        <v>31435</v>
      </c>
      <c r="O712" s="2">
        <v>200</v>
      </c>
    </row>
    <row r="713" spans="1:15" s="2" customFormat="1" x14ac:dyDescent="0.25">
      <c r="A713" s="2">
        <v>713</v>
      </c>
      <c r="B713" s="2">
        <v>2</v>
      </c>
      <c r="C713" s="2">
        <v>76</v>
      </c>
      <c r="D713" s="2">
        <v>1</v>
      </c>
      <c r="E713" s="2">
        <v>20</v>
      </c>
      <c r="G713" s="2">
        <v>1</v>
      </c>
      <c r="H713" s="2">
        <v>39</v>
      </c>
      <c r="I713" s="2">
        <v>7606393</v>
      </c>
      <c r="J713" s="2" t="s">
        <v>189</v>
      </c>
      <c r="K713" s="2" t="s">
        <v>381</v>
      </c>
      <c r="L713" s="2" t="str">
        <f>"14101030112028"</f>
        <v>14101030112028</v>
      </c>
      <c r="M713" s="2" t="s">
        <v>2</v>
      </c>
      <c r="N713" s="18">
        <v>31436</v>
      </c>
      <c r="O713" s="2">
        <v>200</v>
      </c>
    </row>
    <row r="714" spans="1:15" s="2" customFormat="1" x14ac:dyDescent="0.25">
      <c r="A714" s="2">
        <v>714</v>
      </c>
      <c r="B714" s="2">
        <v>2</v>
      </c>
      <c r="C714" s="2">
        <v>76</v>
      </c>
      <c r="D714" s="2">
        <v>1</v>
      </c>
      <c r="E714" s="2">
        <v>20</v>
      </c>
      <c r="G714" s="2">
        <v>1</v>
      </c>
      <c r="H714" s="2">
        <v>39</v>
      </c>
      <c r="I714" s="2">
        <v>7606394</v>
      </c>
      <c r="J714" s="2" t="s">
        <v>189</v>
      </c>
      <c r="K714" s="2" t="s">
        <v>381</v>
      </c>
      <c r="L714" s="2" t="str">
        <f>"14101030112029"</f>
        <v>14101030112029</v>
      </c>
      <c r="M714" s="2" t="s">
        <v>2</v>
      </c>
      <c r="N714" s="18">
        <v>31437</v>
      </c>
      <c r="O714" s="2">
        <v>200</v>
      </c>
    </row>
    <row r="715" spans="1:15" s="2" customFormat="1" x14ac:dyDescent="0.25">
      <c r="A715" s="2">
        <v>715</v>
      </c>
      <c r="B715" s="2">
        <v>2</v>
      </c>
      <c r="C715" s="2">
        <v>76</v>
      </c>
      <c r="D715" s="2">
        <v>1</v>
      </c>
      <c r="E715" s="2">
        <v>20</v>
      </c>
      <c r="G715" s="2">
        <v>1</v>
      </c>
      <c r="H715" s="2">
        <v>39</v>
      </c>
      <c r="I715" s="2">
        <v>7606395</v>
      </c>
      <c r="J715" s="2" t="s">
        <v>189</v>
      </c>
      <c r="K715" s="2" t="s">
        <v>381</v>
      </c>
      <c r="L715" s="2" t="str">
        <f>"14101030112030"</f>
        <v>14101030112030</v>
      </c>
      <c r="M715" s="2" t="s">
        <v>2</v>
      </c>
      <c r="N715" s="18">
        <v>31438</v>
      </c>
      <c r="O715" s="2">
        <v>200</v>
      </c>
    </row>
    <row r="716" spans="1:15" s="2" customFormat="1" x14ac:dyDescent="0.25">
      <c r="A716" s="2">
        <v>716</v>
      </c>
      <c r="B716" s="2">
        <v>2</v>
      </c>
      <c r="C716" s="2">
        <v>76</v>
      </c>
      <c r="D716" s="2">
        <v>1</v>
      </c>
      <c r="E716" s="2">
        <v>20</v>
      </c>
      <c r="G716" s="2">
        <v>1</v>
      </c>
      <c r="H716" s="2">
        <v>39</v>
      </c>
      <c r="I716" s="2">
        <v>7606396</v>
      </c>
      <c r="J716" s="2" t="s">
        <v>189</v>
      </c>
      <c r="K716" s="2" t="s">
        <v>381</v>
      </c>
      <c r="L716" s="2" t="str">
        <f>"14101030112031"</f>
        <v>14101030112031</v>
      </c>
      <c r="M716" s="2" t="s">
        <v>2</v>
      </c>
      <c r="N716" s="18">
        <v>31439</v>
      </c>
      <c r="O716" s="2">
        <v>200</v>
      </c>
    </row>
    <row r="717" spans="1:15" s="2" customFormat="1" x14ac:dyDescent="0.25">
      <c r="A717" s="2">
        <v>717</v>
      </c>
      <c r="B717" s="2">
        <v>2</v>
      </c>
      <c r="C717" s="2">
        <v>76</v>
      </c>
      <c r="D717" s="2">
        <v>1</v>
      </c>
      <c r="E717" s="2">
        <v>20</v>
      </c>
      <c r="G717" s="2">
        <v>1</v>
      </c>
      <c r="H717" s="2">
        <v>39</v>
      </c>
      <c r="I717" s="2">
        <v>7606397</v>
      </c>
      <c r="J717" s="2" t="s">
        <v>189</v>
      </c>
      <c r="K717" s="2" t="s">
        <v>381</v>
      </c>
      <c r="L717" s="2" t="str">
        <f>"14101030112032"</f>
        <v>14101030112032</v>
      </c>
      <c r="M717" s="2" t="s">
        <v>2</v>
      </c>
      <c r="N717" s="18">
        <v>31440</v>
      </c>
      <c r="O717" s="2">
        <v>200</v>
      </c>
    </row>
    <row r="718" spans="1:15" s="2" customFormat="1" x14ac:dyDescent="0.25">
      <c r="A718" s="2">
        <v>718</v>
      </c>
      <c r="B718" s="2">
        <v>2</v>
      </c>
      <c r="C718" s="2">
        <v>76</v>
      </c>
      <c r="D718" s="2">
        <v>1</v>
      </c>
      <c r="E718" s="2">
        <v>20</v>
      </c>
      <c r="G718" s="2">
        <v>1</v>
      </c>
      <c r="H718" s="2">
        <v>39</v>
      </c>
      <c r="I718" s="2">
        <v>7606398</v>
      </c>
      <c r="J718" s="2" t="s">
        <v>189</v>
      </c>
      <c r="K718" s="2" t="s">
        <v>381</v>
      </c>
      <c r="L718" s="2" t="str">
        <f>"14101030112033"</f>
        <v>14101030112033</v>
      </c>
      <c r="M718" s="2" t="s">
        <v>2</v>
      </c>
      <c r="N718" s="18">
        <v>31441</v>
      </c>
      <c r="O718" s="2">
        <v>200</v>
      </c>
    </row>
    <row r="719" spans="1:15" s="2" customFormat="1" x14ac:dyDescent="0.25">
      <c r="A719" s="2">
        <v>719</v>
      </c>
      <c r="B719" s="2">
        <v>2</v>
      </c>
      <c r="C719" s="2">
        <v>76</v>
      </c>
      <c r="D719" s="2">
        <v>1</v>
      </c>
      <c r="E719" s="2">
        <v>18</v>
      </c>
      <c r="G719" s="2">
        <v>1</v>
      </c>
      <c r="H719" s="2">
        <v>39</v>
      </c>
      <c r="I719" s="2">
        <v>7606404</v>
      </c>
      <c r="J719" s="2" t="s">
        <v>284</v>
      </c>
      <c r="K719" s="2" t="s">
        <v>350</v>
      </c>
      <c r="L719" s="2" t="str">
        <f>"14101030114001"</f>
        <v>14101030114001</v>
      </c>
      <c r="M719" s="2" t="s">
        <v>2</v>
      </c>
      <c r="N719" s="18">
        <v>31442</v>
      </c>
      <c r="O719" s="2">
        <v>250</v>
      </c>
    </row>
    <row r="720" spans="1:15" s="2" customFormat="1" x14ac:dyDescent="0.25">
      <c r="A720" s="2">
        <v>720</v>
      </c>
      <c r="B720" s="2">
        <v>2</v>
      </c>
      <c r="C720" s="2">
        <v>76</v>
      </c>
      <c r="D720" s="2">
        <v>1</v>
      </c>
      <c r="E720" s="2">
        <v>18</v>
      </c>
      <c r="G720" s="2">
        <v>1</v>
      </c>
      <c r="H720" s="2">
        <v>39</v>
      </c>
      <c r="I720" s="2">
        <v>7606405</v>
      </c>
      <c r="J720" s="2" t="s">
        <v>284</v>
      </c>
      <c r="K720" s="2" t="s">
        <v>350</v>
      </c>
      <c r="L720" s="2" t="str">
        <f>"14101030114002"</f>
        <v>14101030114002</v>
      </c>
      <c r="M720" s="2" t="s">
        <v>2</v>
      </c>
      <c r="N720" s="18">
        <v>31443</v>
      </c>
      <c r="O720" s="2">
        <v>250</v>
      </c>
    </row>
    <row r="721" spans="1:15" s="2" customFormat="1" x14ac:dyDescent="0.25">
      <c r="A721" s="2">
        <v>721</v>
      </c>
      <c r="B721" s="2">
        <v>2</v>
      </c>
      <c r="C721" s="2">
        <v>76</v>
      </c>
      <c r="D721" s="2">
        <v>1</v>
      </c>
      <c r="E721" s="2">
        <v>18</v>
      </c>
      <c r="G721" s="2">
        <v>1</v>
      </c>
      <c r="H721" s="2">
        <v>39</v>
      </c>
      <c r="I721" s="2">
        <v>7606406</v>
      </c>
      <c r="J721" s="2" t="s">
        <v>284</v>
      </c>
      <c r="K721" s="2" t="s">
        <v>350</v>
      </c>
      <c r="L721" s="2" t="str">
        <f>"14101030114003"</f>
        <v>14101030114003</v>
      </c>
      <c r="M721" s="2" t="s">
        <v>2</v>
      </c>
      <c r="N721" s="18">
        <v>31444</v>
      </c>
      <c r="O721" s="2">
        <v>250</v>
      </c>
    </row>
    <row r="722" spans="1:15" s="2" customFormat="1" x14ac:dyDescent="0.25">
      <c r="A722" s="2">
        <v>722</v>
      </c>
      <c r="B722" s="2">
        <v>2</v>
      </c>
      <c r="C722" s="2">
        <v>76</v>
      </c>
      <c r="D722" s="2">
        <v>1</v>
      </c>
      <c r="E722" s="2">
        <v>18</v>
      </c>
      <c r="G722" s="2">
        <v>1</v>
      </c>
      <c r="H722" s="2">
        <v>39</v>
      </c>
      <c r="I722" s="2">
        <v>7606407</v>
      </c>
      <c r="J722" s="2" t="s">
        <v>284</v>
      </c>
      <c r="K722" s="2" t="s">
        <v>350</v>
      </c>
      <c r="L722" s="2" t="str">
        <f>"14101030114004"</f>
        <v>14101030114004</v>
      </c>
      <c r="M722" s="2" t="s">
        <v>2</v>
      </c>
      <c r="N722" s="18">
        <v>31445</v>
      </c>
      <c r="O722" s="2">
        <v>250</v>
      </c>
    </row>
    <row r="723" spans="1:15" s="2" customFormat="1" x14ac:dyDescent="0.25">
      <c r="A723" s="2">
        <v>723</v>
      </c>
      <c r="B723" s="2">
        <v>2</v>
      </c>
      <c r="C723" s="2">
        <v>76</v>
      </c>
      <c r="D723" s="2">
        <v>2</v>
      </c>
      <c r="E723" s="2">
        <v>18</v>
      </c>
      <c r="G723" s="2">
        <v>1</v>
      </c>
      <c r="H723" s="2">
        <v>39</v>
      </c>
      <c r="I723" s="2">
        <v>7606408</v>
      </c>
      <c r="J723" s="2" t="s">
        <v>284</v>
      </c>
      <c r="K723" s="2" t="s">
        <v>350</v>
      </c>
      <c r="L723" s="2" t="str">
        <f>"14101030114005"</f>
        <v>14101030114005</v>
      </c>
      <c r="M723" s="2" t="s">
        <v>2</v>
      </c>
      <c r="N723" s="18">
        <v>31446</v>
      </c>
      <c r="O723" s="2">
        <v>250</v>
      </c>
    </row>
    <row r="724" spans="1:15" s="2" customFormat="1" x14ac:dyDescent="0.25">
      <c r="A724" s="2">
        <v>724</v>
      </c>
      <c r="B724" s="2">
        <v>2</v>
      </c>
      <c r="C724" s="2">
        <v>76</v>
      </c>
      <c r="D724" s="2">
        <v>1</v>
      </c>
      <c r="E724" s="2">
        <v>18</v>
      </c>
      <c r="G724" s="2">
        <v>1</v>
      </c>
      <c r="H724" s="2">
        <v>39</v>
      </c>
      <c r="I724" s="2">
        <v>7606409</v>
      </c>
      <c r="J724" s="2" t="s">
        <v>284</v>
      </c>
      <c r="K724" s="2" t="s">
        <v>350</v>
      </c>
      <c r="L724" s="2" t="str">
        <f>"14101030114006"</f>
        <v>14101030114006</v>
      </c>
      <c r="M724" s="2" t="s">
        <v>2</v>
      </c>
      <c r="N724" s="18">
        <v>31447</v>
      </c>
      <c r="O724" s="2" t="s">
        <v>640</v>
      </c>
    </row>
    <row r="725" spans="1:15" s="2" customFormat="1" x14ac:dyDescent="0.25">
      <c r="A725" s="2">
        <v>725</v>
      </c>
      <c r="B725" s="2">
        <v>1</v>
      </c>
      <c r="C725" s="2">
        <v>33</v>
      </c>
      <c r="D725" s="2">
        <v>1</v>
      </c>
      <c r="E725" s="2">
        <v>20</v>
      </c>
      <c r="G725" s="2">
        <v>1</v>
      </c>
      <c r="H725" s="2">
        <v>4</v>
      </c>
      <c r="I725" s="2">
        <v>13182008</v>
      </c>
      <c r="J725" s="2" t="s">
        <v>181</v>
      </c>
      <c r="K725" s="2" t="s">
        <v>350</v>
      </c>
      <c r="L725" s="2" t="str">
        <f>"63445040401002"</f>
        <v>63445040401002</v>
      </c>
      <c r="M725" s="2" t="s">
        <v>2</v>
      </c>
      <c r="N725" s="18">
        <v>31448</v>
      </c>
      <c r="O725" s="2" t="s">
        <v>641</v>
      </c>
    </row>
    <row r="726" spans="1:15" s="2" customFormat="1" x14ac:dyDescent="0.25">
      <c r="A726" s="2">
        <v>726</v>
      </c>
      <c r="B726" s="2">
        <v>1</v>
      </c>
      <c r="C726" s="2">
        <v>33</v>
      </c>
      <c r="D726" s="2">
        <v>1</v>
      </c>
      <c r="E726" s="2">
        <v>20</v>
      </c>
      <c r="G726" s="2">
        <v>1</v>
      </c>
      <c r="H726" s="2">
        <v>4</v>
      </c>
      <c r="I726" s="2">
        <v>13182009</v>
      </c>
      <c r="J726" s="2" t="s">
        <v>181</v>
      </c>
      <c r="K726" s="2" t="s">
        <v>350</v>
      </c>
      <c r="L726" s="2" t="str">
        <f>"63445040401003"</f>
        <v>63445040401003</v>
      </c>
      <c r="M726" s="2" t="s">
        <v>2</v>
      </c>
      <c r="N726" s="18">
        <v>31449</v>
      </c>
      <c r="O726" s="2" t="s">
        <v>641</v>
      </c>
    </row>
    <row r="727" spans="1:15" s="2" customFormat="1" x14ac:dyDescent="0.25">
      <c r="A727" s="2">
        <v>727</v>
      </c>
      <c r="B727" s="2">
        <v>1</v>
      </c>
      <c r="C727" s="2">
        <v>33</v>
      </c>
      <c r="D727" s="2">
        <v>1</v>
      </c>
      <c r="E727" s="2">
        <v>20</v>
      </c>
      <c r="G727" s="2">
        <v>1</v>
      </c>
      <c r="H727" s="2">
        <v>4</v>
      </c>
      <c r="I727" s="2">
        <v>13182010</v>
      </c>
      <c r="J727" s="2" t="s">
        <v>181</v>
      </c>
      <c r="K727" s="2" t="s">
        <v>350</v>
      </c>
      <c r="L727" s="2" t="str">
        <f>"63445040401004"</f>
        <v>63445040401004</v>
      </c>
      <c r="M727" s="2" t="s">
        <v>2</v>
      </c>
      <c r="N727" s="18">
        <v>31450</v>
      </c>
      <c r="O727" s="2" t="s">
        <v>641</v>
      </c>
    </row>
    <row r="728" spans="1:15" s="2" customFormat="1" x14ac:dyDescent="0.25">
      <c r="A728" s="2">
        <v>728</v>
      </c>
      <c r="B728" s="2">
        <v>1</v>
      </c>
      <c r="C728" s="2">
        <v>22</v>
      </c>
      <c r="D728" s="2">
        <v>1</v>
      </c>
      <c r="E728" s="2">
        <v>24</v>
      </c>
      <c r="G728" s="2">
        <v>1</v>
      </c>
      <c r="H728" s="2">
        <v>4</v>
      </c>
      <c r="I728" s="2">
        <v>7602817</v>
      </c>
      <c r="J728" s="2" t="s">
        <v>219</v>
      </c>
      <c r="K728" s="2" t="s">
        <v>642</v>
      </c>
      <c r="L728" s="2" t="str">
        <f>"14101040501002"</f>
        <v>14101040501002</v>
      </c>
      <c r="M728" s="2" t="s">
        <v>2</v>
      </c>
      <c r="N728" s="18">
        <v>31451</v>
      </c>
      <c r="O728" s="2" t="s">
        <v>643</v>
      </c>
    </row>
    <row r="729" spans="1:15" s="2" customFormat="1" x14ac:dyDescent="0.25">
      <c r="A729" s="2">
        <v>729</v>
      </c>
      <c r="B729" s="2">
        <v>1</v>
      </c>
      <c r="C729" s="2">
        <v>76</v>
      </c>
      <c r="D729" s="2">
        <v>2</v>
      </c>
      <c r="E729" s="2">
        <v>5</v>
      </c>
      <c r="G729" s="2">
        <v>1</v>
      </c>
      <c r="H729" s="2">
        <v>4</v>
      </c>
      <c r="I729" s="2">
        <v>13460205</v>
      </c>
      <c r="J729" s="2" t="s">
        <v>234</v>
      </c>
      <c r="K729" s="2" t="s">
        <v>350</v>
      </c>
      <c r="L729" s="2" t="str">
        <f>"63445060103001"</f>
        <v>63445060103001</v>
      </c>
      <c r="M729" s="2" t="s">
        <v>2</v>
      </c>
      <c r="N729" s="18">
        <v>31452</v>
      </c>
      <c r="O729" s="2">
        <v>84</v>
      </c>
    </row>
    <row r="730" spans="1:15" s="2" customFormat="1" x14ac:dyDescent="0.25">
      <c r="A730" s="2">
        <v>730</v>
      </c>
      <c r="B730" s="2">
        <v>1</v>
      </c>
      <c r="C730" s="2">
        <v>76</v>
      </c>
      <c r="D730" s="2">
        <v>1</v>
      </c>
      <c r="E730" s="2">
        <v>20</v>
      </c>
      <c r="G730" s="2">
        <v>1</v>
      </c>
      <c r="H730" s="2">
        <v>4</v>
      </c>
      <c r="I730" s="2">
        <v>6794447</v>
      </c>
      <c r="J730" s="2" t="s">
        <v>261</v>
      </c>
      <c r="K730" s="2" t="s">
        <v>644</v>
      </c>
      <c r="L730" s="2" t="str">
        <f>"GS201205ZG002256"</f>
        <v>GS201205ZG002256</v>
      </c>
      <c r="M730" s="2" t="s">
        <v>2</v>
      </c>
      <c r="N730" s="18">
        <v>31453</v>
      </c>
      <c r="O730" s="2" t="s">
        <v>645</v>
      </c>
    </row>
    <row r="731" spans="1:15" s="2" customFormat="1" x14ac:dyDescent="0.25">
      <c r="A731" s="2">
        <v>731</v>
      </c>
      <c r="B731" s="2">
        <v>1</v>
      </c>
      <c r="C731" s="2">
        <v>76</v>
      </c>
      <c r="D731" s="2">
        <v>1</v>
      </c>
      <c r="E731" s="2">
        <v>20</v>
      </c>
      <c r="G731" s="2">
        <v>1</v>
      </c>
      <c r="H731" s="2">
        <v>4</v>
      </c>
      <c r="I731" s="2">
        <v>6794448</v>
      </c>
      <c r="J731" s="2" t="s">
        <v>261</v>
      </c>
      <c r="K731" s="2" t="s">
        <v>644</v>
      </c>
      <c r="L731" s="2" t="str">
        <f>"GS201205ZG002240"</f>
        <v>GS201205ZG002240</v>
      </c>
      <c r="M731" s="2" t="s">
        <v>2</v>
      </c>
      <c r="N731" s="18">
        <v>31454</v>
      </c>
      <c r="O731" s="2" t="s">
        <v>645</v>
      </c>
    </row>
    <row r="732" spans="1:15" s="2" customFormat="1" x14ac:dyDescent="0.25">
      <c r="A732" s="2">
        <v>732</v>
      </c>
      <c r="B732" s="2">
        <v>1</v>
      </c>
      <c r="C732" s="2">
        <v>76</v>
      </c>
      <c r="D732" s="2">
        <v>1</v>
      </c>
      <c r="E732" s="2">
        <v>5</v>
      </c>
      <c r="G732" s="2">
        <v>1</v>
      </c>
      <c r="H732" s="2">
        <v>4</v>
      </c>
      <c r="I732" s="2">
        <v>7602771</v>
      </c>
      <c r="J732" s="2" t="s">
        <v>169</v>
      </c>
      <c r="K732" s="2" t="s">
        <v>350</v>
      </c>
      <c r="L732" s="2" t="str">
        <f>"14101040109001"</f>
        <v>14101040109001</v>
      </c>
      <c r="M732" s="2" t="s">
        <v>2</v>
      </c>
      <c r="N732" s="18">
        <v>31455</v>
      </c>
      <c r="O732" s="2">
        <v>112</v>
      </c>
    </row>
    <row r="733" spans="1:15" s="2" customFormat="1" x14ac:dyDescent="0.25">
      <c r="A733" s="2">
        <v>733</v>
      </c>
      <c r="B733" s="2">
        <v>1</v>
      </c>
      <c r="C733" s="2">
        <v>76</v>
      </c>
      <c r="D733" s="2">
        <v>1</v>
      </c>
      <c r="E733" s="2">
        <v>5</v>
      </c>
      <c r="G733" s="2">
        <v>1</v>
      </c>
      <c r="H733" s="2">
        <v>4</v>
      </c>
      <c r="I733" s="2">
        <v>7602772</v>
      </c>
      <c r="J733" s="2" t="s">
        <v>169</v>
      </c>
      <c r="K733" s="2" t="s">
        <v>350</v>
      </c>
      <c r="L733" s="2" t="str">
        <f>"14101040109002"</f>
        <v>14101040109002</v>
      </c>
      <c r="M733" s="2" t="s">
        <v>2</v>
      </c>
      <c r="N733" s="18">
        <v>31456</v>
      </c>
      <c r="O733" s="2">
        <v>112</v>
      </c>
    </row>
    <row r="734" spans="1:15" s="2" customFormat="1" x14ac:dyDescent="0.25">
      <c r="A734" s="2">
        <v>734</v>
      </c>
      <c r="B734" s="2">
        <v>1</v>
      </c>
      <c r="C734" s="2">
        <v>76</v>
      </c>
      <c r="D734" s="2">
        <v>1</v>
      </c>
      <c r="E734" s="2">
        <v>5</v>
      </c>
      <c r="G734" s="2">
        <v>1</v>
      </c>
      <c r="H734" s="2">
        <v>4</v>
      </c>
      <c r="I734" s="2">
        <v>7602773</v>
      </c>
      <c r="J734" s="2" t="s">
        <v>169</v>
      </c>
      <c r="K734" s="2" t="s">
        <v>350</v>
      </c>
      <c r="L734" s="2" t="str">
        <f>"14101040109003"</f>
        <v>14101040109003</v>
      </c>
      <c r="M734" s="2" t="s">
        <v>2</v>
      </c>
      <c r="N734" s="18">
        <v>31457</v>
      </c>
      <c r="O734" s="2">
        <v>112</v>
      </c>
    </row>
    <row r="735" spans="1:15" s="2" customFormat="1" x14ac:dyDescent="0.25">
      <c r="A735" s="2">
        <v>735</v>
      </c>
      <c r="B735" s="2">
        <v>1</v>
      </c>
      <c r="C735" s="2">
        <v>62</v>
      </c>
      <c r="D735" s="2">
        <v>1</v>
      </c>
      <c r="E735" s="2">
        <v>20</v>
      </c>
      <c r="G735" s="2">
        <v>1</v>
      </c>
      <c r="H735" s="2">
        <v>4</v>
      </c>
      <c r="I735" s="2">
        <v>7602802</v>
      </c>
      <c r="J735" s="2" t="s">
        <v>262</v>
      </c>
      <c r="K735" s="2" t="s">
        <v>646</v>
      </c>
      <c r="L735" s="2" t="str">
        <f>"MHMQ 001526EC"</f>
        <v>MHMQ 001526EC</v>
      </c>
      <c r="M735" s="2" t="s">
        <v>2</v>
      </c>
      <c r="N735" s="18">
        <v>31458</v>
      </c>
      <c r="O735" s="2" t="s">
        <v>647</v>
      </c>
    </row>
    <row r="736" spans="1:15" s="2" customFormat="1" x14ac:dyDescent="0.25">
      <c r="A736" s="2">
        <v>736</v>
      </c>
      <c r="B736" s="2">
        <v>1</v>
      </c>
      <c r="C736" s="2">
        <v>62</v>
      </c>
      <c r="D736" s="2">
        <v>1</v>
      </c>
      <c r="E736" s="2">
        <v>20</v>
      </c>
      <c r="G736" s="2">
        <v>1</v>
      </c>
      <c r="H736" s="2">
        <v>4</v>
      </c>
      <c r="I736" s="2">
        <v>7602803</v>
      </c>
      <c r="J736" s="2" t="s">
        <v>262</v>
      </c>
      <c r="K736" s="2" t="s">
        <v>646</v>
      </c>
      <c r="L736" s="2" t="str">
        <f>"MHMQ 001575EC"</f>
        <v>MHMQ 001575EC</v>
      </c>
      <c r="M736" s="2" t="s">
        <v>2</v>
      </c>
      <c r="N736" s="18">
        <v>31459</v>
      </c>
      <c r="O736" s="2" t="s">
        <v>647</v>
      </c>
    </row>
    <row r="737" spans="1:15" s="2" customFormat="1" x14ac:dyDescent="0.25">
      <c r="A737" s="2">
        <v>737</v>
      </c>
      <c r="B737" s="2">
        <v>1</v>
      </c>
      <c r="C737" s="2">
        <v>62</v>
      </c>
      <c r="D737" s="2">
        <v>1</v>
      </c>
      <c r="E737" s="2">
        <v>20</v>
      </c>
      <c r="G737" s="2">
        <v>1</v>
      </c>
      <c r="H737" s="2">
        <v>4</v>
      </c>
      <c r="I737" s="2">
        <v>7602804</v>
      </c>
      <c r="J737" s="2" t="s">
        <v>262</v>
      </c>
      <c r="K737" s="2" t="s">
        <v>648</v>
      </c>
      <c r="L737" s="2" t="str">
        <f>"MEMQ 041695EC"</f>
        <v>MEMQ 041695EC</v>
      </c>
      <c r="M737" s="2" t="s">
        <v>2</v>
      </c>
      <c r="N737" s="18">
        <v>31460</v>
      </c>
      <c r="O737" s="2" t="s">
        <v>647</v>
      </c>
    </row>
    <row r="738" spans="1:15" s="2" customFormat="1" x14ac:dyDescent="0.25">
      <c r="A738" s="2">
        <v>738</v>
      </c>
      <c r="B738" s="2">
        <v>1</v>
      </c>
      <c r="C738" s="2">
        <v>62</v>
      </c>
      <c r="D738" s="2">
        <v>1</v>
      </c>
      <c r="E738" s="2">
        <v>20</v>
      </c>
      <c r="G738" s="2">
        <v>1</v>
      </c>
      <c r="H738" s="2">
        <v>4</v>
      </c>
      <c r="I738" s="2">
        <v>7602805</v>
      </c>
      <c r="J738" s="2" t="s">
        <v>262</v>
      </c>
      <c r="K738" s="2" t="s">
        <v>648</v>
      </c>
      <c r="L738" s="2" t="str">
        <f>"MEMQ 041634EC"</f>
        <v>MEMQ 041634EC</v>
      </c>
      <c r="M738" s="2" t="s">
        <v>2</v>
      </c>
      <c r="N738" s="18">
        <v>31461</v>
      </c>
      <c r="O738" s="2" t="s">
        <v>647</v>
      </c>
    </row>
    <row r="739" spans="1:15" s="2" customFormat="1" x14ac:dyDescent="0.25">
      <c r="A739" s="2">
        <v>739</v>
      </c>
      <c r="B739" s="2">
        <v>1</v>
      </c>
      <c r="C739" s="2">
        <v>62</v>
      </c>
      <c r="D739" s="2">
        <v>1</v>
      </c>
      <c r="E739" s="2">
        <v>20</v>
      </c>
      <c r="G739" s="2">
        <v>1</v>
      </c>
      <c r="H739" s="2">
        <v>4</v>
      </c>
      <c r="I739" s="2">
        <v>7602806</v>
      </c>
      <c r="J739" s="2" t="s">
        <v>262</v>
      </c>
      <c r="K739" s="2" t="s">
        <v>649</v>
      </c>
      <c r="L739" s="2" t="str">
        <f>"MDGE 111879ES"</f>
        <v>MDGE 111879ES</v>
      </c>
      <c r="M739" s="2" t="s">
        <v>2</v>
      </c>
      <c r="N739" s="18">
        <v>31462</v>
      </c>
      <c r="O739" s="2" t="s">
        <v>647</v>
      </c>
    </row>
    <row r="740" spans="1:15" s="2" customFormat="1" x14ac:dyDescent="0.25">
      <c r="A740" s="2">
        <v>740</v>
      </c>
      <c r="B740" s="2">
        <v>1</v>
      </c>
      <c r="C740" s="2">
        <v>62</v>
      </c>
      <c r="D740" s="2">
        <v>1</v>
      </c>
      <c r="E740" s="2">
        <v>20</v>
      </c>
      <c r="G740" s="2">
        <v>1</v>
      </c>
      <c r="H740" s="2">
        <v>4</v>
      </c>
      <c r="I740" s="2">
        <v>7602807</v>
      </c>
      <c r="J740" s="2" t="s">
        <v>262</v>
      </c>
      <c r="K740" s="2" t="s">
        <v>649</v>
      </c>
      <c r="L740" s="2" t="str">
        <f>"MDGE 111875ES"</f>
        <v>MDGE 111875ES</v>
      </c>
      <c r="M740" s="2" t="s">
        <v>2</v>
      </c>
      <c r="N740" s="18">
        <v>31463</v>
      </c>
      <c r="O740" s="2" t="s">
        <v>647</v>
      </c>
    </row>
    <row r="741" spans="1:15" s="2" customFormat="1" x14ac:dyDescent="0.25">
      <c r="A741" s="2">
        <v>741</v>
      </c>
      <c r="B741" s="2">
        <v>1</v>
      </c>
      <c r="C741" s="2">
        <v>62</v>
      </c>
      <c r="D741" s="2">
        <v>1</v>
      </c>
      <c r="E741" s="2">
        <v>20</v>
      </c>
      <c r="G741" s="2">
        <v>1</v>
      </c>
      <c r="H741" s="2">
        <v>4</v>
      </c>
      <c r="I741" s="2">
        <v>7602808</v>
      </c>
      <c r="J741" s="2" t="s">
        <v>262</v>
      </c>
      <c r="K741" s="2" t="s">
        <v>649</v>
      </c>
      <c r="L741" s="2" t="str">
        <f>"MDGE 111876ES"</f>
        <v>MDGE 111876ES</v>
      </c>
      <c r="M741" s="2" t="s">
        <v>2</v>
      </c>
      <c r="N741" s="18">
        <v>31464</v>
      </c>
      <c r="O741" s="2" t="s">
        <v>647</v>
      </c>
    </row>
    <row r="742" spans="1:15" s="2" customFormat="1" x14ac:dyDescent="0.25">
      <c r="A742" s="2">
        <v>742</v>
      </c>
      <c r="B742" s="2">
        <v>2</v>
      </c>
      <c r="C742" s="2">
        <v>72</v>
      </c>
      <c r="D742" s="2">
        <v>1</v>
      </c>
      <c r="E742" s="2">
        <v>20</v>
      </c>
      <c r="G742" s="2">
        <v>1</v>
      </c>
      <c r="H742" s="2">
        <v>39</v>
      </c>
      <c r="I742" s="2">
        <v>7602821</v>
      </c>
      <c r="J742" s="2" t="s">
        <v>263</v>
      </c>
      <c r="K742" s="2" t="s">
        <v>350</v>
      </c>
      <c r="L742" s="2" t="str">
        <f>"020615726313"</f>
        <v>020615726313</v>
      </c>
      <c r="M742" s="2" t="s">
        <v>2</v>
      </c>
      <c r="N742" s="18">
        <v>31465</v>
      </c>
      <c r="O742" s="2" t="s">
        <v>650</v>
      </c>
    </row>
    <row r="743" spans="1:15" s="2" customFormat="1" x14ac:dyDescent="0.25">
      <c r="A743" s="2">
        <v>743</v>
      </c>
      <c r="B743" s="2">
        <v>2</v>
      </c>
      <c r="C743" s="2">
        <v>76</v>
      </c>
      <c r="D743" s="2">
        <v>1</v>
      </c>
      <c r="E743" s="2">
        <v>20</v>
      </c>
      <c r="G743" s="2">
        <v>1</v>
      </c>
      <c r="H743" s="2">
        <v>39</v>
      </c>
      <c r="I743" s="2">
        <v>7606402</v>
      </c>
      <c r="J743" s="2" t="s">
        <v>275</v>
      </c>
      <c r="K743" s="2" t="s">
        <v>404</v>
      </c>
      <c r="L743" s="2" t="str">
        <f>"14101030113004"</f>
        <v>14101030113004</v>
      </c>
      <c r="M743" s="2" t="s">
        <v>2</v>
      </c>
      <c r="N743" s="18">
        <v>31466</v>
      </c>
      <c r="O743" s="2" t="s">
        <v>651</v>
      </c>
    </row>
    <row r="744" spans="1:15" s="2" customFormat="1" x14ac:dyDescent="0.25">
      <c r="A744" s="2">
        <v>744</v>
      </c>
      <c r="B744" s="2">
        <v>2</v>
      </c>
      <c r="C744" s="2">
        <v>76</v>
      </c>
      <c r="D744" s="2">
        <v>1</v>
      </c>
      <c r="E744" s="2">
        <v>20</v>
      </c>
      <c r="G744" s="2">
        <v>1</v>
      </c>
      <c r="H744" s="2">
        <v>39</v>
      </c>
      <c r="I744" s="2">
        <v>7606403</v>
      </c>
      <c r="J744" s="2" t="s">
        <v>246</v>
      </c>
      <c r="K744" s="2" t="s">
        <v>404</v>
      </c>
      <c r="L744" s="2" t="str">
        <f>"14101030113005"</f>
        <v>14101030113005</v>
      </c>
      <c r="M744" s="2" t="s">
        <v>2</v>
      </c>
      <c r="N744" s="18">
        <v>31467</v>
      </c>
      <c r="O744" s="2" t="s">
        <v>651</v>
      </c>
    </row>
    <row r="745" spans="1:15" s="2" customFormat="1" x14ac:dyDescent="0.25">
      <c r="A745" s="2">
        <v>745</v>
      </c>
      <c r="B745" s="2">
        <v>2</v>
      </c>
      <c r="C745" s="2">
        <v>76</v>
      </c>
      <c r="D745" s="2">
        <v>1</v>
      </c>
      <c r="E745" s="2">
        <v>18</v>
      </c>
      <c r="G745" s="2">
        <v>1</v>
      </c>
      <c r="H745" s="2">
        <v>39</v>
      </c>
      <c r="I745" s="2">
        <v>7606410</v>
      </c>
      <c r="J745" s="2" t="s">
        <v>284</v>
      </c>
      <c r="K745" s="2" t="s">
        <v>350</v>
      </c>
      <c r="L745" s="2" t="str">
        <f>"14101030114007"</f>
        <v>14101030114007</v>
      </c>
      <c r="M745" s="2" t="s">
        <v>2</v>
      </c>
      <c r="N745" s="18">
        <v>31468</v>
      </c>
      <c r="O745" s="2">
        <v>250</v>
      </c>
    </row>
    <row r="746" spans="1:15" s="2" customFormat="1" x14ac:dyDescent="0.25">
      <c r="A746" s="2">
        <v>746</v>
      </c>
      <c r="B746" s="2">
        <v>2</v>
      </c>
      <c r="C746" s="2">
        <v>76</v>
      </c>
      <c r="D746" s="2">
        <v>1</v>
      </c>
      <c r="E746" s="2">
        <v>18</v>
      </c>
      <c r="G746" s="2">
        <v>1</v>
      </c>
      <c r="H746" s="2">
        <v>39</v>
      </c>
      <c r="I746" s="2">
        <v>7606411</v>
      </c>
      <c r="J746" s="2" t="s">
        <v>284</v>
      </c>
      <c r="K746" s="2" t="s">
        <v>350</v>
      </c>
      <c r="L746" s="2" t="str">
        <f>"14101030114008"</f>
        <v>14101030114008</v>
      </c>
      <c r="M746" s="2" t="s">
        <v>2</v>
      </c>
      <c r="N746" s="18">
        <v>31469</v>
      </c>
      <c r="O746" s="2" t="s">
        <v>651</v>
      </c>
    </row>
    <row r="747" spans="1:15" s="2" customFormat="1" x14ac:dyDescent="0.25">
      <c r="A747" s="2">
        <v>747</v>
      </c>
      <c r="B747" s="2">
        <v>1</v>
      </c>
      <c r="C747" s="2">
        <v>30</v>
      </c>
      <c r="D747" s="2">
        <v>1</v>
      </c>
      <c r="E747" s="2">
        <v>29</v>
      </c>
      <c r="G747" s="2">
        <v>1</v>
      </c>
      <c r="H747" s="2">
        <v>4</v>
      </c>
      <c r="I747" s="2">
        <v>13460225</v>
      </c>
      <c r="J747" s="2" t="s">
        <v>226</v>
      </c>
      <c r="K747" s="2" t="s">
        <v>350</v>
      </c>
      <c r="L747" s="2" t="str">
        <f>"63445060113001"</f>
        <v>63445060113001</v>
      </c>
      <c r="M747" s="2" t="s">
        <v>2</v>
      </c>
      <c r="N747" s="18">
        <v>31470</v>
      </c>
      <c r="O747" s="2" t="s">
        <v>652</v>
      </c>
    </row>
    <row r="748" spans="1:15" s="2" customFormat="1" x14ac:dyDescent="0.25">
      <c r="A748" s="2">
        <v>748</v>
      </c>
      <c r="B748" s="2">
        <v>1</v>
      </c>
      <c r="C748" s="2">
        <v>30</v>
      </c>
      <c r="D748" s="2">
        <v>1</v>
      </c>
      <c r="E748" s="2">
        <v>29</v>
      </c>
      <c r="G748" s="2">
        <v>1</v>
      </c>
      <c r="H748" s="2">
        <v>4</v>
      </c>
      <c r="I748" s="2">
        <v>13460226</v>
      </c>
      <c r="J748" s="2" t="s">
        <v>226</v>
      </c>
      <c r="K748" s="2" t="s">
        <v>350</v>
      </c>
      <c r="L748" s="2" t="str">
        <f>"63445060113002"</f>
        <v>63445060113002</v>
      </c>
      <c r="M748" s="2" t="s">
        <v>2</v>
      </c>
      <c r="N748" s="18">
        <v>31471</v>
      </c>
      <c r="O748" s="2" t="s">
        <v>652</v>
      </c>
    </row>
    <row r="749" spans="1:15" s="2" customFormat="1" x14ac:dyDescent="0.25">
      <c r="A749" s="2">
        <v>749</v>
      </c>
      <c r="B749" s="2">
        <v>1</v>
      </c>
      <c r="C749" s="2">
        <v>30</v>
      </c>
      <c r="D749" s="2">
        <v>1</v>
      </c>
      <c r="E749" s="2">
        <v>29</v>
      </c>
      <c r="G749" s="2">
        <v>1</v>
      </c>
      <c r="H749" s="2">
        <v>4</v>
      </c>
      <c r="I749" s="2">
        <v>13460227</v>
      </c>
      <c r="J749" s="2" t="s">
        <v>226</v>
      </c>
      <c r="K749" s="2" t="s">
        <v>350</v>
      </c>
      <c r="L749" s="2" t="str">
        <f>"63445060113003"</f>
        <v>63445060113003</v>
      </c>
      <c r="M749" s="2" t="s">
        <v>2</v>
      </c>
      <c r="N749" s="18">
        <v>31472</v>
      </c>
      <c r="O749" s="2" t="s">
        <v>652</v>
      </c>
    </row>
    <row r="750" spans="1:15" s="2" customFormat="1" x14ac:dyDescent="0.25">
      <c r="A750" s="2">
        <v>750</v>
      </c>
      <c r="B750" s="2">
        <v>1</v>
      </c>
      <c r="C750" s="2">
        <v>30</v>
      </c>
      <c r="D750" s="2">
        <v>1</v>
      </c>
      <c r="E750" s="2">
        <v>29</v>
      </c>
      <c r="G750" s="2">
        <v>1</v>
      </c>
      <c r="H750" s="2">
        <v>4</v>
      </c>
      <c r="I750" s="2">
        <v>13460228</v>
      </c>
      <c r="J750" s="2" t="s">
        <v>226</v>
      </c>
      <c r="K750" s="2" t="s">
        <v>350</v>
      </c>
      <c r="L750" s="2" t="str">
        <f>"63445060113004"</f>
        <v>63445060113004</v>
      </c>
      <c r="M750" s="2" t="s">
        <v>2</v>
      </c>
      <c r="N750" s="18">
        <v>31473</v>
      </c>
      <c r="O750" s="2" t="s">
        <v>652</v>
      </c>
    </row>
    <row r="751" spans="1:15" s="2" customFormat="1" x14ac:dyDescent="0.25">
      <c r="A751" s="2">
        <v>751</v>
      </c>
      <c r="B751" s="2">
        <v>1</v>
      </c>
      <c r="C751" s="2">
        <v>30</v>
      </c>
      <c r="D751" s="2">
        <v>1</v>
      </c>
      <c r="E751" s="2">
        <v>29</v>
      </c>
      <c r="G751" s="2">
        <v>1</v>
      </c>
      <c r="H751" s="2">
        <v>4</v>
      </c>
      <c r="I751" s="2">
        <v>13460229</v>
      </c>
      <c r="J751" s="2" t="s">
        <v>226</v>
      </c>
      <c r="K751" s="2" t="s">
        <v>350</v>
      </c>
      <c r="L751" s="2" t="str">
        <f>"63445060113005"</f>
        <v>63445060113005</v>
      </c>
      <c r="M751" s="2" t="s">
        <v>2</v>
      </c>
      <c r="N751" s="18">
        <v>31474</v>
      </c>
      <c r="O751" s="2" t="s">
        <v>652</v>
      </c>
    </row>
    <row r="752" spans="1:15" s="2" customFormat="1" x14ac:dyDescent="0.25">
      <c r="A752" s="2">
        <v>752</v>
      </c>
      <c r="B752" s="2">
        <v>1</v>
      </c>
      <c r="C752" s="2">
        <v>30</v>
      </c>
      <c r="D752" s="2">
        <v>1</v>
      </c>
      <c r="E752" s="2">
        <v>29</v>
      </c>
      <c r="G752" s="2">
        <v>1</v>
      </c>
      <c r="H752" s="2">
        <v>4</v>
      </c>
      <c r="I752" s="2">
        <v>13460230</v>
      </c>
      <c r="J752" s="2" t="s">
        <v>226</v>
      </c>
      <c r="K752" s="2" t="s">
        <v>350</v>
      </c>
      <c r="L752" s="2" t="str">
        <f>"63445060113006"</f>
        <v>63445060113006</v>
      </c>
      <c r="M752" s="2" t="s">
        <v>2</v>
      </c>
      <c r="N752" s="18">
        <v>31475</v>
      </c>
      <c r="O752" s="2" t="s">
        <v>652</v>
      </c>
    </row>
    <row r="753" spans="1:15" s="2" customFormat="1" x14ac:dyDescent="0.25">
      <c r="A753" s="2">
        <v>753</v>
      </c>
      <c r="B753" s="2">
        <v>1</v>
      </c>
      <c r="C753" s="2">
        <v>30</v>
      </c>
      <c r="D753" s="2">
        <v>1</v>
      </c>
      <c r="E753" s="2">
        <v>29</v>
      </c>
      <c r="G753" s="2">
        <v>1</v>
      </c>
      <c r="H753" s="2">
        <v>4</v>
      </c>
      <c r="I753" s="2">
        <v>13460231</v>
      </c>
      <c r="J753" s="2" t="s">
        <v>226</v>
      </c>
      <c r="K753" s="2" t="s">
        <v>350</v>
      </c>
      <c r="L753" s="2" t="str">
        <f>"63445060113007"</f>
        <v>63445060113007</v>
      </c>
      <c r="M753" s="2" t="s">
        <v>2</v>
      </c>
      <c r="N753" s="18">
        <v>31476</v>
      </c>
      <c r="O753" s="2" t="s">
        <v>652</v>
      </c>
    </row>
    <row r="754" spans="1:15" s="2" customFormat="1" x14ac:dyDescent="0.25">
      <c r="A754" s="2">
        <v>754</v>
      </c>
      <c r="B754" s="2">
        <v>1</v>
      </c>
      <c r="C754" s="2">
        <v>30</v>
      </c>
      <c r="D754" s="2">
        <v>2</v>
      </c>
      <c r="E754" s="2">
        <v>2</v>
      </c>
      <c r="G754" s="2">
        <v>1</v>
      </c>
      <c r="H754" s="2">
        <v>4</v>
      </c>
      <c r="I754" s="2">
        <v>13460232</v>
      </c>
      <c r="J754" s="2" t="s">
        <v>226</v>
      </c>
      <c r="K754" s="2" t="s">
        <v>350</v>
      </c>
      <c r="L754" s="2" t="str">
        <f>"63445060113008"</f>
        <v>63445060113008</v>
      </c>
      <c r="M754" s="2" t="s">
        <v>2</v>
      </c>
      <c r="N754" s="18">
        <v>31477</v>
      </c>
      <c r="O754" s="2" t="s">
        <v>652</v>
      </c>
    </row>
    <row r="755" spans="1:15" s="2" customFormat="1" x14ac:dyDescent="0.25">
      <c r="A755" s="2">
        <v>755</v>
      </c>
      <c r="B755" s="2">
        <v>1</v>
      </c>
      <c r="C755" s="2">
        <v>30</v>
      </c>
      <c r="D755" s="2">
        <v>1</v>
      </c>
      <c r="E755" s="2">
        <v>29</v>
      </c>
      <c r="G755" s="2">
        <v>1</v>
      </c>
      <c r="H755" s="2">
        <v>4</v>
      </c>
      <c r="I755" s="2">
        <v>13460233</v>
      </c>
      <c r="J755" s="2" t="s">
        <v>226</v>
      </c>
      <c r="K755" s="2" t="s">
        <v>350</v>
      </c>
      <c r="L755" s="2" t="str">
        <f>"63445060113009"</f>
        <v>63445060113009</v>
      </c>
      <c r="M755" s="2" t="s">
        <v>2</v>
      </c>
      <c r="N755" s="18">
        <v>31478</v>
      </c>
      <c r="O755" s="2" t="s">
        <v>652</v>
      </c>
    </row>
    <row r="756" spans="1:15" s="2" customFormat="1" x14ac:dyDescent="0.25">
      <c r="A756" s="2">
        <v>756</v>
      </c>
      <c r="B756" s="2">
        <v>1</v>
      </c>
      <c r="C756" s="2">
        <v>30</v>
      </c>
      <c r="D756" s="2">
        <v>2</v>
      </c>
      <c r="E756" s="2">
        <v>2</v>
      </c>
      <c r="G756" s="2">
        <v>1</v>
      </c>
      <c r="H756" s="2">
        <v>4</v>
      </c>
      <c r="I756" s="2">
        <v>13460234</v>
      </c>
      <c r="J756" s="2" t="s">
        <v>226</v>
      </c>
      <c r="K756" s="2" t="s">
        <v>350</v>
      </c>
      <c r="L756" s="2" t="str">
        <f>"63445060113010"</f>
        <v>63445060113010</v>
      </c>
      <c r="M756" s="2" t="s">
        <v>2</v>
      </c>
      <c r="N756" s="18">
        <v>31479</v>
      </c>
      <c r="O756" s="2" t="s">
        <v>652</v>
      </c>
    </row>
    <row r="757" spans="1:15" s="2" customFormat="1" x14ac:dyDescent="0.25">
      <c r="A757" s="2">
        <v>757</v>
      </c>
      <c r="B757" s="2">
        <v>1</v>
      </c>
      <c r="C757" s="2">
        <v>30</v>
      </c>
      <c r="D757" s="2">
        <v>2</v>
      </c>
      <c r="E757" s="2">
        <v>2</v>
      </c>
      <c r="G757" s="2">
        <v>1</v>
      </c>
      <c r="H757" s="2">
        <v>4</v>
      </c>
      <c r="I757" s="2">
        <v>13460235</v>
      </c>
      <c r="J757" s="2" t="s">
        <v>226</v>
      </c>
      <c r="K757" s="2" t="s">
        <v>350</v>
      </c>
      <c r="L757" s="2" t="str">
        <f>"63445060113011"</f>
        <v>63445060113011</v>
      </c>
      <c r="M757" s="2" t="s">
        <v>2</v>
      </c>
      <c r="N757" s="18">
        <v>31480</v>
      </c>
      <c r="O757" s="2" t="s">
        <v>652</v>
      </c>
    </row>
    <row r="758" spans="1:15" s="2" customFormat="1" x14ac:dyDescent="0.25">
      <c r="A758" s="2">
        <v>758</v>
      </c>
      <c r="B758" s="2">
        <v>1</v>
      </c>
      <c r="C758" s="2">
        <v>30</v>
      </c>
      <c r="D758" s="2">
        <v>2</v>
      </c>
      <c r="E758" s="2">
        <v>2</v>
      </c>
      <c r="G758" s="2">
        <v>1</v>
      </c>
      <c r="H758" s="2">
        <v>4</v>
      </c>
      <c r="I758" s="2">
        <v>13460236</v>
      </c>
      <c r="J758" s="2" t="s">
        <v>226</v>
      </c>
      <c r="K758" s="2" t="s">
        <v>350</v>
      </c>
      <c r="L758" s="2" t="str">
        <f>"63445060113012"</f>
        <v>63445060113012</v>
      </c>
      <c r="M758" s="2" t="s">
        <v>2</v>
      </c>
      <c r="N758" s="18">
        <v>31481</v>
      </c>
      <c r="O758" s="2" t="s">
        <v>652</v>
      </c>
    </row>
    <row r="759" spans="1:15" s="2" customFormat="1" x14ac:dyDescent="0.25">
      <c r="A759" s="2">
        <v>759</v>
      </c>
      <c r="B759" s="2">
        <v>1</v>
      </c>
      <c r="C759" s="2">
        <v>30</v>
      </c>
      <c r="D759" s="2">
        <v>2</v>
      </c>
      <c r="E759" s="2">
        <v>2</v>
      </c>
      <c r="G759" s="2">
        <v>1</v>
      </c>
      <c r="H759" s="2">
        <v>4</v>
      </c>
      <c r="I759" s="2">
        <v>13460237</v>
      </c>
      <c r="J759" s="2" t="s">
        <v>226</v>
      </c>
      <c r="K759" s="2" t="s">
        <v>350</v>
      </c>
      <c r="L759" s="2" t="str">
        <f>"63445060113013"</f>
        <v>63445060113013</v>
      </c>
      <c r="M759" s="2" t="s">
        <v>2</v>
      </c>
      <c r="N759" s="18">
        <v>31482</v>
      </c>
      <c r="O759" s="2" t="s">
        <v>652</v>
      </c>
    </row>
    <row r="760" spans="1:15" s="2" customFormat="1" x14ac:dyDescent="0.25">
      <c r="A760" s="2">
        <v>760</v>
      </c>
      <c r="B760" s="2">
        <v>1</v>
      </c>
      <c r="C760" s="2">
        <v>30</v>
      </c>
      <c r="D760" s="2">
        <v>2</v>
      </c>
      <c r="E760" s="2">
        <v>2</v>
      </c>
      <c r="G760" s="2">
        <v>1</v>
      </c>
      <c r="H760" s="2">
        <v>4</v>
      </c>
      <c r="I760" s="2">
        <v>13460238</v>
      </c>
      <c r="J760" s="2" t="s">
        <v>226</v>
      </c>
      <c r="K760" s="2" t="s">
        <v>350</v>
      </c>
      <c r="L760" s="2" t="str">
        <f>"63445060113014"</f>
        <v>63445060113014</v>
      </c>
      <c r="M760" s="2" t="s">
        <v>2</v>
      </c>
      <c r="N760" s="18">
        <v>31483</v>
      </c>
      <c r="O760" s="2" t="s">
        <v>652</v>
      </c>
    </row>
    <row r="761" spans="1:15" s="2" customFormat="1" x14ac:dyDescent="0.25">
      <c r="A761" s="2">
        <v>761</v>
      </c>
      <c r="B761" s="2">
        <v>1</v>
      </c>
      <c r="C761" s="2">
        <v>30</v>
      </c>
      <c r="D761" s="2">
        <v>2</v>
      </c>
      <c r="E761" s="2">
        <v>2</v>
      </c>
      <c r="G761" s="2">
        <v>1</v>
      </c>
      <c r="H761" s="2">
        <v>4</v>
      </c>
      <c r="I761" s="2">
        <v>13460239</v>
      </c>
      <c r="J761" s="2" t="s">
        <v>226</v>
      </c>
      <c r="K761" s="2" t="s">
        <v>350</v>
      </c>
      <c r="L761" s="2" t="str">
        <f>"63445060113015"</f>
        <v>63445060113015</v>
      </c>
      <c r="M761" s="2" t="s">
        <v>2</v>
      </c>
      <c r="N761" s="18">
        <v>31484</v>
      </c>
      <c r="O761" s="2" t="s">
        <v>652</v>
      </c>
    </row>
    <row r="762" spans="1:15" s="2" customFormat="1" x14ac:dyDescent="0.25">
      <c r="A762" s="2">
        <v>762</v>
      </c>
      <c r="B762" s="2">
        <v>1</v>
      </c>
      <c r="C762" s="2">
        <v>30</v>
      </c>
      <c r="D762" s="2">
        <v>2</v>
      </c>
      <c r="E762" s="2">
        <v>2</v>
      </c>
      <c r="G762" s="2">
        <v>1</v>
      </c>
      <c r="H762" s="2">
        <v>4</v>
      </c>
      <c r="I762" s="2">
        <v>13460240</v>
      </c>
      <c r="J762" s="2" t="s">
        <v>226</v>
      </c>
      <c r="K762" s="2" t="s">
        <v>350</v>
      </c>
      <c r="L762" s="2" t="str">
        <f>"63445060113016"</f>
        <v>63445060113016</v>
      </c>
      <c r="M762" s="2" t="s">
        <v>2</v>
      </c>
      <c r="N762" s="18">
        <v>31485</v>
      </c>
      <c r="O762" s="2" t="s">
        <v>652</v>
      </c>
    </row>
    <row r="763" spans="1:15" s="2" customFormat="1" x14ac:dyDescent="0.25">
      <c r="A763" s="2">
        <v>763</v>
      </c>
      <c r="B763" s="2">
        <v>1</v>
      </c>
      <c r="C763" s="2">
        <v>30</v>
      </c>
      <c r="D763" s="2">
        <v>2</v>
      </c>
      <c r="E763" s="2">
        <v>2</v>
      </c>
      <c r="G763" s="2">
        <v>1</v>
      </c>
      <c r="H763" s="2">
        <v>4</v>
      </c>
      <c r="I763" s="2">
        <v>13460241</v>
      </c>
      <c r="J763" s="2" t="s">
        <v>226</v>
      </c>
      <c r="K763" s="2" t="s">
        <v>350</v>
      </c>
      <c r="L763" s="2" t="str">
        <f>"63445060113017"</f>
        <v>63445060113017</v>
      </c>
      <c r="M763" s="2" t="s">
        <v>2</v>
      </c>
      <c r="N763" s="18">
        <v>31486</v>
      </c>
      <c r="O763" s="2" t="s">
        <v>652</v>
      </c>
    </row>
    <row r="764" spans="1:15" s="2" customFormat="1" x14ac:dyDescent="0.25">
      <c r="A764" s="2">
        <v>764</v>
      </c>
      <c r="B764" s="2">
        <v>1</v>
      </c>
      <c r="C764" s="2">
        <v>30</v>
      </c>
      <c r="D764" s="2">
        <v>2</v>
      </c>
      <c r="E764" s="2">
        <v>2</v>
      </c>
      <c r="G764" s="2">
        <v>1</v>
      </c>
      <c r="H764" s="2">
        <v>4</v>
      </c>
      <c r="I764" s="2">
        <v>13460242</v>
      </c>
      <c r="J764" s="2" t="s">
        <v>226</v>
      </c>
      <c r="K764" s="2" t="s">
        <v>350</v>
      </c>
      <c r="L764" s="2" t="str">
        <f>"63445060113018"</f>
        <v>63445060113018</v>
      </c>
      <c r="M764" s="2" t="s">
        <v>2</v>
      </c>
      <c r="N764" s="18">
        <v>31487</v>
      </c>
      <c r="O764" s="2" t="s">
        <v>652</v>
      </c>
    </row>
    <row r="765" spans="1:15" s="2" customFormat="1" x14ac:dyDescent="0.25">
      <c r="A765" s="2">
        <v>765</v>
      </c>
      <c r="B765" s="2">
        <v>1</v>
      </c>
      <c r="C765" s="2">
        <v>30</v>
      </c>
      <c r="D765" s="2">
        <v>2</v>
      </c>
      <c r="E765" s="2">
        <v>2</v>
      </c>
      <c r="G765" s="2">
        <v>1</v>
      </c>
      <c r="H765" s="2">
        <v>4</v>
      </c>
      <c r="I765" s="2">
        <v>13460243</v>
      </c>
      <c r="J765" s="2" t="s">
        <v>226</v>
      </c>
      <c r="K765" s="2" t="s">
        <v>350</v>
      </c>
      <c r="L765" s="2" t="str">
        <f>"63445060113019"</f>
        <v>63445060113019</v>
      </c>
      <c r="M765" s="2" t="s">
        <v>2</v>
      </c>
      <c r="N765" s="18">
        <v>31488</v>
      </c>
      <c r="O765" s="2" t="s">
        <v>652</v>
      </c>
    </row>
    <row r="766" spans="1:15" s="2" customFormat="1" x14ac:dyDescent="0.25">
      <c r="A766" s="2">
        <v>766</v>
      </c>
      <c r="B766" s="2">
        <v>1</v>
      </c>
      <c r="C766" s="2">
        <v>30</v>
      </c>
      <c r="D766" s="2">
        <v>2</v>
      </c>
      <c r="E766" s="2">
        <v>2</v>
      </c>
      <c r="G766" s="2">
        <v>1</v>
      </c>
      <c r="H766" s="2">
        <v>4</v>
      </c>
      <c r="I766" s="2">
        <v>13460244</v>
      </c>
      <c r="J766" s="2" t="s">
        <v>226</v>
      </c>
      <c r="K766" s="2" t="s">
        <v>350</v>
      </c>
      <c r="L766" s="2" t="str">
        <f>"63445060113020"</f>
        <v>63445060113020</v>
      </c>
      <c r="M766" s="2" t="s">
        <v>2</v>
      </c>
      <c r="N766" s="18">
        <v>31489</v>
      </c>
      <c r="O766" s="2" t="s">
        <v>652</v>
      </c>
    </row>
    <row r="767" spans="1:15" s="2" customFormat="1" x14ac:dyDescent="0.25">
      <c r="A767" s="2">
        <v>767</v>
      </c>
      <c r="B767" s="2">
        <v>1</v>
      </c>
      <c r="C767" s="2">
        <v>42</v>
      </c>
      <c r="D767" s="2">
        <v>1</v>
      </c>
      <c r="E767" s="2">
        <v>20</v>
      </c>
      <c r="G767" s="2">
        <v>1</v>
      </c>
      <c r="H767" s="2">
        <v>4</v>
      </c>
      <c r="I767" s="2">
        <v>6794407</v>
      </c>
      <c r="J767" s="2" t="s">
        <v>145</v>
      </c>
      <c r="K767" s="2" t="s">
        <v>590</v>
      </c>
      <c r="L767" s="2" t="str">
        <f>"MXL3490W7W"</f>
        <v>MXL3490W7W</v>
      </c>
      <c r="M767" s="2" t="s">
        <v>2</v>
      </c>
      <c r="N767" s="18">
        <v>31490</v>
      </c>
      <c r="O767" s="2" t="s">
        <v>653</v>
      </c>
    </row>
    <row r="768" spans="1:15" s="2" customFormat="1" x14ac:dyDescent="0.25">
      <c r="A768" s="2">
        <v>768</v>
      </c>
      <c r="B768" s="2">
        <v>1</v>
      </c>
      <c r="C768" s="2">
        <v>42</v>
      </c>
      <c r="D768" s="2">
        <v>1</v>
      </c>
      <c r="E768" s="2">
        <v>20</v>
      </c>
      <c r="G768" s="2">
        <v>1</v>
      </c>
      <c r="H768" s="2">
        <v>4</v>
      </c>
      <c r="I768" s="2">
        <v>6794408</v>
      </c>
      <c r="J768" s="2" t="s">
        <v>145</v>
      </c>
      <c r="K768" s="2" t="s">
        <v>590</v>
      </c>
      <c r="L768" s="2" t="str">
        <f>"MXL3490NKD"</f>
        <v>MXL3490NKD</v>
      </c>
      <c r="M768" s="2" t="s">
        <v>2</v>
      </c>
      <c r="N768" s="18">
        <v>31491</v>
      </c>
      <c r="O768" s="2" t="s">
        <v>653</v>
      </c>
    </row>
    <row r="769" spans="1:15" s="2" customFormat="1" x14ac:dyDescent="0.25">
      <c r="A769" s="2">
        <v>769</v>
      </c>
      <c r="B769" s="2">
        <v>1</v>
      </c>
      <c r="C769" s="2">
        <v>42</v>
      </c>
      <c r="D769" s="2">
        <v>1</v>
      </c>
      <c r="E769" s="2">
        <v>20</v>
      </c>
      <c r="G769" s="2">
        <v>1</v>
      </c>
      <c r="H769" s="2">
        <v>4</v>
      </c>
      <c r="I769" s="2">
        <v>6794409</v>
      </c>
      <c r="J769" s="2" t="s">
        <v>145</v>
      </c>
      <c r="K769" s="2" t="s">
        <v>590</v>
      </c>
      <c r="L769" s="2" t="str">
        <f>"MXL3490NKG"</f>
        <v>MXL3490NKG</v>
      </c>
      <c r="M769" s="2" t="s">
        <v>2</v>
      </c>
      <c r="N769" s="18">
        <v>31492</v>
      </c>
      <c r="O769" s="2" t="s">
        <v>653</v>
      </c>
    </row>
    <row r="770" spans="1:15" s="2" customFormat="1" x14ac:dyDescent="0.25">
      <c r="A770" s="2">
        <v>770</v>
      </c>
      <c r="B770" s="2">
        <v>1</v>
      </c>
      <c r="C770" s="2">
        <v>42</v>
      </c>
      <c r="D770" s="2">
        <v>1</v>
      </c>
      <c r="E770" s="2">
        <v>20</v>
      </c>
      <c r="G770" s="2">
        <v>1</v>
      </c>
      <c r="H770" s="2">
        <v>4</v>
      </c>
      <c r="I770" s="2">
        <v>6794410</v>
      </c>
      <c r="J770" s="2" t="s">
        <v>145</v>
      </c>
      <c r="K770" s="2" t="s">
        <v>590</v>
      </c>
      <c r="L770" s="2" t="str">
        <f>"MXL3490LKT"</f>
        <v>MXL3490LKT</v>
      </c>
      <c r="M770" s="2" t="s">
        <v>2</v>
      </c>
      <c r="N770" s="18">
        <v>31493</v>
      </c>
      <c r="O770" s="2" t="s">
        <v>653</v>
      </c>
    </row>
    <row r="771" spans="1:15" s="2" customFormat="1" x14ac:dyDescent="0.25">
      <c r="A771" s="2">
        <v>771</v>
      </c>
      <c r="B771" s="2">
        <v>1</v>
      </c>
      <c r="C771" s="2">
        <v>42</v>
      </c>
      <c r="D771" s="2">
        <v>1</v>
      </c>
      <c r="E771" s="2">
        <v>20</v>
      </c>
      <c r="G771" s="2">
        <v>1</v>
      </c>
      <c r="H771" s="2">
        <v>4</v>
      </c>
      <c r="I771" s="2">
        <v>6794411</v>
      </c>
      <c r="J771" s="2" t="s">
        <v>145</v>
      </c>
      <c r="K771" s="2" t="s">
        <v>590</v>
      </c>
      <c r="L771" s="2" t="str">
        <f>"MXL3472P6L"</f>
        <v>MXL3472P6L</v>
      </c>
      <c r="M771" s="2" t="s">
        <v>2</v>
      </c>
      <c r="N771" s="18">
        <v>31494</v>
      </c>
      <c r="O771" s="2" t="s">
        <v>653</v>
      </c>
    </row>
    <row r="772" spans="1:15" s="2" customFormat="1" x14ac:dyDescent="0.25">
      <c r="A772" s="2">
        <v>772</v>
      </c>
      <c r="B772" s="2">
        <v>1</v>
      </c>
      <c r="C772" s="2">
        <v>42</v>
      </c>
      <c r="D772" s="2">
        <v>1</v>
      </c>
      <c r="E772" s="2">
        <v>20</v>
      </c>
      <c r="G772" s="2">
        <v>1</v>
      </c>
      <c r="H772" s="2">
        <v>4</v>
      </c>
      <c r="I772" s="2">
        <v>6794412</v>
      </c>
      <c r="J772" s="2" t="s">
        <v>145</v>
      </c>
      <c r="K772" s="2" t="s">
        <v>590</v>
      </c>
      <c r="L772" s="2" t="str">
        <f>"MXL3490NKY"</f>
        <v>MXL3490NKY</v>
      </c>
      <c r="M772" s="2" t="s">
        <v>2</v>
      </c>
      <c r="N772" s="18">
        <v>31495</v>
      </c>
      <c r="O772" s="2" t="s">
        <v>653</v>
      </c>
    </row>
    <row r="773" spans="1:15" s="2" customFormat="1" x14ac:dyDescent="0.25">
      <c r="A773" s="2">
        <v>773</v>
      </c>
      <c r="B773" s="2">
        <v>1</v>
      </c>
      <c r="C773" s="2">
        <v>42</v>
      </c>
      <c r="D773" s="2">
        <v>1</v>
      </c>
      <c r="E773" s="2">
        <v>20</v>
      </c>
      <c r="G773" s="2">
        <v>1</v>
      </c>
      <c r="H773" s="2">
        <v>4</v>
      </c>
      <c r="I773" s="2">
        <v>6794413</v>
      </c>
      <c r="J773" s="2" t="s">
        <v>145</v>
      </c>
      <c r="K773" s="2" t="s">
        <v>590</v>
      </c>
      <c r="L773" s="2" t="str">
        <f>"MXL3490NN5"</f>
        <v>MXL3490NN5</v>
      </c>
      <c r="M773" s="2" t="s">
        <v>2</v>
      </c>
      <c r="N773" s="18">
        <v>31496</v>
      </c>
      <c r="O773" s="2" t="s">
        <v>653</v>
      </c>
    </row>
    <row r="774" spans="1:15" s="2" customFormat="1" x14ac:dyDescent="0.25">
      <c r="A774" s="2">
        <v>774</v>
      </c>
      <c r="B774" s="2">
        <v>1</v>
      </c>
      <c r="C774" s="2">
        <v>42</v>
      </c>
      <c r="D774" s="2">
        <v>1</v>
      </c>
      <c r="E774" s="2">
        <v>20</v>
      </c>
      <c r="G774" s="2">
        <v>1</v>
      </c>
      <c r="H774" s="2">
        <v>4</v>
      </c>
      <c r="I774" s="2">
        <v>6794414</v>
      </c>
      <c r="J774" s="2" t="s">
        <v>145</v>
      </c>
      <c r="K774" s="2" t="s">
        <v>590</v>
      </c>
      <c r="L774" s="2" t="str">
        <f>"MXL3472NVM"</f>
        <v>MXL3472NVM</v>
      </c>
      <c r="M774" s="2" t="s">
        <v>2</v>
      </c>
      <c r="N774" s="18">
        <v>31497</v>
      </c>
      <c r="O774" s="2" t="s">
        <v>653</v>
      </c>
    </row>
    <row r="775" spans="1:15" s="2" customFormat="1" x14ac:dyDescent="0.25">
      <c r="A775" s="2">
        <v>775</v>
      </c>
      <c r="B775" s="2">
        <v>1</v>
      </c>
      <c r="C775" s="2">
        <v>42</v>
      </c>
      <c r="D775" s="2">
        <v>1</v>
      </c>
      <c r="E775" s="2">
        <v>20</v>
      </c>
      <c r="G775" s="2">
        <v>1</v>
      </c>
      <c r="H775" s="2">
        <v>4</v>
      </c>
      <c r="I775" s="2">
        <v>6794415</v>
      </c>
      <c r="J775" s="2" t="s">
        <v>145</v>
      </c>
      <c r="K775" s="2" t="s">
        <v>590</v>
      </c>
      <c r="L775" s="2" t="str">
        <f>"MXL3472P5B"</f>
        <v>MXL3472P5B</v>
      </c>
      <c r="M775" s="2" t="s">
        <v>2</v>
      </c>
      <c r="N775" s="18">
        <v>31498</v>
      </c>
      <c r="O775" s="2" t="s">
        <v>654</v>
      </c>
    </row>
    <row r="776" spans="1:15" s="2" customFormat="1" x14ac:dyDescent="0.25">
      <c r="A776" s="2">
        <v>776</v>
      </c>
      <c r="B776" s="2">
        <v>1</v>
      </c>
      <c r="C776" s="2">
        <v>42</v>
      </c>
      <c r="D776" s="2">
        <v>1</v>
      </c>
      <c r="E776" s="2">
        <v>20</v>
      </c>
      <c r="G776" s="2">
        <v>1</v>
      </c>
      <c r="H776" s="2">
        <v>4</v>
      </c>
      <c r="I776" s="2">
        <v>6794416</v>
      </c>
      <c r="J776" s="2" t="s">
        <v>145</v>
      </c>
      <c r="K776" s="2" t="s">
        <v>590</v>
      </c>
      <c r="L776" s="2" t="str">
        <f>"MXL3472CNN"</f>
        <v>MXL3472CNN</v>
      </c>
      <c r="M776" s="2" t="s">
        <v>2</v>
      </c>
      <c r="N776" s="18">
        <v>31499</v>
      </c>
      <c r="O776" s="2" t="s">
        <v>654</v>
      </c>
    </row>
    <row r="777" spans="1:15" s="2" customFormat="1" x14ac:dyDescent="0.25">
      <c r="A777" s="2">
        <v>777</v>
      </c>
      <c r="B777" s="2">
        <v>1</v>
      </c>
      <c r="C777" s="2">
        <v>42</v>
      </c>
      <c r="D777" s="2">
        <v>1</v>
      </c>
      <c r="E777" s="2">
        <v>20</v>
      </c>
      <c r="G777" s="2">
        <v>1</v>
      </c>
      <c r="H777" s="2">
        <v>4</v>
      </c>
      <c r="I777" s="2">
        <v>6794417</v>
      </c>
      <c r="J777" s="2" t="s">
        <v>145</v>
      </c>
      <c r="K777" s="2" t="s">
        <v>590</v>
      </c>
      <c r="L777" s="2" t="str">
        <f>"MXL3490W7R"</f>
        <v>MXL3490W7R</v>
      </c>
      <c r="M777" s="2" t="s">
        <v>2</v>
      </c>
      <c r="N777" s="18">
        <v>31500</v>
      </c>
      <c r="O777" s="2" t="s">
        <v>654</v>
      </c>
    </row>
    <row r="778" spans="1:15" s="2" customFormat="1" x14ac:dyDescent="0.25">
      <c r="A778" s="2">
        <v>778</v>
      </c>
      <c r="B778" s="2">
        <v>1</v>
      </c>
      <c r="C778" s="2">
        <v>42</v>
      </c>
      <c r="D778" s="2">
        <v>1</v>
      </c>
      <c r="E778" s="2">
        <v>20</v>
      </c>
      <c r="G778" s="2">
        <v>1</v>
      </c>
      <c r="H778" s="2">
        <v>4</v>
      </c>
      <c r="I778" s="2">
        <v>6794418</v>
      </c>
      <c r="J778" s="2" t="s">
        <v>145</v>
      </c>
      <c r="K778" s="2" t="s">
        <v>590</v>
      </c>
      <c r="L778" s="2" t="str">
        <f>"MXL3472NZ1"</f>
        <v>MXL3472NZ1</v>
      </c>
      <c r="M778" s="2" t="s">
        <v>2</v>
      </c>
      <c r="N778" s="18">
        <v>31501</v>
      </c>
      <c r="O778" s="2" t="s">
        <v>654</v>
      </c>
    </row>
    <row r="779" spans="1:15" s="2" customFormat="1" x14ac:dyDescent="0.25">
      <c r="A779" s="2">
        <v>779</v>
      </c>
      <c r="B779" s="2">
        <v>1</v>
      </c>
      <c r="C779" s="2">
        <v>42</v>
      </c>
      <c r="D779" s="2">
        <v>1</v>
      </c>
      <c r="E779" s="2">
        <v>20</v>
      </c>
      <c r="G779" s="2">
        <v>1</v>
      </c>
      <c r="H779" s="2">
        <v>4</v>
      </c>
      <c r="I779" s="2">
        <v>6794419</v>
      </c>
      <c r="J779" s="2" t="s">
        <v>145</v>
      </c>
      <c r="K779" s="2" t="s">
        <v>590</v>
      </c>
      <c r="L779" s="2" t="str">
        <f>"MXL3472CNQ"</f>
        <v>MXL3472CNQ</v>
      </c>
      <c r="M779" s="2" t="s">
        <v>2</v>
      </c>
      <c r="N779" s="18">
        <v>31502</v>
      </c>
      <c r="O779" s="2" t="s">
        <v>654</v>
      </c>
    </row>
    <row r="780" spans="1:15" s="2" customFormat="1" x14ac:dyDescent="0.25">
      <c r="A780" s="2">
        <v>780</v>
      </c>
      <c r="B780" s="2">
        <v>1</v>
      </c>
      <c r="C780" s="2">
        <v>42</v>
      </c>
      <c r="D780" s="2">
        <v>1</v>
      </c>
      <c r="E780" s="2">
        <v>20</v>
      </c>
      <c r="G780" s="2">
        <v>1</v>
      </c>
      <c r="H780" s="2">
        <v>4</v>
      </c>
      <c r="I780" s="2">
        <v>6794420</v>
      </c>
      <c r="J780" s="2" t="s">
        <v>145</v>
      </c>
      <c r="K780" s="2" t="s">
        <v>590</v>
      </c>
      <c r="L780" s="2" t="str">
        <f>"MXL3490LJW"</f>
        <v>MXL3490LJW</v>
      </c>
      <c r="M780" s="2" t="s">
        <v>2</v>
      </c>
      <c r="N780" s="18">
        <v>31503</v>
      </c>
      <c r="O780" s="2" t="s">
        <v>654</v>
      </c>
    </row>
    <row r="781" spans="1:15" s="2" customFormat="1" x14ac:dyDescent="0.25">
      <c r="A781" s="2">
        <v>781</v>
      </c>
      <c r="B781" s="2">
        <v>1</v>
      </c>
      <c r="C781" s="2">
        <v>42</v>
      </c>
      <c r="D781" s="2">
        <v>1</v>
      </c>
      <c r="E781" s="2">
        <v>20</v>
      </c>
      <c r="G781" s="2">
        <v>1</v>
      </c>
      <c r="H781" s="2">
        <v>4</v>
      </c>
      <c r="I781" s="2">
        <v>6794421</v>
      </c>
      <c r="J781" s="2" t="s">
        <v>145</v>
      </c>
      <c r="K781" s="2" t="s">
        <v>590</v>
      </c>
      <c r="L781" s="2" t="str">
        <f>"MXL3472MKD"</f>
        <v>MXL3472MKD</v>
      </c>
      <c r="M781" s="2" t="s">
        <v>2</v>
      </c>
      <c r="N781" s="18">
        <v>31504</v>
      </c>
      <c r="O781" s="2" t="s">
        <v>654</v>
      </c>
    </row>
    <row r="782" spans="1:15" s="2" customFormat="1" x14ac:dyDescent="0.25">
      <c r="A782" s="2">
        <v>782</v>
      </c>
      <c r="B782" s="2">
        <v>1</v>
      </c>
      <c r="C782" s="2">
        <v>42</v>
      </c>
      <c r="D782" s="2">
        <v>1</v>
      </c>
      <c r="E782" s="2">
        <v>20</v>
      </c>
      <c r="G782" s="2">
        <v>1</v>
      </c>
      <c r="H782" s="2">
        <v>4</v>
      </c>
      <c r="I782" s="2">
        <v>6794439</v>
      </c>
      <c r="J782" s="2" t="s">
        <v>196</v>
      </c>
      <c r="K782" s="2" t="s">
        <v>655</v>
      </c>
      <c r="L782" s="2" t="str">
        <f>"CND3510HXB"</f>
        <v>CND3510HXB</v>
      </c>
      <c r="M782" s="2" t="s">
        <v>2</v>
      </c>
      <c r="N782" s="18">
        <v>31505</v>
      </c>
      <c r="O782" s="2" t="s">
        <v>656</v>
      </c>
    </row>
    <row r="783" spans="1:15" s="2" customFormat="1" x14ac:dyDescent="0.25">
      <c r="A783" s="2">
        <v>783</v>
      </c>
      <c r="B783" s="2">
        <v>1</v>
      </c>
      <c r="C783" s="2">
        <v>42</v>
      </c>
      <c r="D783" s="2">
        <v>1</v>
      </c>
      <c r="E783" s="2">
        <v>20</v>
      </c>
      <c r="G783" s="2">
        <v>1</v>
      </c>
      <c r="H783" s="2">
        <v>4</v>
      </c>
      <c r="I783" s="2">
        <v>6794440</v>
      </c>
      <c r="J783" s="2" t="s">
        <v>196</v>
      </c>
      <c r="K783" s="2" t="s">
        <v>655</v>
      </c>
      <c r="L783" s="2" t="str">
        <f>"CND3500CM0"</f>
        <v>CND3500CM0</v>
      </c>
      <c r="M783" s="2" t="s">
        <v>2</v>
      </c>
      <c r="N783" s="18">
        <v>31506</v>
      </c>
      <c r="O783" s="2" t="s">
        <v>656</v>
      </c>
    </row>
    <row r="784" spans="1:15" s="2" customFormat="1" x14ac:dyDescent="0.25">
      <c r="A784" s="2">
        <v>784</v>
      </c>
      <c r="B784" s="2">
        <v>1</v>
      </c>
      <c r="C784" s="2">
        <v>42</v>
      </c>
      <c r="D784" s="2">
        <v>1</v>
      </c>
      <c r="E784" s="2">
        <v>20</v>
      </c>
      <c r="G784" s="2">
        <v>1</v>
      </c>
      <c r="H784" s="2">
        <v>4</v>
      </c>
      <c r="I784" s="2">
        <v>6794441</v>
      </c>
      <c r="J784" s="2" t="s">
        <v>196</v>
      </c>
      <c r="K784" s="2" t="s">
        <v>655</v>
      </c>
      <c r="L784" s="2" t="str">
        <f>"CND3510HPT"</f>
        <v>CND3510HPT</v>
      </c>
      <c r="M784" s="2" t="s">
        <v>2</v>
      </c>
      <c r="N784" s="18">
        <v>31507</v>
      </c>
      <c r="O784" s="2" t="s">
        <v>656</v>
      </c>
    </row>
    <row r="785" spans="1:15" s="2" customFormat="1" x14ac:dyDescent="0.25">
      <c r="A785" s="2">
        <v>785</v>
      </c>
      <c r="B785" s="2">
        <v>1</v>
      </c>
      <c r="C785" s="2">
        <v>42</v>
      </c>
      <c r="D785" s="2">
        <v>1</v>
      </c>
      <c r="E785" s="2">
        <v>20</v>
      </c>
      <c r="G785" s="2">
        <v>1</v>
      </c>
      <c r="H785" s="2">
        <v>4</v>
      </c>
      <c r="I785" s="2">
        <v>6794442</v>
      </c>
      <c r="J785" s="2" t="s">
        <v>196</v>
      </c>
      <c r="K785" s="2" t="s">
        <v>655</v>
      </c>
      <c r="L785" s="2" t="str">
        <f>"CND3500CGT"</f>
        <v>CND3500CGT</v>
      </c>
      <c r="M785" s="2" t="s">
        <v>2</v>
      </c>
      <c r="N785" s="18">
        <v>31508</v>
      </c>
      <c r="O785" s="2" t="s">
        <v>656</v>
      </c>
    </row>
    <row r="786" spans="1:15" s="2" customFormat="1" x14ac:dyDescent="0.25">
      <c r="A786" s="2">
        <v>786</v>
      </c>
      <c r="B786" s="2">
        <v>1</v>
      </c>
      <c r="C786" s="2">
        <v>42</v>
      </c>
      <c r="D786" s="2">
        <v>1</v>
      </c>
      <c r="E786" s="2">
        <v>20</v>
      </c>
      <c r="G786" s="2">
        <v>1</v>
      </c>
      <c r="H786" s="2">
        <v>4</v>
      </c>
      <c r="I786" s="2">
        <v>6794443</v>
      </c>
      <c r="J786" s="2" t="s">
        <v>196</v>
      </c>
      <c r="K786" s="2" t="s">
        <v>655</v>
      </c>
      <c r="L786" s="2" t="str">
        <f>"CND3510HR5"</f>
        <v>CND3510HR5</v>
      </c>
      <c r="M786" s="2" t="s">
        <v>2</v>
      </c>
      <c r="N786" s="18">
        <v>31509</v>
      </c>
      <c r="O786" s="2" t="s">
        <v>656</v>
      </c>
    </row>
    <row r="787" spans="1:15" s="2" customFormat="1" x14ac:dyDescent="0.25">
      <c r="A787" s="2">
        <v>787</v>
      </c>
      <c r="B787" s="2">
        <v>1</v>
      </c>
      <c r="C787" s="2">
        <v>42</v>
      </c>
      <c r="D787" s="2">
        <v>1</v>
      </c>
      <c r="E787" s="2">
        <v>20</v>
      </c>
      <c r="G787" s="2">
        <v>1</v>
      </c>
      <c r="H787" s="2">
        <v>4</v>
      </c>
      <c r="I787" s="2">
        <v>6794532</v>
      </c>
      <c r="J787" s="2" t="s">
        <v>195</v>
      </c>
      <c r="K787" s="2" t="s">
        <v>558</v>
      </c>
      <c r="L787" s="2" t="str">
        <f>"6CM3331QNJ"</f>
        <v>6CM3331QNJ</v>
      </c>
      <c r="M787" s="2" t="s">
        <v>2</v>
      </c>
      <c r="N787" s="18">
        <v>31510</v>
      </c>
      <c r="O787" s="2" t="s">
        <v>657</v>
      </c>
    </row>
    <row r="788" spans="1:15" s="2" customFormat="1" x14ac:dyDescent="0.25">
      <c r="A788" s="2">
        <v>788</v>
      </c>
      <c r="B788" s="2">
        <v>1</v>
      </c>
      <c r="C788" s="2">
        <v>42</v>
      </c>
      <c r="D788" s="2">
        <v>1</v>
      </c>
      <c r="E788" s="2">
        <v>20</v>
      </c>
      <c r="G788" s="2">
        <v>1</v>
      </c>
      <c r="H788" s="2">
        <v>4</v>
      </c>
      <c r="I788" s="2">
        <v>6794533</v>
      </c>
      <c r="J788" s="2" t="s">
        <v>195</v>
      </c>
      <c r="K788" s="2" t="s">
        <v>558</v>
      </c>
      <c r="L788" s="2" t="str">
        <f>"6CM3331R77"</f>
        <v>6CM3331R77</v>
      </c>
      <c r="M788" s="2" t="s">
        <v>2</v>
      </c>
      <c r="N788" s="18">
        <v>31511</v>
      </c>
      <c r="O788" s="2" t="s">
        <v>657</v>
      </c>
    </row>
    <row r="789" spans="1:15" s="2" customFormat="1" x14ac:dyDescent="0.25">
      <c r="A789" s="2">
        <v>789</v>
      </c>
      <c r="B789" s="2">
        <v>1</v>
      </c>
      <c r="C789" s="2">
        <v>42</v>
      </c>
      <c r="D789" s="2">
        <v>1</v>
      </c>
      <c r="E789" s="2">
        <v>20</v>
      </c>
      <c r="G789" s="2">
        <v>1</v>
      </c>
      <c r="H789" s="2">
        <v>4</v>
      </c>
      <c r="I789" s="2">
        <v>6794534</v>
      </c>
      <c r="J789" s="2" t="s">
        <v>195</v>
      </c>
      <c r="K789" s="2" t="s">
        <v>558</v>
      </c>
      <c r="L789" s="2" t="str">
        <f>"6CM3331R6L"</f>
        <v>6CM3331R6L</v>
      </c>
      <c r="M789" s="2" t="s">
        <v>2</v>
      </c>
      <c r="N789" s="18">
        <v>31512</v>
      </c>
      <c r="O789" s="2" t="s">
        <v>657</v>
      </c>
    </row>
    <row r="790" spans="1:15" s="2" customFormat="1" x14ac:dyDescent="0.25">
      <c r="A790" s="2">
        <v>790</v>
      </c>
      <c r="B790" s="2">
        <v>1</v>
      </c>
      <c r="C790" s="2">
        <v>42</v>
      </c>
      <c r="D790" s="2">
        <v>1</v>
      </c>
      <c r="E790" s="2">
        <v>20</v>
      </c>
      <c r="G790" s="2">
        <v>1</v>
      </c>
      <c r="H790" s="2">
        <v>4</v>
      </c>
      <c r="I790" s="2">
        <v>6794535</v>
      </c>
      <c r="J790" s="2" t="s">
        <v>195</v>
      </c>
      <c r="K790" s="2" t="s">
        <v>558</v>
      </c>
      <c r="L790" s="2" t="str">
        <f>"6CM3331R6Y"</f>
        <v>6CM3331R6Y</v>
      </c>
      <c r="M790" s="2" t="s">
        <v>2</v>
      </c>
      <c r="N790" s="18">
        <v>31513</v>
      </c>
      <c r="O790" s="2" t="s">
        <v>657</v>
      </c>
    </row>
    <row r="791" spans="1:15" s="2" customFormat="1" x14ac:dyDescent="0.25">
      <c r="A791" s="2">
        <v>791</v>
      </c>
      <c r="B791" s="2">
        <v>1</v>
      </c>
      <c r="C791" s="2">
        <v>42</v>
      </c>
      <c r="D791" s="2">
        <v>1</v>
      </c>
      <c r="E791" s="2">
        <v>20</v>
      </c>
      <c r="G791" s="2">
        <v>1</v>
      </c>
      <c r="H791" s="2">
        <v>4</v>
      </c>
      <c r="I791" s="2">
        <v>6794536</v>
      </c>
      <c r="J791" s="2" t="s">
        <v>195</v>
      </c>
      <c r="K791" s="2" t="s">
        <v>558</v>
      </c>
      <c r="L791" s="2" t="str">
        <f>"6CM3331R70"</f>
        <v>6CM3331R70</v>
      </c>
      <c r="M791" s="2" t="s">
        <v>2</v>
      </c>
      <c r="N791" s="18">
        <v>31514</v>
      </c>
      <c r="O791" s="2" t="s">
        <v>657</v>
      </c>
    </row>
    <row r="792" spans="1:15" s="2" customFormat="1" x14ac:dyDescent="0.25">
      <c r="A792" s="2">
        <v>792</v>
      </c>
      <c r="B792" s="2">
        <v>1</v>
      </c>
      <c r="C792" s="2">
        <v>42</v>
      </c>
      <c r="D792" s="2">
        <v>1</v>
      </c>
      <c r="E792" s="2">
        <v>20</v>
      </c>
      <c r="G792" s="2">
        <v>1</v>
      </c>
      <c r="H792" s="2">
        <v>4</v>
      </c>
      <c r="I792" s="2">
        <v>6794537</v>
      </c>
      <c r="J792" s="2" t="s">
        <v>195</v>
      </c>
      <c r="K792" s="2" t="s">
        <v>558</v>
      </c>
      <c r="L792" s="2" t="str">
        <f>"6CM3331R67"</f>
        <v>6CM3331R67</v>
      </c>
      <c r="M792" s="2" t="s">
        <v>2</v>
      </c>
      <c r="N792" s="18">
        <v>31515</v>
      </c>
      <c r="O792" s="2" t="s">
        <v>657</v>
      </c>
    </row>
    <row r="793" spans="1:15" s="2" customFormat="1" x14ac:dyDescent="0.25">
      <c r="A793" s="2">
        <v>793</v>
      </c>
      <c r="B793" s="2">
        <v>1</v>
      </c>
      <c r="C793" s="2">
        <v>42</v>
      </c>
      <c r="D793" s="2">
        <v>1</v>
      </c>
      <c r="E793" s="2">
        <v>20</v>
      </c>
      <c r="G793" s="2">
        <v>1</v>
      </c>
      <c r="H793" s="2">
        <v>4</v>
      </c>
      <c r="I793" s="2">
        <v>6794538</v>
      </c>
      <c r="J793" s="2" t="s">
        <v>195</v>
      </c>
      <c r="K793" s="2" t="s">
        <v>558</v>
      </c>
      <c r="L793" s="2" t="str">
        <f>"6CM3331R6Z"</f>
        <v>6CM3331R6Z</v>
      </c>
      <c r="M793" s="2" t="s">
        <v>2</v>
      </c>
      <c r="N793" s="18">
        <v>31516</v>
      </c>
      <c r="O793" s="2" t="s">
        <v>657</v>
      </c>
    </row>
    <row r="794" spans="1:15" s="2" customFormat="1" x14ac:dyDescent="0.25">
      <c r="A794" s="2">
        <v>794</v>
      </c>
      <c r="B794" s="2">
        <v>1</v>
      </c>
      <c r="C794" s="2">
        <v>42</v>
      </c>
      <c r="D794" s="2">
        <v>1</v>
      </c>
      <c r="E794" s="2">
        <v>20</v>
      </c>
      <c r="G794" s="2">
        <v>1</v>
      </c>
      <c r="H794" s="2">
        <v>4</v>
      </c>
      <c r="I794" s="2">
        <v>6794539</v>
      </c>
      <c r="J794" s="2" t="s">
        <v>195</v>
      </c>
      <c r="K794" s="2" t="s">
        <v>558</v>
      </c>
      <c r="L794" s="2" t="str">
        <f>"6CM3331QNR"</f>
        <v>6CM3331QNR</v>
      </c>
      <c r="M794" s="2" t="s">
        <v>2</v>
      </c>
      <c r="N794" s="18">
        <v>31517</v>
      </c>
      <c r="O794" s="2" t="s">
        <v>657</v>
      </c>
    </row>
    <row r="795" spans="1:15" s="2" customFormat="1" x14ac:dyDescent="0.25">
      <c r="A795" s="2">
        <v>795</v>
      </c>
      <c r="B795" s="2">
        <v>1</v>
      </c>
      <c r="C795" s="2">
        <v>42</v>
      </c>
      <c r="D795" s="2">
        <v>1</v>
      </c>
      <c r="E795" s="2">
        <v>20</v>
      </c>
      <c r="G795" s="2">
        <v>1</v>
      </c>
      <c r="H795" s="2">
        <v>4</v>
      </c>
      <c r="I795" s="2">
        <v>6794540</v>
      </c>
      <c r="J795" s="2" t="s">
        <v>195</v>
      </c>
      <c r="K795" s="2" t="s">
        <v>558</v>
      </c>
      <c r="L795" s="2" t="str">
        <f>"6CM3331QNH"</f>
        <v>6CM3331QNH</v>
      </c>
      <c r="M795" s="2" t="s">
        <v>2</v>
      </c>
      <c r="N795" s="18">
        <v>31518</v>
      </c>
      <c r="O795" s="2" t="s">
        <v>657</v>
      </c>
    </row>
    <row r="796" spans="1:15" s="2" customFormat="1" x14ac:dyDescent="0.25">
      <c r="A796" s="2">
        <v>796</v>
      </c>
      <c r="B796" s="2">
        <v>1</v>
      </c>
      <c r="C796" s="2">
        <v>42</v>
      </c>
      <c r="D796" s="2">
        <v>1</v>
      </c>
      <c r="E796" s="2">
        <v>20</v>
      </c>
      <c r="G796" s="2">
        <v>1</v>
      </c>
      <c r="H796" s="2">
        <v>4</v>
      </c>
      <c r="I796" s="2">
        <v>6794541</v>
      </c>
      <c r="J796" s="2" t="s">
        <v>195</v>
      </c>
      <c r="K796" s="2" t="s">
        <v>558</v>
      </c>
      <c r="L796" s="2" t="str">
        <f>"6CM3331QNZ"</f>
        <v>6CM3331QNZ</v>
      </c>
      <c r="M796" s="2" t="s">
        <v>2</v>
      </c>
      <c r="N796" s="18">
        <v>31519</v>
      </c>
      <c r="O796" s="2" t="s">
        <v>657</v>
      </c>
    </row>
    <row r="797" spans="1:15" s="2" customFormat="1" x14ac:dyDescent="0.25">
      <c r="A797" s="2">
        <v>797</v>
      </c>
      <c r="B797" s="2">
        <v>1</v>
      </c>
      <c r="C797" s="2">
        <v>42</v>
      </c>
      <c r="D797" s="2">
        <v>1</v>
      </c>
      <c r="E797" s="2">
        <v>20</v>
      </c>
      <c r="G797" s="2">
        <v>1</v>
      </c>
      <c r="H797" s="2">
        <v>4</v>
      </c>
      <c r="I797" s="2">
        <v>6794542</v>
      </c>
      <c r="J797" s="2" t="s">
        <v>195</v>
      </c>
      <c r="K797" s="2" t="s">
        <v>558</v>
      </c>
      <c r="L797" s="2" t="str">
        <f>"6CM3331R71"</f>
        <v>6CM3331R71</v>
      </c>
      <c r="M797" s="2" t="s">
        <v>2</v>
      </c>
      <c r="N797" s="18">
        <v>31520</v>
      </c>
      <c r="O797" s="2" t="s">
        <v>657</v>
      </c>
    </row>
    <row r="798" spans="1:15" s="2" customFormat="1" x14ac:dyDescent="0.25">
      <c r="A798" s="2">
        <v>798</v>
      </c>
      <c r="B798" s="2">
        <v>1</v>
      </c>
      <c r="C798" s="2">
        <v>42</v>
      </c>
      <c r="D798" s="2">
        <v>1</v>
      </c>
      <c r="E798" s="2">
        <v>20</v>
      </c>
      <c r="G798" s="2">
        <v>1</v>
      </c>
      <c r="H798" s="2">
        <v>4</v>
      </c>
      <c r="I798" s="2">
        <v>6794543</v>
      </c>
      <c r="J798" s="2" t="s">
        <v>195</v>
      </c>
      <c r="K798" s="2" t="s">
        <v>558</v>
      </c>
      <c r="L798" s="2" t="str">
        <f>"6CM3331R78"</f>
        <v>6CM3331R78</v>
      </c>
      <c r="M798" s="2" t="s">
        <v>2</v>
      </c>
      <c r="N798" s="18">
        <v>31521</v>
      </c>
      <c r="O798" s="2" t="s">
        <v>657</v>
      </c>
    </row>
    <row r="799" spans="1:15" s="2" customFormat="1" x14ac:dyDescent="0.25">
      <c r="A799" s="2">
        <v>799</v>
      </c>
      <c r="B799" s="2">
        <v>1</v>
      </c>
      <c r="C799" s="2">
        <v>42</v>
      </c>
      <c r="D799" s="2">
        <v>1</v>
      </c>
      <c r="E799" s="2">
        <v>20</v>
      </c>
      <c r="G799" s="2">
        <v>1</v>
      </c>
      <c r="H799" s="2">
        <v>4</v>
      </c>
      <c r="I799" s="2">
        <v>6794544</v>
      </c>
      <c r="J799" s="2" t="s">
        <v>195</v>
      </c>
      <c r="K799" s="2" t="s">
        <v>558</v>
      </c>
      <c r="L799" s="2" t="str">
        <f>"6CM3331QNG"</f>
        <v>6CM3331QNG</v>
      </c>
      <c r="M799" s="2" t="s">
        <v>2</v>
      </c>
      <c r="N799" s="18">
        <v>31522</v>
      </c>
      <c r="O799" s="2" t="s">
        <v>657</v>
      </c>
    </row>
    <row r="800" spans="1:15" s="2" customFormat="1" x14ac:dyDescent="0.25">
      <c r="A800" s="2">
        <v>800</v>
      </c>
      <c r="B800" s="2">
        <v>1</v>
      </c>
      <c r="C800" s="2">
        <v>42</v>
      </c>
      <c r="D800" s="2">
        <v>1</v>
      </c>
      <c r="E800" s="2">
        <v>20</v>
      </c>
      <c r="G800" s="2">
        <v>1</v>
      </c>
      <c r="H800" s="2">
        <v>4</v>
      </c>
      <c r="I800" s="2">
        <v>6794545</v>
      </c>
      <c r="J800" s="2" t="s">
        <v>195</v>
      </c>
      <c r="K800" s="2" t="s">
        <v>558</v>
      </c>
      <c r="L800" s="2" t="str">
        <f>"6CM3331RRN"</f>
        <v>6CM3331RRN</v>
      </c>
      <c r="M800" s="2" t="s">
        <v>2</v>
      </c>
      <c r="N800" s="18">
        <v>31523</v>
      </c>
      <c r="O800" s="2" t="s">
        <v>657</v>
      </c>
    </row>
    <row r="801" spans="1:15" s="2" customFormat="1" x14ac:dyDescent="0.25">
      <c r="A801" s="2">
        <v>801</v>
      </c>
      <c r="B801" s="2">
        <v>1</v>
      </c>
      <c r="C801" s="2">
        <v>42</v>
      </c>
      <c r="D801" s="2">
        <v>1</v>
      </c>
      <c r="E801" s="2">
        <v>20</v>
      </c>
      <c r="G801" s="2">
        <v>1</v>
      </c>
      <c r="H801" s="2">
        <v>4</v>
      </c>
      <c r="I801" s="2">
        <v>6794546</v>
      </c>
      <c r="J801" s="2" t="s">
        <v>195</v>
      </c>
      <c r="K801" s="2" t="s">
        <v>558</v>
      </c>
      <c r="L801" s="2" t="str">
        <f>"6CM3331RRP"</f>
        <v>6CM3331RRP</v>
      </c>
      <c r="M801" s="2" t="s">
        <v>2</v>
      </c>
      <c r="N801" s="18">
        <v>31524</v>
      </c>
      <c r="O801" s="2" t="s">
        <v>657</v>
      </c>
    </row>
    <row r="802" spans="1:15" s="2" customFormat="1" x14ac:dyDescent="0.25">
      <c r="A802" s="2">
        <v>802</v>
      </c>
      <c r="B802" s="2">
        <v>1</v>
      </c>
      <c r="C802" s="2">
        <v>42</v>
      </c>
      <c r="D802" s="2">
        <v>1</v>
      </c>
      <c r="E802" s="2">
        <v>20</v>
      </c>
      <c r="G802" s="2">
        <v>1</v>
      </c>
      <c r="H802" s="2">
        <v>4</v>
      </c>
      <c r="I802" s="2">
        <v>13382664</v>
      </c>
      <c r="J802" s="2" t="s">
        <v>198</v>
      </c>
      <c r="K802" s="2" t="s">
        <v>470</v>
      </c>
      <c r="L802" s="2" t="str">
        <f>"BAUDU0OVB1V4YS"</f>
        <v>BAUDU0OVB1V4YS</v>
      </c>
      <c r="M802" s="2" t="s">
        <v>2</v>
      </c>
      <c r="N802" s="18">
        <v>31525</v>
      </c>
      <c r="O802" s="2" t="s">
        <v>658</v>
      </c>
    </row>
    <row r="803" spans="1:15" s="2" customFormat="1" x14ac:dyDescent="0.25">
      <c r="A803" s="2">
        <v>803</v>
      </c>
      <c r="B803" s="2">
        <v>1</v>
      </c>
      <c r="C803" s="2">
        <v>42</v>
      </c>
      <c r="D803" s="2">
        <v>1</v>
      </c>
      <c r="E803" s="2">
        <v>20</v>
      </c>
      <c r="G803" s="2">
        <v>1</v>
      </c>
      <c r="H803" s="2">
        <v>4</v>
      </c>
      <c r="I803" s="2">
        <v>13382665</v>
      </c>
      <c r="J803" s="2" t="s">
        <v>198</v>
      </c>
      <c r="K803" s="2" t="s">
        <v>470</v>
      </c>
      <c r="L803" s="2" t="str">
        <f>"BDAEV0Q5Y5B337"</f>
        <v>BDAEV0Q5Y5B337</v>
      </c>
      <c r="M803" s="2" t="s">
        <v>2</v>
      </c>
      <c r="N803" s="18">
        <v>31526</v>
      </c>
      <c r="O803" s="2" t="s">
        <v>658</v>
      </c>
    </row>
    <row r="804" spans="1:15" s="2" customFormat="1" x14ac:dyDescent="0.25">
      <c r="A804" s="2">
        <v>804</v>
      </c>
      <c r="B804" s="2">
        <v>1</v>
      </c>
      <c r="C804" s="2">
        <v>42</v>
      </c>
      <c r="D804" s="2">
        <v>1</v>
      </c>
      <c r="E804" s="2">
        <v>20</v>
      </c>
      <c r="G804" s="2">
        <v>1</v>
      </c>
      <c r="H804" s="2">
        <v>4</v>
      </c>
      <c r="I804" s="2">
        <v>13382666</v>
      </c>
      <c r="J804" s="2" t="s">
        <v>198</v>
      </c>
      <c r="K804" s="2" t="s">
        <v>470</v>
      </c>
      <c r="L804" s="2" t="str">
        <f>"BDAEV0Q5Y5F8TR"</f>
        <v>BDAEV0Q5Y5F8TR</v>
      </c>
      <c r="M804" s="2" t="s">
        <v>2</v>
      </c>
      <c r="N804" s="18">
        <v>31527</v>
      </c>
      <c r="O804" s="2" t="s">
        <v>658</v>
      </c>
    </row>
    <row r="805" spans="1:15" s="2" customFormat="1" x14ac:dyDescent="0.25">
      <c r="A805" s="2">
        <v>805</v>
      </c>
      <c r="B805" s="2">
        <v>1</v>
      </c>
      <c r="C805" s="2">
        <v>42</v>
      </c>
      <c r="D805" s="2">
        <v>1</v>
      </c>
      <c r="E805" s="2">
        <v>20</v>
      </c>
      <c r="G805" s="2">
        <v>1</v>
      </c>
      <c r="H805" s="2">
        <v>4</v>
      </c>
      <c r="I805" s="2">
        <v>13382667</v>
      </c>
      <c r="J805" s="2" t="s">
        <v>198</v>
      </c>
      <c r="K805" s="2" t="s">
        <v>470</v>
      </c>
      <c r="L805" s="2" t="str">
        <f>"BDAEV0Q5Y5F63Z"</f>
        <v>BDAEV0Q5Y5F63Z</v>
      </c>
      <c r="M805" s="2" t="s">
        <v>2</v>
      </c>
      <c r="N805" s="18">
        <v>31528</v>
      </c>
      <c r="O805" s="2" t="s">
        <v>658</v>
      </c>
    </row>
    <row r="806" spans="1:15" s="2" customFormat="1" x14ac:dyDescent="0.25">
      <c r="A806" s="2">
        <v>806</v>
      </c>
      <c r="B806" s="2">
        <v>1</v>
      </c>
      <c r="C806" s="2">
        <v>42</v>
      </c>
      <c r="D806" s="2">
        <v>1</v>
      </c>
      <c r="E806" s="2">
        <v>20</v>
      </c>
      <c r="G806" s="2">
        <v>1</v>
      </c>
      <c r="H806" s="2">
        <v>4</v>
      </c>
      <c r="I806" s="2">
        <v>13382668</v>
      </c>
      <c r="J806" s="2" t="s">
        <v>198</v>
      </c>
      <c r="K806" s="2" t="s">
        <v>470</v>
      </c>
      <c r="L806" s="2" t="str">
        <f>"BDAEV0Q5Y4V3S4"</f>
        <v>BDAEV0Q5Y4V3S4</v>
      </c>
      <c r="M806" s="2" t="s">
        <v>2</v>
      </c>
      <c r="N806" s="18">
        <v>31529</v>
      </c>
      <c r="O806" s="2" t="s">
        <v>658</v>
      </c>
    </row>
    <row r="807" spans="1:15" s="2" customFormat="1" x14ac:dyDescent="0.25">
      <c r="A807" s="2">
        <v>807</v>
      </c>
      <c r="B807" s="2">
        <v>1</v>
      </c>
      <c r="C807" s="2">
        <v>42</v>
      </c>
      <c r="D807" s="2">
        <v>1</v>
      </c>
      <c r="E807" s="2">
        <v>20</v>
      </c>
      <c r="G807" s="2">
        <v>1</v>
      </c>
      <c r="H807" s="2">
        <v>4</v>
      </c>
      <c r="I807" s="2">
        <v>13382669</v>
      </c>
      <c r="J807" s="2" t="s">
        <v>198</v>
      </c>
      <c r="K807" s="2" t="s">
        <v>470</v>
      </c>
      <c r="L807" s="2" t="str">
        <f>"BDAEV0Q5Y5F644"</f>
        <v>BDAEV0Q5Y5F644</v>
      </c>
      <c r="M807" s="2" t="s">
        <v>2</v>
      </c>
      <c r="N807" s="18">
        <v>31530</v>
      </c>
      <c r="O807" s="2" t="s">
        <v>658</v>
      </c>
    </row>
    <row r="808" spans="1:15" s="2" customFormat="1" x14ac:dyDescent="0.25">
      <c r="A808" s="2">
        <v>808</v>
      </c>
      <c r="B808" s="2">
        <v>1</v>
      </c>
      <c r="C808" s="2">
        <v>42</v>
      </c>
      <c r="D808" s="2">
        <v>1</v>
      </c>
      <c r="E808" s="2">
        <v>20</v>
      </c>
      <c r="G808" s="2">
        <v>1</v>
      </c>
      <c r="H808" s="2">
        <v>4</v>
      </c>
      <c r="I808" s="2">
        <v>13382670</v>
      </c>
      <c r="J808" s="2" t="s">
        <v>198</v>
      </c>
      <c r="K808" s="2" t="s">
        <v>470</v>
      </c>
      <c r="L808" s="2" t="str">
        <f>"BDAEV0Q5Y4V3S3"</f>
        <v>BDAEV0Q5Y4V3S3</v>
      </c>
      <c r="M808" s="2" t="s">
        <v>2</v>
      </c>
      <c r="N808" s="18">
        <v>31531</v>
      </c>
      <c r="O808" s="2" t="s">
        <v>658</v>
      </c>
    </row>
    <row r="809" spans="1:15" s="2" customFormat="1" x14ac:dyDescent="0.25">
      <c r="A809" s="2">
        <v>809</v>
      </c>
      <c r="B809" s="2">
        <v>1</v>
      </c>
      <c r="C809" s="2">
        <v>42</v>
      </c>
      <c r="D809" s="2">
        <v>1</v>
      </c>
      <c r="E809" s="2">
        <v>20</v>
      </c>
      <c r="G809" s="2">
        <v>1</v>
      </c>
      <c r="H809" s="2">
        <v>4</v>
      </c>
      <c r="I809" s="2">
        <v>13382671</v>
      </c>
      <c r="J809" s="2" t="s">
        <v>198</v>
      </c>
      <c r="K809" s="2" t="s">
        <v>470</v>
      </c>
      <c r="L809" s="2" t="str">
        <f>"BDAEV0Q5Y5B0G9"</f>
        <v>BDAEV0Q5Y5B0G9</v>
      </c>
      <c r="M809" s="2" t="s">
        <v>2</v>
      </c>
      <c r="N809" s="18">
        <v>31532</v>
      </c>
      <c r="O809" s="2" t="s">
        <v>658</v>
      </c>
    </row>
    <row r="810" spans="1:15" s="2" customFormat="1" x14ac:dyDescent="0.25">
      <c r="A810" s="2">
        <v>810</v>
      </c>
      <c r="B810" s="2">
        <v>1</v>
      </c>
      <c r="C810" s="2">
        <v>42</v>
      </c>
      <c r="D810" s="2">
        <v>1</v>
      </c>
      <c r="E810" s="2">
        <v>20</v>
      </c>
      <c r="G810" s="2">
        <v>1</v>
      </c>
      <c r="H810" s="2">
        <v>4</v>
      </c>
      <c r="I810" s="2">
        <v>13382672</v>
      </c>
      <c r="J810" s="2" t="s">
        <v>198</v>
      </c>
      <c r="K810" s="2" t="s">
        <v>470</v>
      </c>
      <c r="L810" s="2" t="str">
        <f>"BDAEV0Q5Y5F8UW"</f>
        <v>BDAEV0Q5Y5F8UW</v>
      </c>
      <c r="M810" s="2" t="s">
        <v>2</v>
      </c>
      <c r="N810" s="18">
        <v>31533</v>
      </c>
      <c r="O810" s="2" t="s">
        <v>658</v>
      </c>
    </row>
    <row r="811" spans="1:15" s="2" customFormat="1" x14ac:dyDescent="0.25">
      <c r="A811" s="2">
        <v>811</v>
      </c>
      <c r="B811" s="2">
        <v>1</v>
      </c>
      <c r="C811" s="2">
        <v>42</v>
      </c>
      <c r="D811" s="2">
        <v>1</v>
      </c>
      <c r="E811" s="2">
        <v>20</v>
      </c>
      <c r="G811" s="2">
        <v>1</v>
      </c>
      <c r="H811" s="2">
        <v>4</v>
      </c>
      <c r="I811" s="2">
        <v>13382673</v>
      </c>
      <c r="J811" s="2" t="s">
        <v>198</v>
      </c>
      <c r="K811" s="2" t="s">
        <v>470</v>
      </c>
      <c r="L811" s="2" t="str">
        <f>"BDAEV0Q5Y4V5JP"</f>
        <v>BDAEV0Q5Y4V5JP</v>
      </c>
      <c r="M811" s="2" t="s">
        <v>2</v>
      </c>
      <c r="N811" s="18">
        <v>31534</v>
      </c>
      <c r="O811" s="2" t="s">
        <v>658</v>
      </c>
    </row>
    <row r="812" spans="1:15" s="2" customFormat="1" x14ac:dyDescent="0.25">
      <c r="A812" s="2">
        <v>812</v>
      </c>
      <c r="B812" s="2">
        <v>1</v>
      </c>
      <c r="C812" s="2">
        <v>42</v>
      </c>
      <c r="D812" s="2">
        <v>1</v>
      </c>
      <c r="E812" s="2">
        <v>20</v>
      </c>
      <c r="G812" s="2">
        <v>1</v>
      </c>
      <c r="H812" s="2">
        <v>4</v>
      </c>
      <c r="I812" s="2">
        <v>13382674</v>
      </c>
      <c r="J812" s="2" t="s">
        <v>198</v>
      </c>
      <c r="K812" s="2" t="s">
        <v>470</v>
      </c>
      <c r="L812" s="2" t="str">
        <f>"BDAEV0Q5Y5F8TL"</f>
        <v>BDAEV0Q5Y5F8TL</v>
      </c>
      <c r="M812" s="2" t="s">
        <v>2</v>
      </c>
      <c r="N812" s="18">
        <v>31535</v>
      </c>
      <c r="O812" s="2" t="s">
        <v>658</v>
      </c>
    </row>
    <row r="813" spans="1:15" s="2" customFormat="1" x14ac:dyDescent="0.25">
      <c r="A813" s="2">
        <v>813</v>
      </c>
      <c r="B813" s="2">
        <v>1</v>
      </c>
      <c r="C813" s="2">
        <v>42</v>
      </c>
      <c r="D813" s="2">
        <v>1</v>
      </c>
      <c r="E813" s="2">
        <v>20</v>
      </c>
      <c r="G813" s="2">
        <v>1</v>
      </c>
      <c r="H813" s="2">
        <v>4</v>
      </c>
      <c r="I813" s="2">
        <v>13382675</v>
      </c>
      <c r="J813" s="2" t="s">
        <v>198</v>
      </c>
      <c r="K813" s="2" t="s">
        <v>470</v>
      </c>
      <c r="L813" s="2" t="str">
        <f>"BAUDU0OVB2PDK3"</f>
        <v>BAUDU0OVB2PDK3</v>
      </c>
      <c r="M813" s="2" t="s">
        <v>2</v>
      </c>
      <c r="N813" s="18">
        <v>31536</v>
      </c>
      <c r="O813" s="2" t="s">
        <v>658</v>
      </c>
    </row>
    <row r="814" spans="1:15" s="2" customFormat="1" x14ac:dyDescent="0.25">
      <c r="A814" s="2">
        <v>814</v>
      </c>
      <c r="B814" s="2">
        <v>1</v>
      </c>
      <c r="C814" s="2">
        <v>42</v>
      </c>
      <c r="D814" s="2">
        <v>1</v>
      </c>
      <c r="E814" s="2">
        <v>20</v>
      </c>
      <c r="G814" s="2">
        <v>1</v>
      </c>
      <c r="H814" s="2">
        <v>4</v>
      </c>
      <c r="I814" s="2">
        <v>13382676</v>
      </c>
      <c r="J814" s="2" t="s">
        <v>198</v>
      </c>
      <c r="K814" s="2" t="s">
        <v>470</v>
      </c>
      <c r="L814" s="2" t="str">
        <f>"BDAEV0Q5Y5F8TC"</f>
        <v>BDAEV0Q5Y5F8TC</v>
      </c>
      <c r="M814" s="2" t="s">
        <v>2</v>
      </c>
      <c r="N814" s="18">
        <v>31537</v>
      </c>
      <c r="O814" s="2" t="s">
        <v>658</v>
      </c>
    </row>
    <row r="815" spans="1:15" s="2" customFormat="1" x14ac:dyDescent="0.25">
      <c r="A815" s="2">
        <v>815</v>
      </c>
      <c r="B815" s="2">
        <v>1</v>
      </c>
      <c r="C815" s="2">
        <v>42</v>
      </c>
      <c r="D815" s="2">
        <v>1</v>
      </c>
      <c r="E815" s="2">
        <v>20</v>
      </c>
      <c r="G815" s="2">
        <v>1</v>
      </c>
      <c r="H815" s="2">
        <v>4</v>
      </c>
      <c r="I815" s="2">
        <v>13382677</v>
      </c>
      <c r="J815" s="2" t="s">
        <v>198</v>
      </c>
      <c r="K815" s="2" t="s">
        <v>470</v>
      </c>
      <c r="L815" s="2" t="str">
        <f>"BDAEV0Q5Y5B49G"</f>
        <v>BDAEV0Q5Y5B49G</v>
      </c>
      <c r="M815" s="2" t="s">
        <v>2</v>
      </c>
      <c r="N815" s="18">
        <v>31538</v>
      </c>
      <c r="O815" s="2" t="s">
        <v>658</v>
      </c>
    </row>
    <row r="816" spans="1:15" s="2" customFormat="1" x14ac:dyDescent="0.25">
      <c r="A816" s="2">
        <v>816</v>
      </c>
      <c r="B816" s="2">
        <v>1</v>
      </c>
      <c r="C816" s="2">
        <v>42</v>
      </c>
      <c r="D816" s="2">
        <v>1</v>
      </c>
      <c r="E816" s="2">
        <v>20</v>
      </c>
      <c r="G816" s="2">
        <v>1</v>
      </c>
      <c r="H816" s="2">
        <v>4</v>
      </c>
      <c r="I816" s="2">
        <v>13382678</v>
      </c>
      <c r="J816" s="2" t="s">
        <v>198</v>
      </c>
      <c r="K816" s="2" t="s">
        <v>470</v>
      </c>
      <c r="L816" s="2" t="str">
        <f>"BDAEV0Q5Y4V5LE"</f>
        <v>BDAEV0Q5Y4V5LE</v>
      </c>
      <c r="M816" s="2" t="s">
        <v>2</v>
      </c>
      <c r="N816" s="18">
        <v>31539</v>
      </c>
      <c r="O816" s="2" t="s">
        <v>658</v>
      </c>
    </row>
    <row r="817" spans="1:15" s="2" customFormat="1" x14ac:dyDescent="0.25">
      <c r="A817" s="2">
        <v>817</v>
      </c>
      <c r="B817" s="2">
        <v>1</v>
      </c>
      <c r="C817" s="2">
        <v>42</v>
      </c>
      <c r="D817" s="2">
        <v>1</v>
      </c>
      <c r="E817" s="2">
        <v>20</v>
      </c>
      <c r="G817" s="2">
        <v>1</v>
      </c>
      <c r="H817" s="2">
        <v>4</v>
      </c>
      <c r="I817" s="2">
        <v>13382703</v>
      </c>
      <c r="J817" s="2" t="s">
        <v>197</v>
      </c>
      <c r="K817" s="2" t="s">
        <v>545</v>
      </c>
      <c r="L817" s="2" t="str">
        <f>"FCGLH0D5D2R508"</f>
        <v>FCGLH0D5D2R508</v>
      </c>
      <c r="M817" s="2" t="s">
        <v>2</v>
      </c>
      <c r="N817" s="18">
        <v>31540</v>
      </c>
      <c r="O817" s="2" t="s">
        <v>659</v>
      </c>
    </row>
    <row r="818" spans="1:15" s="2" customFormat="1" x14ac:dyDescent="0.25">
      <c r="A818" s="2">
        <v>818</v>
      </c>
      <c r="B818" s="2">
        <v>1</v>
      </c>
      <c r="C818" s="2">
        <v>42</v>
      </c>
      <c r="D818" s="2">
        <v>1</v>
      </c>
      <c r="E818" s="2">
        <v>20</v>
      </c>
      <c r="G818" s="2">
        <v>1</v>
      </c>
      <c r="H818" s="2">
        <v>4</v>
      </c>
      <c r="I818" s="2">
        <v>13382704</v>
      </c>
      <c r="J818" s="2" t="s">
        <v>197</v>
      </c>
      <c r="K818" s="2" t="s">
        <v>545</v>
      </c>
      <c r="L818" s="2" t="str">
        <f>"FCGLH0D5D5GIQ5"</f>
        <v>FCGLH0D5D5GIQ5</v>
      </c>
      <c r="M818" s="2" t="s">
        <v>2</v>
      </c>
      <c r="N818" s="18">
        <v>31541</v>
      </c>
      <c r="O818" s="2" t="s">
        <v>659</v>
      </c>
    </row>
    <row r="819" spans="1:15" s="2" customFormat="1" x14ac:dyDescent="0.25">
      <c r="A819" s="2">
        <v>819</v>
      </c>
      <c r="B819" s="2">
        <v>1</v>
      </c>
      <c r="C819" s="2">
        <v>42</v>
      </c>
      <c r="D819" s="2">
        <v>1</v>
      </c>
      <c r="E819" s="2">
        <v>20</v>
      </c>
      <c r="G819" s="2">
        <v>1</v>
      </c>
      <c r="H819" s="2">
        <v>4</v>
      </c>
      <c r="I819" s="2">
        <v>13382705</v>
      </c>
      <c r="J819" s="2" t="s">
        <v>197</v>
      </c>
      <c r="K819" s="2" t="s">
        <v>545</v>
      </c>
      <c r="L819" s="2" t="str">
        <f>"FCGLH0D5D5GLG1"</f>
        <v>FCGLH0D5D5GLG1</v>
      </c>
      <c r="M819" s="2" t="s">
        <v>2</v>
      </c>
      <c r="N819" s="18">
        <v>31542</v>
      </c>
      <c r="O819" s="2" t="s">
        <v>659</v>
      </c>
    </row>
    <row r="820" spans="1:15" s="2" customFormat="1" x14ac:dyDescent="0.25">
      <c r="A820" s="2">
        <v>820</v>
      </c>
      <c r="B820" s="2">
        <v>1</v>
      </c>
      <c r="C820" s="2">
        <v>42</v>
      </c>
      <c r="D820" s="2">
        <v>1</v>
      </c>
      <c r="E820" s="2">
        <v>20</v>
      </c>
      <c r="G820" s="2">
        <v>1</v>
      </c>
      <c r="H820" s="2">
        <v>4</v>
      </c>
      <c r="I820" s="2">
        <v>13382706</v>
      </c>
      <c r="J820" s="2" t="s">
        <v>197</v>
      </c>
      <c r="K820" s="2" t="s">
        <v>545</v>
      </c>
      <c r="L820" s="2" t="str">
        <f>"FCGLH0D5D5GV9Q"</f>
        <v>FCGLH0D5D5GV9Q</v>
      </c>
      <c r="M820" s="2" t="s">
        <v>2</v>
      </c>
      <c r="N820" s="18">
        <v>31543</v>
      </c>
      <c r="O820" s="2" t="s">
        <v>659</v>
      </c>
    </row>
    <row r="821" spans="1:15" s="2" customFormat="1" x14ac:dyDescent="0.25">
      <c r="A821" s="2">
        <v>821</v>
      </c>
      <c r="B821" s="2">
        <v>1</v>
      </c>
      <c r="C821" s="2">
        <v>42</v>
      </c>
      <c r="D821" s="2">
        <v>1</v>
      </c>
      <c r="E821" s="2">
        <v>20</v>
      </c>
      <c r="G821" s="2">
        <v>1</v>
      </c>
      <c r="H821" s="2">
        <v>4</v>
      </c>
      <c r="I821" s="2">
        <v>13382707</v>
      </c>
      <c r="J821" s="2" t="s">
        <v>197</v>
      </c>
      <c r="K821" s="2" t="s">
        <v>545</v>
      </c>
      <c r="L821" s="2" t="str">
        <f>"FCGLH0D5D5GVAL"</f>
        <v>FCGLH0D5D5GVAL</v>
      </c>
      <c r="M821" s="2" t="s">
        <v>2</v>
      </c>
      <c r="N821" s="18">
        <v>31544</v>
      </c>
      <c r="O821" s="2" t="s">
        <v>659</v>
      </c>
    </row>
    <row r="822" spans="1:15" s="2" customFormat="1" x14ac:dyDescent="0.25">
      <c r="A822" s="2">
        <v>822</v>
      </c>
      <c r="B822" s="2">
        <v>1</v>
      </c>
      <c r="C822" s="2">
        <v>42</v>
      </c>
      <c r="D822" s="2">
        <v>1</v>
      </c>
      <c r="E822" s="2">
        <v>20</v>
      </c>
      <c r="G822" s="2">
        <v>1</v>
      </c>
      <c r="H822" s="2">
        <v>4</v>
      </c>
      <c r="I822" s="2">
        <v>13382708</v>
      </c>
      <c r="J822" s="2" t="s">
        <v>197</v>
      </c>
      <c r="K822" s="2" t="s">
        <v>660</v>
      </c>
      <c r="L822" s="2" t="str">
        <f>"FCGLH0DHD5KJOP"</f>
        <v>FCGLH0DHD5KJOP</v>
      </c>
      <c r="M822" s="2" t="s">
        <v>2</v>
      </c>
      <c r="N822" s="18">
        <v>31545</v>
      </c>
      <c r="O822" s="2" t="s">
        <v>659</v>
      </c>
    </row>
    <row r="823" spans="1:15" s="2" customFormat="1" x14ac:dyDescent="0.25">
      <c r="A823" s="2">
        <v>823</v>
      </c>
      <c r="B823" s="2">
        <v>1</v>
      </c>
      <c r="C823" s="2">
        <v>42</v>
      </c>
      <c r="D823" s="2">
        <v>1</v>
      </c>
      <c r="E823" s="2">
        <v>20</v>
      </c>
      <c r="G823" s="2">
        <v>1</v>
      </c>
      <c r="H823" s="2">
        <v>4</v>
      </c>
      <c r="I823" s="2">
        <v>13382709</v>
      </c>
      <c r="J823" s="2" t="s">
        <v>197</v>
      </c>
      <c r="K823" s="2" t="s">
        <v>545</v>
      </c>
      <c r="L823" s="2" t="str">
        <f>"FCGLH0DKZ5G0SA"</f>
        <v>FCGLH0DKZ5G0SA</v>
      </c>
      <c r="M823" s="2" t="s">
        <v>2</v>
      </c>
      <c r="N823" s="18">
        <v>31546</v>
      </c>
      <c r="O823" s="2" t="s">
        <v>659</v>
      </c>
    </row>
    <row r="824" spans="1:15" s="2" customFormat="1" x14ac:dyDescent="0.25">
      <c r="A824" s="2">
        <v>824</v>
      </c>
      <c r="B824" s="2">
        <v>1</v>
      </c>
      <c r="C824" s="2">
        <v>42</v>
      </c>
      <c r="D824" s="2">
        <v>1</v>
      </c>
      <c r="E824" s="2">
        <v>20</v>
      </c>
      <c r="G824" s="2">
        <v>1</v>
      </c>
      <c r="H824" s="2">
        <v>4</v>
      </c>
      <c r="I824" s="2">
        <v>13382710</v>
      </c>
      <c r="J824" s="2" t="s">
        <v>197</v>
      </c>
      <c r="K824" s="2" t="s">
        <v>545</v>
      </c>
      <c r="L824" s="2" t="str">
        <f>"FCGLH0D5D5GIQC"</f>
        <v>FCGLH0D5D5GIQC</v>
      </c>
      <c r="M824" s="2" t="s">
        <v>2</v>
      </c>
      <c r="N824" s="18">
        <v>31547</v>
      </c>
      <c r="O824" s="2" t="s">
        <v>659</v>
      </c>
    </row>
    <row r="825" spans="1:15" s="2" customFormat="1" x14ac:dyDescent="0.25">
      <c r="A825" s="2">
        <v>825</v>
      </c>
      <c r="B825" s="2">
        <v>1</v>
      </c>
      <c r="C825" s="2">
        <v>42</v>
      </c>
      <c r="D825" s="2">
        <v>1</v>
      </c>
      <c r="E825" s="2">
        <v>20</v>
      </c>
      <c r="G825" s="2">
        <v>1</v>
      </c>
      <c r="H825" s="2">
        <v>4</v>
      </c>
      <c r="I825" s="2">
        <v>13382711</v>
      </c>
      <c r="J825" s="2" t="s">
        <v>197</v>
      </c>
      <c r="K825" s="2" t="s">
        <v>545</v>
      </c>
      <c r="L825" s="2" t="str">
        <f>"FCGLH0D5D5G95R"</f>
        <v>FCGLH0D5D5G95R</v>
      </c>
      <c r="M825" s="2" t="s">
        <v>2</v>
      </c>
      <c r="N825" s="18">
        <v>31548</v>
      </c>
      <c r="O825" s="2" t="s">
        <v>659</v>
      </c>
    </row>
    <row r="826" spans="1:15" s="2" customFormat="1" x14ac:dyDescent="0.25">
      <c r="A826" s="2">
        <v>826</v>
      </c>
      <c r="B826" s="2">
        <v>1</v>
      </c>
      <c r="C826" s="2">
        <v>42</v>
      </c>
      <c r="D826" s="2">
        <v>1</v>
      </c>
      <c r="E826" s="2">
        <v>20</v>
      </c>
      <c r="G826" s="2">
        <v>1</v>
      </c>
      <c r="H826" s="2">
        <v>4</v>
      </c>
      <c r="I826" s="2">
        <v>13382712</v>
      </c>
      <c r="J826" s="2" t="s">
        <v>197</v>
      </c>
      <c r="K826" s="2" t="s">
        <v>545</v>
      </c>
      <c r="L826" s="2" t="str">
        <f>"FCGLH0D5D5GQ1V"</f>
        <v>FCGLH0D5D5GQ1V</v>
      </c>
      <c r="M826" s="2" t="s">
        <v>2</v>
      </c>
      <c r="N826" s="18">
        <v>31549</v>
      </c>
      <c r="O826" s="2" t="s">
        <v>659</v>
      </c>
    </row>
    <row r="827" spans="1:15" s="2" customFormat="1" x14ac:dyDescent="0.25">
      <c r="A827" s="2">
        <v>827</v>
      </c>
      <c r="B827" s="2">
        <v>1</v>
      </c>
      <c r="C827" s="2">
        <v>42</v>
      </c>
      <c r="D827" s="2">
        <v>1</v>
      </c>
      <c r="E827" s="2">
        <v>20</v>
      </c>
      <c r="G827" s="2">
        <v>1</v>
      </c>
      <c r="H827" s="2">
        <v>4</v>
      </c>
      <c r="I827" s="2">
        <v>13382713</v>
      </c>
      <c r="J827" s="2" t="s">
        <v>197</v>
      </c>
      <c r="K827" s="2" t="s">
        <v>545</v>
      </c>
      <c r="L827" s="2" t="str">
        <f>"FCGLH0D5D5GNGB"</f>
        <v>FCGLH0D5D5GNGB</v>
      </c>
      <c r="M827" s="2" t="s">
        <v>2</v>
      </c>
      <c r="N827" s="18">
        <v>31550</v>
      </c>
      <c r="O827" s="2" t="s">
        <v>659</v>
      </c>
    </row>
    <row r="828" spans="1:15" s="2" customFormat="1" x14ac:dyDescent="0.25">
      <c r="A828" s="2">
        <v>828</v>
      </c>
      <c r="B828" s="2">
        <v>1</v>
      </c>
      <c r="C828" s="2">
        <v>42</v>
      </c>
      <c r="D828" s="2">
        <v>1</v>
      </c>
      <c r="E828" s="2">
        <v>20</v>
      </c>
      <c r="G828" s="2">
        <v>1</v>
      </c>
      <c r="H828" s="2">
        <v>4</v>
      </c>
      <c r="I828" s="2">
        <v>13382714</v>
      </c>
      <c r="J828" s="2" t="s">
        <v>197</v>
      </c>
      <c r="K828" s="2" t="s">
        <v>660</v>
      </c>
      <c r="L828" s="2" t="str">
        <f>"FCGLH0DHD5KJ06"</f>
        <v>FCGLH0DHD5KJ06</v>
      </c>
      <c r="M828" s="2" t="s">
        <v>2</v>
      </c>
      <c r="N828" s="18">
        <v>31551</v>
      </c>
      <c r="O828" s="2" t="s">
        <v>659</v>
      </c>
    </row>
    <row r="829" spans="1:15" s="2" customFormat="1" x14ac:dyDescent="0.25">
      <c r="A829" s="2">
        <v>829</v>
      </c>
      <c r="B829" s="2">
        <v>1</v>
      </c>
      <c r="C829" s="2">
        <v>42</v>
      </c>
      <c r="D829" s="2">
        <v>1</v>
      </c>
      <c r="E829" s="2">
        <v>20</v>
      </c>
      <c r="G829" s="2">
        <v>1</v>
      </c>
      <c r="H829" s="2">
        <v>4</v>
      </c>
      <c r="I829" s="2">
        <v>13382715</v>
      </c>
      <c r="J829" s="2" t="s">
        <v>197</v>
      </c>
      <c r="K829" s="2" t="s">
        <v>545</v>
      </c>
      <c r="L829" s="2" t="str">
        <f>"FCGLH0D5D5GUQG"</f>
        <v>FCGLH0D5D5GUQG</v>
      </c>
      <c r="M829" s="2" t="s">
        <v>2</v>
      </c>
      <c r="N829" s="18">
        <v>31552</v>
      </c>
      <c r="O829" s="2" t="s">
        <v>659</v>
      </c>
    </row>
    <row r="830" spans="1:15" s="2" customFormat="1" x14ac:dyDescent="0.25">
      <c r="A830" s="2">
        <v>830</v>
      </c>
      <c r="B830" s="2">
        <v>1</v>
      </c>
      <c r="C830" s="2">
        <v>42</v>
      </c>
      <c r="D830" s="2">
        <v>1</v>
      </c>
      <c r="E830" s="2">
        <v>20</v>
      </c>
      <c r="G830" s="2">
        <v>1</v>
      </c>
      <c r="H830" s="2">
        <v>4</v>
      </c>
      <c r="I830" s="2">
        <v>13382716</v>
      </c>
      <c r="J830" s="2" t="s">
        <v>197</v>
      </c>
      <c r="K830" s="2" t="s">
        <v>545</v>
      </c>
      <c r="L830" s="2" t="str">
        <f>"FCGLH0D5D5FZ2J"</f>
        <v>FCGLH0D5D5FZ2J</v>
      </c>
      <c r="M830" s="2" t="s">
        <v>2</v>
      </c>
      <c r="N830" s="18">
        <v>31553</v>
      </c>
      <c r="O830" s="2" t="s">
        <v>659</v>
      </c>
    </row>
    <row r="831" spans="1:15" s="2" customFormat="1" x14ac:dyDescent="0.25">
      <c r="A831" s="2">
        <v>831</v>
      </c>
      <c r="B831" s="2">
        <v>1</v>
      </c>
      <c r="C831" s="2">
        <v>42</v>
      </c>
      <c r="D831" s="2">
        <v>1</v>
      </c>
      <c r="E831" s="2">
        <v>20</v>
      </c>
      <c r="G831" s="2">
        <v>1</v>
      </c>
      <c r="H831" s="2">
        <v>4</v>
      </c>
      <c r="I831" s="2">
        <v>13382717</v>
      </c>
      <c r="J831" s="2" t="s">
        <v>197</v>
      </c>
      <c r="K831" s="2" t="s">
        <v>545</v>
      </c>
      <c r="L831" s="2" t="str">
        <f>"FCGLH0D5D5GQ1J"</f>
        <v>FCGLH0D5D5GQ1J</v>
      </c>
      <c r="M831" s="2" t="s">
        <v>2</v>
      </c>
      <c r="N831" s="18">
        <v>31554</v>
      </c>
      <c r="O831" s="2" t="s">
        <v>659</v>
      </c>
    </row>
    <row r="832" spans="1:15" s="2" customFormat="1" x14ac:dyDescent="0.25">
      <c r="A832" s="2">
        <v>832</v>
      </c>
      <c r="B832" s="2">
        <v>2</v>
      </c>
      <c r="C832" s="2">
        <v>76</v>
      </c>
      <c r="D832" s="2">
        <v>2</v>
      </c>
      <c r="E832" s="2">
        <v>2</v>
      </c>
      <c r="G832" s="2">
        <v>1</v>
      </c>
      <c r="H832" s="2">
        <v>39</v>
      </c>
      <c r="I832" s="2">
        <v>13184479</v>
      </c>
      <c r="J832" s="2" t="s">
        <v>221</v>
      </c>
      <c r="K832" s="2" t="s">
        <v>350</v>
      </c>
      <c r="L832" s="2" t="str">
        <f>"63445030125005"</f>
        <v>63445030125005</v>
      </c>
      <c r="M832" s="2" t="s">
        <v>2</v>
      </c>
      <c r="N832" s="18">
        <v>31555</v>
      </c>
      <c r="O832" s="2" t="s">
        <v>661</v>
      </c>
    </row>
    <row r="833" spans="1:15" s="2" customFormat="1" x14ac:dyDescent="0.25">
      <c r="A833" s="2">
        <v>833</v>
      </c>
      <c r="B833" s="2">
        <v>2</v>
      </c>
      <c r="C833" s="2">
        <v>76</v>
      </c>
      <c r="D833" s="2">
        <v>2</v>
      </c>
      <c r="E833" s="2">
        <v>29</v>
      </c>
      <c r="G833" s="2">
        <v>1</v>
      </c>
      <c r="H833" s="2">
        <v>39</v>
      </c>
      <c r="I833" s="2">
        <v>13184480</v>
      </c>
      <c r="J833" s="2" t="s">
        <v>221</v>
      </c>
      <c r="K833" s="2" t="s">
        <v>350</v>
      </c>
      <c r="L833" s="2" t="str">
        <f>"63445030125006"</f>
        <v>63445030125006</v>
      </c>
      <c r="M833" s="2" t="s">
        <v>2</v>
      </c>
      <c r="N833" s="18">
        <v>31556</v>
      </c>
      <c r="O833" s="2" t="s">
        <v>661</v>
      </c>
    </row>
    <row r="834" spans="1:15" s="2" customFormat="1" x14ac:dyDescent="0.25">
      <c r="A834" s="2">
        <v>834</v>
      </c>
      <c r="B834" s="2">
        <v>2</v>
      </c>
      <c r="C834" s="2">
        <v>76</v>
      </c>
      <c r="D834" s="2">
        <v>2</v>
      </c>
      <c r="E834" s="2">
        <v>28</v>
      </c>
      <c r="G834" s="2">
        <v>1</v>
      </c>
      <c r="H834" s="2">
        <v>39</v>
      </c>
      <c r="I834" s="2">
        <v>13184481</v>
      </c>
      <c r="J834" s="2" t="s">
        <v>221</v>
      </c>
      <c r="K834" s="2" t="s">
        <v>350</v>
      </c>
      <c r="L834" s="2" t="str">
        <f>"63445030125007"</f>
        <v>63445030125007</v>
      </c>
      <c r="M834" s="2" t="s">
        <v>2</v>
      </c>
      <c r="N834" s="18">
        <v>31557</v>
      </c>
      <c r="O834" s="2" t="s">
        <v>661</v>
      </c>
    </row>
    <row r="835" spans="1:15" s="2" customFormat="1" x14ac:dyDescent="0.25">
      <c r="A835" s="2">
        <v>835</v>
      </c>
      <c r="B835" s="2">
        <v>2</v>
      </c>
      <c r="C835" s="2">
        <v>76</v>
      </c>
      <c r="D835" s="2">
        <v>2</v>
      </c>
      <c r="E835" s="2">
        <v>20</v>
      </c>
      <c r="G835" s="2">
        <v>1</v>
      </c>
      <c r="H835" s="2">
        <v>39</v>
      </c>
      <c r="I835" s="2">
        <v>13184482</v>
      </c>
      <c r="J835" s="2" t="s">
        <v>221</v>
      </c>
      <c r="K835" s="2" t="s">
        <v>350</v>
      </c>
      <c r="L835" s="2" t="str">
        <f>"63445030125008"</f>
        <v>63445030125008</v>
      </c>
      <c r="M835" s="2" t="s">
        <v>2</v>
      </c>
      <c r="N835" s="18">
        <v>31558</v>
      </c>
      <c r="O835" s="2" t="s">
        <v>661</v>
      </c>
    </row>
    <row r="836" spans="1:15" s="2" customFormat="1" x14ac:dyDescent="0.25">
      <c r="A836" s="2">
        <v>836</v>
      </c>
      <c r="B836" s="2">
        <v>2</v>
      </c>
      <c r="C836" s="2">
        <v>76</v>
      </c>
      <c r="D836" s="2">
        <v>2</v>
      </c>
      <c r="E836" s="2">
        <v>1</v>
      </c>
      <c r="G836" s="2">
        <v>1</v>
      </c>
      <c r="H836" s="2">
        <v>39</v>
      </c>
      <c r="I836" s="2">
        <v>13184483</v>
      </c>
      <c r="J836" s="2" t="s">
        <v>221</v>
      </c>
      <c r="K836" s="2" t="s">
        <v>350</v>
      </c>
      <c r="L836" s="2" t="str">
        <f>"63445030125009"</f>
        <v>63445030125009</v>
      </c>
      <c r="M836" s="2" t="s">
        <v>2</v>
      </c>
      <c r="N836" s="18">
        <v>31559</v>
      </c>
      <c r="O836" s="2" t="s">
        <v>661</v>
      </c>
    </row>
    <row r="837" spans="1:15" s="2" customFormat="1" x14ac:dyDescent="0.25">
      <c r="A837" s="2">
        <v>837</v>
      </c>
      <c r="B837" s="2">
        <v>2</v>
      </c>
      <c r="C837" s="2">
        <v>76</v>
      </c>
      <c r="D837" s="2">
        <v>2</v>
      </c>
      <c r="E837" s="2">
        <v>28</v>
      </c>
      <c r="G837" s="2">
        <v>1</v>
      </c>
      <c r="H837" s="2">
        <v>39</v>
      </c>
      <c r="I837" s="2">
        <v>13184484</v>
      </c>
      <c r="J837" s="2" t="s">
        <v>221</v>
      </c>
      <c r="K837" s="2" t="s">
        <v>350</v>
      </c>
      <c r="L837" s="2" t="str">
        <f>"63445030125010"</f>
        <v>63445030125010</v>
      </c>
      <c r="M837" s="2" t="s">
        <v>2</v>
      </c>
      <c r="N837" s="18">
        <v>31560</v>
      </c>
      <c r="O837" s="2" t="s">
        <v>661</v>
      </c>
    </row>
    <row r="838" spans="1:15" s="2" customFormat="1" x14ac:dyDescent="0.25">
      <c r="A838" s="2">
        <v>838</v>
      </c>
      <c r="B838" s="2">
        <v>2</v>
      </c>
      <c r="C838" s="2">
        <v>76</v>
      </c>
      <c r="D838" s="2">
        <v>2</v>
      </c>
      <c r="E838" s="2">
        <v>29</v>
      </c>
      <c r="G838" s="2">
        <v>1</v>
      </c>
      <c r="H838" s="2">
        <v>39</v>
      </c>
      <c r="I838" s="2">
        <v>13184485</v>
      </c>
      <c r="J838" s="2" t="s">
        <v>221</v>
      </c>
      <c r="K838" s="2" t="s">
        <v>350</v>
      </c>
      <c r="L838" s="2" t="str">
        <f>"63445030125011"</f>
        <v>63445030125011</v>
      </c>
      <c r="M838" s="2" t="s">
        <v>2</v>
      </c>
      <c r="N838" s="18">
        <v>31561</v>
      </c>
      <c r="O838" s="2" t="s">
        <v>661</v>
      </c>
    </row>
    <row r="839" spans="1:15" s="2" customFormat="1" x14ac:dyDescent="0.25">
      <c r="A839" s="2">
        <v>839</v>
      </c>
      <c r="B839" s="2">
        <v>2</v>
      </c>
      <c r="C839" s="2">
        <v>76</v>
      </c>
      <c r="D839" s="2">
        <v>2</v>
      </c>
      <c r="E839" s="2">
        <v>28</v>
      </c>
      <c r="G839" s="2">
        <v>1</v>
      </c>
      <c r="H839" s="2">
        <v>39</v>
      </c>
      <c r="I839" s="2">
        <v>13184486</v>
      </c>
      <c r="J839" s="2" t="s">
        <v>221</v>
      </c>
      <c r="K839" s="2" t="s">
        <v>350</v>
      </c>
      <c r="L839" s="2" t="str">
        <f>"63445030125012"</f>
        <v>63445030125012</v>
      </c>
      <c r="M839" s="2" t="s">
        <v>2</v>
      </c>
      <c r="N839" s="18">
        <v>31562</v>
      </c>
      <c r="O839" s="2" t="s">
        <v>661</v>
      </c>
    </row>
    <row r="840" spans="1:15" s="2" customFormat="1" x14ac:dyDescent="0.25">
      <c r="A840" s="2">
        <v>840</v>
      </c>
      <c r="B840" s="2">
        <v>2</v>
      </c>
      <c r="C840" s="2">
        <v>76</v>
      </c>
      <c r="D840" s="2">
        <v>2</v>
      </c>
      <c r="E840" s="2">
        <v>1</v>
      </c>
      <c r="G840" s="2">
        <v>1</v>
      </c>
      <c r="H840" s="2">
        <v>39</v>
      </c>
      <c r="I840" s="2">
        <v>13184487</v>
      </c>
      <c r="J840" s="2" t="s">
        <v>221</v>
      </c>
      <c r="K840" s="2" t="s">
        <v>350</v>
      </c>
      <c r="L840" s="2" t="str">
        <f>"63445030125013"</f>
        <v>63445030125013</v>
      </c>
      <c r="M840" s="2" t="s">
        <v>2</v>
      </c>
      <c r="N840" s="18">
        <v>31563</v>
      </c>
      <c r="O840" s="2" t="s">
        <v>661</v>
      </c>
    </row>
    <row r="841" spans="1:15" s="2" customFormat="1" x14ac:dyDescent="0.25">
      <c r="A841" s="2">
        <v>841</v>
      </c>
      <c r="B841" s="2">
        <v>2</v>
      </c>
      <c r="C841" s="2">
        <v>76</v>
      </c>
      <c r="D841" s="2">
        <v>2</v>
      </c>
      <c r="E841" s="2">
        <v>28</v>
      </c>
      <c r="G841" s="2">
        <v>1</v>
      </c>
      <c r="H841" s="2">
        <v>39</v>
      </c>
      <c r="I841" s="2">
        <v>13184488</v>
      </c>
      <c r="J841" s="2" t="s">
        <v>221</v>
      </c>
      <c r="K841" s="2" t="s">
        <v>350</v>
      </c>
      <c r="L841" s="2" t="str">
        <f>"63445030125014"</f>
        <v>63445030125014</v>
      </c>
      <c r="M841" s="2" t="s">
        <v>2</v>
      </c>
      <c r="N841" s="18">
        <v>31564</v>
      </c>
      <c r="O841" s="2" t="s">
        <v>661</v>
      </c>
    </row>
    <row r="842" spans="1:15" s="2" customFormat="1" x14ac:dyDescent="0.25">
      <c r="A842" s="2">
        <v>842</v>
      </c>
      <c r="B842" s="2">
        <v>2</v>
      </c>
      <c r="C842" s="2">
        <v>76</v>
      </c>
      <c r="D842" s="2">
        <v>2</v>
      </c>
      <c r="E842" s="2">
        <v>1</v>
      </c>
      <c r="G842" s="2">
        <v>1</v>
      </c>
      <c r="H842" s="2">
        <v>39</v>
      </c>
      <c r="I842" s="2">
        <v>13184489</v>
      </c>
      <c r="J842" s="2" t="s">
        <v>221</v>
      </c>
      <c r="K842" s="2" t="s">
        <v>350</v>
      </c>
      <c r="L842" s="2" t="str">
        <f>"63445030125015"</f>
        <v>63445030125015</v>
      </c>
      <c r="M842" s="2" t="s">
        <v>2</v>
      </c>
      <c r="N842" s="18">
        <v>31565</v>
      </c>
      <c r="O842" s="2" t="s">
        <v>661</v>
      </c>
    </row>
    <row r="843" spans="1:15" s="2" customFormat="1" x14ac:dyDescent="0.25">
      <c r="A843" s="2">
        <v>843</v>
      </c>
      <c r="B843" s="2">
        <v>2</v>
      </c>
      <c r="C843" s="2">
        <v>76</v>
      </c>
      <c r="D843" s="2">
        <v>2</v>
      </c>
      <c r="E843" s="2">
        <v>28</v>
      </c>
      <c r="G843" s="2">
        <v>1</v>
      </c>
      <c r="H843" s="2">
        <v>39</v>
      </c>
      <c r="I843" s="2">
        <v>13184490</v>
      </c>
      <c r="J843" s="2" t="s">
        <v>221</v>
      </c>
      <c r="K843" s="2" t="s">
        <v>350</v>
      </c>
      <c r="L843" s="2" t="str">
        <f>"63445030125016"</f>
        <v>63445030125016</v>
      </c>
      <c r="M843" s="2" t="s">
        <v>2</v>
      </c>
      <c r="N843" s="18">
        <v>31566</v>
      </c>
      <c r="O843" s="2" t="s">
        <v>661</v>
      </c>
    </row>
    <row r="844" spans="1:15" s="2" customFormat="1" x14ac:dyDescent="0.25">
      <c r="A844" s="2">
        <v>844</v>
      </c>
      <c r="B844" s="2">
        <v>2</v>
      </c>
      <c r="C844" s="2">
        <v>76</v>
      </c>
      <c r="D844" s="2">
        <v>2</v>
      </c>
      <c r="E844" s="2">
        <v>20</v>
      </c>
      <c r="G844" s="2">
        <v>1</v>
      </c>
      <c r="H844" s="2">
        <v>39</v>
      </c>
      <c r="I844" s="2">
        <v>13184491</v>
      </c>
      <c r="J844" s="2" t="s">
        <v>221</v>
      </c>
      <c r="K844" s="2" t="s">
        <v>350</v>
      </c>
      <c r="L844" s="2" t="str">
        <f>"63445030125017"</f>
        <v>63445030125017</v>
      </c>
      <c r="M844" s="2" t="s">
        <v>2</v>
      </c>
      <c r="N844" s="18">
        <v>31567</v>
      </c>
      <c r="O844" s="2" t="s">
        <v>661</v>
      </c>
    </row>
    <row r="845" spans="1:15" s="2" customFormat="1" x14ac:dyDescent="0.25">
      <c r="A845" s="2">
        <v>845</v>
      </c>
      <c r="B845" s="2">
        <v>2</v>
      </c>
      <c r="C845" s="2">
        <v>76</v>
      </c>
      <c r="D845" s="2">
        <v>2</v>
      </c>
      <c r="E845" s="2">
        <v>20</v>
      </c>
      <c r="G845" s="2">
        <v>1</v>
      </c>
      <c r="H845" s="2">
        <v>39</v>
      </c>
      <c r="I845" s="2">
        <v>13184492</v>
      </c>
      <c r="J845" s="2" t="s">
        <v>221</v>
      </c>
      <c r="K845" s="2" t="s">
        <v>350</v>
      </c>
      <c r="L845" s="2" t="str">
        <f>"63445030125018"</f>
        <v>63445030125018</v>
      </c>
      <c r="M845" s="2" t="s">
        <v>2</v>
      </c>
      <c r="N845" s="18">
        <v>31568</v>
      </c>
      <c r="O845" s="2" t="s">
        <v>661</v>
      </c>
    </row>
    <row r="846" spans="1:15" s="2" customFormat="1" x14ac:dyDescent="0.25">
      <c r="A846" s="2">
        <v>846</v>
      </c>
      <c r="B846" s="2">
        <v>2</v>
      </c>
      <c r="C846" s="2">
        <v>76</v>
      </c>
      <c r="D846" s="2">
        <v>2</v>
      </c>
      <c r="E846" s="2">
        <v>28</v>
      </c>
      <c r="G846" s="2">
        <v>1</v>
      </c>
      <c r="H846" s="2">
        <v>39</v>
      </c>
      <c r="I846" s="2">
        <v>13184493</v>
      </c>
      <c r="J846" s="2" t="s">
        <v>221</v>
      </c>
      <c r="K846" s="2" t="s">
        <v>350</v>
      </c>
      <c r="L846" s="2" t="str">
        <f>"63445030125019"</f>
        <v>63445030125019</v>
      </c>
      <c r="M846" s="2" t="s">
        <v>2</v>
      </c>
      <c r="N846" s="18">
        <v>31569</v>
      </c>
      <c r="O846" s="2" t="s">
        <v>661</v>
      </c>
    </row>
    <row r="847" spans="1:15" s="2" customFormat="1" x14ac:dyDescent="0.25">
      <c r="A847" s="2">
        <v>847</v>
      </c>
      <c r="B847" s="2">
        <v>2</v>
      </c>
      <c r="C847" s="2">
        <v>76</v>
      </c>
      <c r="D847" s="2">
        <v>2</v>
      </c>
      <c r="E847" s="2">
        <v>1</v>
      </c>
      <c r="G847" s="2">
        <v>1</v>
      </c>
      <c r="H847" s="2">
        <v>39</v>
      </c>
      <c r="I847" s="2">
        <v>13184494</v>
      </c>
      <c r="J847" s="2" t="s">
        <v>221</v>
      </c>
      <c r="K847" s="2" t="s">
        <v>350</v>
      </c>
      <c r="L847" s="2" t="str">
        <f>"63445030125020"</f>
        <v>63445030125020</v>
      </c>
      <c r="M847" s="2" t="s">
        <v>2</v>
      </c>
      <c r="N847" s="18">
        <v>31570</v>
      </c>
      <c r="O847" s="2" t="s">
        <v>661</v>
      </c>
    </row>
    <row r="848" spans="1:15" s="2" customFormat="1" x14ac:dyDescent="0.25">
      <c r="A848" s="2">
        <v>848</v>
      </c>
      <c r="B848" s="2">
        <v>2</v>
      </c>
      <c r="C848" s="2">
        <v>76</v>
      </c>
      <c r="D848" s="2">
        <v>2</v>
      </c>
      <c r="E848" s="2">
        <v>28</v>
      </c>
      <c r="G848" s="2">
        <v>1</v>
      </c>
      <c r="H848" s="2">
        <v>39</v>
      </c>
      <c r="I848" s="2">
        <v>13184495</v>
      </c>
      <c r="J848" s="2" t="s">
        <v>221</v>
      </c>
      <c r="K848" s="2" t="s">
        <v>350</v>
      </c>
      <c r="L848" s="2" t="str">
        <f>"63445030125021"</f>
        <v>63445030125021</v>
      </c>
      <c r="M848" s="2" t="s">
        <v>2</v>
      </c>
      <c r="N848" s="18">
        <v>31571</v>
      </c>
      <c r="O848" s="2" t="s">
        <v>661</v>
      </c>
    </row>
    <row r="849" spans="1:15" s="2" customFormat="1" x14ac:dyDescent="0.25">
      <c r="A849" s="2">
        <v>849</v>
      </c>
      <c r="B849" s="2">
        <v>2</v>
      </c>
      <c r="C849" s="2">
        <v>76</v>
      </c>
      <c r="D849" s="2">
        <v>2</v>
      </c>
      <c r="E849" s="2">
        <v>28</v>
      </c>
      <c r="G849" s="2">
        <v>1</v>
      </c>
      <c r="H849" s="2">
        <v>39</v>
      </c>
      <c r="I849" s="2">
        <v>13184496</v>
      </c>
      <c r="J849" s="2" t="s">
        <v>221</v>
      </c>
      <c r="K849" s="2" t="s">
        <v>350</v>
      </c>
      <c r="L849" s="2" t="str">
        <f>"63445030125022"</f>
        <v>63445030125022</v>
      </c>
      <c r="M849" s="2" t="s">
        <v>2</v>
      </c>
      <c r="N849" s="18">
        <v>31572</v>
      </c>
      <c r="O849" s="2" t="s">
        <v>661</v>
      </c>
    </row>
    <row r="850" spans="1:15" s="2" customFormat="1" x14ac:dyDescent="0.25">
      <c r="A850" s="2">
        <v>850</v>
      </c>
      <c r="B850" s="2">
        <v>2</v>
      </c>
      <c r="C850" s="2">
        <v>76</v>
      </c>
      <c r="D850" s="2">
        <v>2</v>
      </c>
      <c r="E850" s="2">
        <v>29</v>
      </c>
      <c r="G850" s="2">
        <v>1</v>
      </c>
      <c r="H850" s="2">
        <v>39</v>
      </c>
      <c r="I850" s="2">
        <v>13184497</v>
      </c>
      <c r="J850" s="2" t="s">
        <v>221</v>
      </c>
      <c r="K850" s="2" t="s">
        <v>350</v>
      </c>
      <c r="L850" s="2" t="str">
        <f>"63445030125023"</f>
        <v>63445030125023</v>
      </c>
      <c r="M850" s="2" t="s">
        <v>2</v>
      </c>
      <c r="N850" s="18">
        <v>31573</v>
      </c>
      <c r="O850" s="2" t="s">
        <v>661</v>
      </c>
    </row>
    <row r="851" spans="1:15" s="2" customFormat="1" x14ac:dyDescent="0.25">
      <c r="A851" s="2">
        <v>851</v>
      </c>
      <c r="B851" s="2">
        <v>2</v>
      </c>
      <c r="C851" s="2">
        <v>76</v>
      </c>
      <c r="D851" s="2">
        <v>2</v>
      </c>
      <c r="E851" s="2">
        <v>20</v>
      </c>
      <c r="G851" s="2">
        <v>1</v>
      </c>
      <c r="H851" s="2">
        <v>39</v>
      </c>
      <c r="I851" s="2">
        <v>13184498</v>
      </c>
      <c r="J851" s="2" t="s">
        <v>221</v>
      </c>
      <c r="K851" s="2" t="s">
        <v>350</v>
      </c>
      <c r="L851" s="2" t="str">
        <f>"63445030125024"</f>
        <v>63445030125024</v>
      </c>
      <c r="M851" s="2" t="s">
        <v>2</v>
      </c>
      <c r="N851" s="18">
        <v>31574</v>
      </c>
      <c r="O851" s="2" t="s">
        <v>661</v>
      </c>
    </row>
    <row r="852" spans="1:15" s="2" customFormat="1" x14ac:dyDescent="0.25">
      <c r="A852" s="2">
        <v>852</v>
      </c>
      <c r="B852" s="2">
        <v>2</v>
      </c>
      <c r="C852" s="2">
        <v>76</v>
      </c>
      <c r="D852" s="2">
        <v>2</v>
      </c>
      <c r="E852" s="2">
        <v>26</v>
      </c>
      <c r="G852" s="2">
        <v>1</v>
      </c>
      <c r="H852" s="2">
        <v>39</v>
      </c>
      <c r="I852" s="2">
        <v>13182055</v>
      </c>
      <c r="J852" s="2" t="s">
        <v>222</v>
      </c>
      <c r="K852" s="2" t="s">
        <v>350</v>
      </c>
      <c r="L852" s="2" t="str">
        <f>"63445040501005"</f>
        <v>63445040501005</v>
      </c>
      <c r="M852" s="2" t="s">
        <v>2</v>
      </c>
      <c r="N852" s="18">
        <v>31575</v>
      </c>
      <c r="O852" s="2" t="s">
        <v>662</v>
      </c>
    </row>
    <row r="853" spans="1:15" s="2" customFormat="1" x14ac:dyDescent="0.25">
      <c r="A853" s="2">
        <v>853</v>
      </c>
      <c r="B853" s="2">
        <v>2</v>
      </c>
      <c r="C853" s="2">
        <v>76</v>
      </c>
      <c r="D853" s="2">
        <v>2</v>
      </c>
      <c r="E853" s="2">
        <v>2</v>
      </c>
      <c r="G853" s="2">
        <v>1</v>
      </c>
      <c r="H853" s="2">
        <v>39</v>
      </c>
      <c r="I853" s="2">
        <v>13182056</v>
      </c>
      <c r="J853" s="2" t="s">
        <v>222</v>
      </c>
      <c r="K853" s="2" t="s">
        <v>350</v>
      </c>
      <c r="L853" s="2" t="str">
        <f>"63445040501006"</f>
        <v>63445040501006</v>
      </c>
      <c r="M853" s="2" t="s">
        <v>2</v>
      </c>
      <c r="N853" s="18">
        <v>31576</v>
      </c>
      <c r="O853" s="2" t="s">
        <v>662</v>
      </c>
    </row>
    <row r="854" spans="1:15" s="2" customFormat="1" x14ac:dyDescent="0.25">
      <c r="A854" s="2">
        <v>854</v>
      </c>
      <c r="B854" s="2">
        <v>2</v>
      </c>
      <c r="C854" s="2">
        <v>76</v>
      </c>
      <c r="D854" s="2">
        <v>2</v>
      </c>
      <c r="E854" s="2">
        <v>2</v>
      </c>
      <c r="G854" s="2">
        <v>1</v>
      </c>
      <c r="H854" s="2">
        <v>39</v>
      </c>
      <c r="I854" s="2">
        <v>13182057</v>
      </c>
      <c r="J854" s="2" t="s">
        <v>222</v>
      </c>
      <c r="K854" s="2" t="s">
        <v>350</v>
      </c>
      <c r="L854" s="2" t="str">
        <f>"63445040501007"</f>
        <v>63445040501007</v>
      </c>
      <c r="M854" s="2" t="s">
        <v>2</v>
      </c>
      <c r="N854" s="18">
        <v>31577</v>
      </c>
      <c r="O854" s="2" t="s">
        <v>662</v>
      </c>
    </row>
    <row r="855" spans="1:15" s="2" customFormat="1" x14ac:dyDescent="0.25">
      <c r="A855" s="2">
        <v>855</v>
      </c>
      <c r="B855" s="2">
        <v>2</v>
      </c>
      <c r="C855" s="2">
        <v>76</v>
      </c>
      <c r="D855" s="2">
        <v>2</v>
      </c>
      <c r="E855" s="2">
        <v>2</v>
      </c>
      <c r="G855" s="2">
        <v>1</v>
      </c>
      <c r="H855" s="2">
        <v>39</v>
      </c>
      <c r="I855" s="2">
        <v>13182058</v>
      </c>
      <c r="J855" s="2" t="s">
        <v>222</v>
      </c>
      <c r="K855" s="2" t="s">
        <v>350</v>
      </c>
      <c r="L855" s="2" t="str">
        <f>"63445040501008"</f>
        <v>63445040501008</v>
      </c>
      <c r="M855" s="2" t="s">
        <v>2</v>
      </c>
      <c r="N855" s="18">
        <v>31578</v>
      </c>
      <c r="O855" s="2" t="s">
        <v>662</v>
      </c>
    </row>
    <row r="856" spans="1:15" s="2" customFormat="1" x14ac:dyDescent="0.25">
      <c r="A856" s="2">
        <v>856</v>
      </c>
      <c r="B856" s="2">
        <v>2</v>
      </c>
      <c r="C856" s="2">
        <v>76</v>
      </c>
      <c r="D856" s="2">
        <v>2</v>
      </c>
      <c r="E856" s="2">
        <v>2</v>
      </c>
      <c r="G856" s="2">
        <v>1</v>
      </c>
      <c r="H856" s="2">
        <v>39</v>
      </c>
      <c r="I856" s="2">
        <v>13182059</v>
      </c>
      <c r="J856" s="2" t="s">
        <v>222</v>
      </c>
      <c r="K856" s="2" t="s">
        <v>350</v>
      </c>
      <c r="L856" s="2" t="str">
        <f>"63445040501009"</f>
        <v>63445040501009</v>
      </c>
      <c r="M856" s="2" t="s">
        <v>2</v>
      </c>
      <c r="N856" s="18">
        <v>31579</v>
      </c>
      <c r="O856" s="2" t="s">
        <v>662</v>
      </c>
    </row>
    <row r="857" spans="1:15" s="2" customFormat="1" x14ac:dyDescent="0.25">
      <c r="A857" s="2">
        <v>857</v>
      </c>
      <c r="B857" s="2">
        <v>2</v>
      </c>
      <c r="C857" s="2">
        <v>76</v>
      </c>
      <c r="D857" s="2">
        <v>2</v>
      </c>
      <c r="E857" s="2">
        <v>2</v>
      </c>
      <c r="G857" s="2">
        <v>1</v>
      </c>
      <c r="H857" s="2">
        <v>39</v>
      </c>
      <c r="I857" s="2">
        <v>13182060</v>
      </c>
      <c r="J857" s="2" t="s">
        <v>222</v>
      </c>
      <c r="K857" s="2" t="s">
        <v>350</v>
      </c>
      <c r="L857" s="2" t="str">
        <f>"63445040501010"</f>
        <v>63445040501010</v>
      </c>
      <c r="M857" s="2" t="s">
        <v>2</v>
      </c>
      <c r="N857" s="18">
        <v>31580</v>
      </c>
      <c r="O857" s="2" t="s">
        <v>662</v>
      </c>
    </row>
    <row r="858" spans="1:15" s="2" customFormat="1" x14ac:dyDescent="0.25">
      <c r="A858" s="2">
        <v>858</v>
      </c>
      <c r="B858" s="2">
        <v>2</v>
      </c>
      <c r="C858" s="2">
        <v>76</v>
      </c>
      <c r="D858" s="2">
        <v>2</v>
      </c>
      <c r="E858" s="2">
        <v>2</v>
      </c>
      <c r="G858" s="2">
        <v>1</v>
      </c>
      <c r="H858" s="2">
        <v>39</v>
      </c>
      <c r="I858" s="2">
        <v>13182061</v>
      </c>
      <c r="J858" s="2" t="s">
        <v>222</v>
      </c>
      <c r="K858" s="2" t="s">
        <v>350</v>
      </c>
      <c r="L858" s="2" t="str">
        <f>"63445040501011"</f>
        <v>63445040501011</v>
      </c>
      <c r="M858" s="2" t="s">
        <v>2</v>
      </c>
      <c r="N858" s="18">
        <v>31581</v>
      </c>
      <c r="O858" s="2" t="s">
        <v>662</v>
      </c>
    </row>
    <row r="859" spans="1:15" s="2" customFormat="1" x14ac:dyDescent="0.25">
      <c r="A859" s="2">
        <v>859</v>
      </c>
      <c r="B859" s="2">
        <v>2</v>
      </c>
      <c r="C859" s="2">
        <v>76</v>
      </c>
      <c r="D859" s="2">
        <v>2</v>
      </c>
      <c r="E859" s="2">
        <v>2</v>
      </c>
      <c r="G859" s="2">
        <v>1</v>
      </c>
      <c r="H859" s="2">
        <v>39</v>
      </c>
      <c r="I859" s="2">
        <v>13182062</v>
      </c>
      <c r="J859" s="2" t="s">
        <v>222</v>
      </c>
      <c r="K859" s="2" t="s">
        <v>350</v>
      </c>
      <c r="L859" s="2" t="str">
        <f>"63445040501012"</f>
        <v>63445040501012</v>
      </c>
      <c r="M859" s="2" t="s">
        <v>2</v>
      </c>
      <c r="N859" s="18">
        <v>31582</v>
      </c>
      <c r="O859" s="2" t="s">
        <v>662</v>
      </c>
    </row>
    <row r="860" spans="1:15" s="2" customFormat="1" x14ac:dyDescent="0.25">
      <c r="A860" s="2">
        <v>860</v>
      </c>
      <c r="B860" s="2">
        <v>2</v>
      </c>
      <c r="C860" s="2">
        <v>76</v>
      </c>
      <c r="D860" s="2">
        <v>2</v>
      </c>
      <c r="E860" s="2">
        <v>2</v>
      </c>
      <c r="G860" s="2">
        <v>1</v>
      </c>
      <c r="H860" s="2">
        <v>39</v>
      </c>
      <c r="I860" s="2">
        <v>13182063</v>
      </c>
      <c r="J860" s="2" t="s">
        <v>222</v>
      </c>
      <c r="K860" s="2" t="s">
        <v>350</v>
      </c>
      <c r="L860" s="2" t="str">
        <f>"63445040501013"</f>
        <v>63445040501013</v>
      </c>
      <c r="M860" s="2" t="s">
        <v>2</v>
      </c>
      <c r="N860" s="18">
        <v>31583</v>
      </c>
      <c r="O860" s="2" t="s">
        <v>662</v>
      </c>
    </row>
    <row r="861" spans="1:15" s="2" customFormat="1" x14ac:dyDescent="0.25">
      <c r="A861" s="2">
        <v>861</v>
      </c>
      <c r="B861" s="2">
        <v>2</v>
      </c>
      <c r="C861" s="2">
        <v>76</v>
      </c>
      <c r="D861" s="2">
        <v>2</v>
      </c>
      <c r="E861" s="2">
        <v>2</v>
      </c>
      <c r="G861" s="2">
        <v>1</v>
      </c>
      <c r="H861" s="2">
        <v>39</v>
      </c>
      <c r="I861" s="2">
        <v>13182064</v>
      </c>
      <c r="J861" s="2" t="s">
        <v>222</v>
      </c>
      <c r="K861" s="2" t="s">
        <v>350</v>
      </c>
      <c r="L861" s="2" t="str">
        <f>"63445040501014"</f>
        <v>63445040501014</v>
      </c>
      <c r="M861" s="2" t="s">
        <v>2</v>
      </c>
      <c r="N861" s="18">
        <v>31584</v>
      </c>
      <c r="O861" s="2" t="s">
        <v>662</v>
      </c>
    </row>
    <row r="862" spans="1:15" s="2" customFormat="1" x14ac:dyDescent="0.25">
      <c r="A862" s="2">
        <v>862</v>
      </c>
      <c r="B862" s="2">
        <v>2</v>
      </c>
      <c r="C862" s="2">
        <v>76</v>
      </c>
      <c r="D862" s="2">
        <v>2</v>
      </c>
      <c r="E862" s="2">
        <v>2</v>
      </c>
      <c r="G862" s="2">
        <v>1</v>
      </c>
      <c r="H862" s="2">
        <v>39</v>
      </c>
      <c r="I862" s="2">
        <v>13182065</v>
      </c>
      <c r="J862" s="2" t="s">
        <v>222</v>
      </c>
      <c r="K862" s="2" t="s">
        <v>350</v>
      </c>
      <c r="L862" s="2" t="str">
        <f>"63445040501015"</f>
        <v>63445040501015</v>
      </c>
      <c r="M862" s="2" t="s">
        <v>2</v>
      </c>
      <c r="N862" s="18">
        <v>31585</v>
      </c>
      <c r="O862" s="2" t="s">
        <v>662</v>
      </c>
    </row>
    <row r="863" spans="1:15" s="2" customFormat="1" x14ac:dyDescent="0.25">
      <c r="A863" s="2">
        <v>863</v>
      </c>
      <c r="B863" s="2">
        <v>2</v>
      </c>
      <c r="C863" s="2">
        <v>76</v>
      </c>
      <c r="D863" s="2">
        <v>2</v>
      </c>
      <c r="E863" s="2">
        <v>2</v>
      </c>
      <c r="G863" s="2">
        <v>1</v>
      </c>
      <c r="H863" s="2">
        <v>39</v>
      </c>
      <c r="I863" s="2">
        <v>13182066</v>
      </c>
      <c r="J863" s="2" t="s">
        <v>222</v>
      </c>
      <c r="K863" s="2" t="s">
        <v>350</v>
      </c>
      <c r="L863" s="2" t="str">
        <f>"63445040501016"</f>
        <v>63445040501016</v>
      </c>
      <c r="M863" s="2" t="s">
        <v>2</v>
      </c>
      <c r="N863" s="18">
        <v>31586</v>
      </c>
      <c r="O863" s="2" t="s">
        <v>662</v>
      </c>
    </row>
    <row r="864" spans="1:15" s="2" customFormat="1" x14ac:dyDescent="0.25">
      <c r="A864" s="2">
        <v>864</v>
      </c>
      <c r="B864" s="2">
        <v>2</v>
      </c>
      <c r="C864" s="2">
        <v>76</v>
      </c>
      <c r="D864" s="2">
        <v>2</v>
      </c>
      <c r="E864" s="2">
        <v>2</v>
      </c>
      <c r="G864" s="2">
        <v>1</v>
      </c>
      <c r="H864" s="2">
        <v>39</v>
      </c>
      <c r="I864" s="2">
        <v>13182067</v>
      </c>
      <c r="J864" s="2" t="s">
        <v>222</v>
      </c>
      <c r="K864" s="2" t="s">
        <v>350</v>
      </c>
      <c r="L864" s="2" t="str">
        <f>"63445040501017"</f>
        <v>63445040501017</v>
      </c>
      <c r="M864" s="2" t="s">
        <v>2</v>
      </c>
      <c r="N864" s="18">
        <v>31587</v>
      </c>
      <c r="O864" s="2" t="s">
        <v>662</v>
      </c>
    </row>
    <row r="865" spans="1:15" s="2" customFormat="1" x14ac:dyDescent="0.25">
      <c r="A865" s="2">
        <v>865</v>
      </c>
      <c r="B865" s="2">
        <v>2</v>
      </c>
      <c r="C865" s="2">
        <v>76</v>
      </c>
      <c r="D865" s="2">
        <v>2</v>
      </c>
      <c r="E865" s="2">
        <v>2</v>
      </c>
      <c r="G865" s="2">
        <v>1</v>
      </c>
      <c r="H865" s="2">
        <v>39</v>
      </c>
      <c r="I865" s="2">
        <v>13182068</v>
      </c>
      <c r="J865" s="2" t="s">
        <v>222</v>
      </c>
      <c r="K865" s="2" t="s">
        <v>350</v>
      </c>
      <c r="L865" s="2" t="str">
        <f>"63445040501018"</f>
        <v>63445040501018</v>
      </c>
      <c r="M865" s="2" t="s">
        <v>2</v>
      </c>
      <c r="N865" s="18">
        <v>31588</v>
      </c>
      <c r="O865" s="2" t="s">
        <v>662</v>
      </c>
    </row>
    <row r="866" spans="1:15" s="2" customFormat="1" x14ac:dyDescent="0.25">
      <c r="A866" s="2">
        <v>866</v>
      </c>
      <c r="B866" s="2">
        <v>2</v>
      </c>
      <c r="C866" s="2">
        <v>76</v>
      </c>
      <c r="D866" s="2">
        <v>2</v>
      </c>
      <c r="E866" s="2">
        <v>2</v>
      </c>
      <c r="G866" s="2">
        <v>1</v>
      </c>
      <c r="H866" s="2">
        <v>39</v>
      </c>
      <c r="I866" s="2">
        <v>13182069</v>
      </c>
      <c r="J866" s="2" t="s">
        <v>222</v>
      </c>
      <c r="K866" s="2" t="s">
        <v>350</v>
      </c>
      <c r="L866" s="2" t="str">
        <f>"63445040501019"</f>
        <v>63445040501019</v>
      </c>
      <c r="M866" s="2" t="s">
        <v>2</v>
      </c>
      <c r="N866" s="18">
        <v>31589</v>
      </c>
      <c r="O866" s="2" t="s">
        <v>662</v>
      </c>
    </row>
    <row r="867" spans="1:15" s="2" customFormat="1" x14ac:dyDescent="0.25">
      <c r="A867" s="2">
        <v>867</v>
      </c>
      <c r="B867" s="2">
        <v>2</v>
      </c>
      <c r="C867" s="2">
        <v>76</v>
      </c>
      <c r="D867" s="2">
        <v>2</v>
      </c>
      <c r="E867" s="2">
        <v>2</v>
      </c>
      <c r="G867" s="2">
        <v>1</v>
      </c>
      <c r="H867" s="2">
        <v>39</v>
      </c>
      <c r="I867" s="2">
        <v>13182070</v>
      </c>
      <c r="J867" s="2" t="s">
        <v>222</v>
      </c>
      <c r="K867" s="2" t="s">
        <v>350</v>
      </c>
      <c r="L867" s="2" t="str">
        <f>"63445040501020"</f>
        <v>63445040501020</v>
      </c>
      <c r="M867" s="2" t="s">
        <v>2</v>
      </c>
      <c r="N867" s="18">
        <v>31590</v>
      </c>
      <c r="O867" s="2" t="s">
        <v>662</v>
      </c>
    </row>
    <row r="868" spans="1:15" s="2" customFormat="1" x14ac:dyDescent="0.25">
      <c r="A868" s="2">
        <v>868</v>
      </c>
      <c r="B868" s="2">
        <v>2</v>
      </c>
      <c r="C868" s="2">
        <v>76</v>
      </c>
      <c r="D868" s="2">
        <v>2</v>
      </c>
      <c r="E868" s="2">
        <v>2</v>
      </c>
      <c r="G868" s="2">
        <v>1</v>
      </c>
      <c r="H868" s="2">
        <v>39</v>
      </c>
      <c r="I868" s="2">
        <v>13182071</v>
      </c>
      <c r="J868" s="2" t="s">
        <v>222</v>
      </c>
      <c r="K868" s="2" t="s">
        <v>350</v>
      </c>
      <c r="L868" s="2" t="str">
        <f>"63445040501021"</f>
        <v>63445040501021</v>
      </c>
      <c r="M868" s="2" t="s">
        <v>2</v>
      </c>
      <c r="N868" s="18">
        <v>31591</v>
      </c>
      <c r="O868" s="2" t="s">
        <v>662</v>
      </c>
    </row>
    <row r="869" spans="1:15" s="2" customFormat="1" x14ac:dyDescent="0.25">
      <c r="A869" s="2">
        <v>869</v>
      </c>
      <c r="B869" s="2">
        <v>2</v>
      </c>
      <c r="C869" s="2">
        <v>76</v>
      </c>
      <c r="D869" s="2">
        <v>2</v>
      </c>
      <c r="E869" s="2">
        <v>2</v>
      </c>
      <c r="G869" s="2">
        <v>1</v>
      </c>
      <c r="H869" s="2">
        <v>39</v>
      </c>
      <c r="I869" s="2">
        <v>13182072</v>
      </c>
      <c r="J869" s="2" t="s">
        <v>222</v>
      </c>
      <c r="K869" s="2" t="s">
        <v>350</v>
      </c>
      <c r="L869" s="2" t="str">
        <f>"63445040501022"</f>
        <v>63445040501022</v>
      </c>
      <c r="M869" s="2" t="s">
        <v>2</v>
      </c>
      <c r="N869" s="18">
        <v>31592</v>
      </c>
      <c r="O869" s="2" t="s">
        <v>662</v>
      </c>
    </row>
    <row r="870" spans="1:15" s="2" customFormat="1" x14ac:dyDescent="0.25">
      <c r="A870" s="2">
        <v>870</v>
      </c>
      <c r="B870" s="2">
        <v>2</v>
      </c>
      <c r="C870" s="2">
        <v>76</v>
      </c>
      <c r="D870" s="2">
        <v>2</v>
      </c>
      <c r="E870" s="2">
        <v>2</v>
      </c>
      <c r="G870" s="2">
        <v>1</v>
      </c>
      <c r="H870" s="2">
        <v>39</v>
      </c>
      <c r="I870" s="2">
        <v>13182073</v>
      </c>
      <c r="J870" s="2" t="s">
        <v>222</v>
      </c>
      <c r="K870" s="2" t="s">
        <v>350</v>
      </c>
      <c r="L870" s="2" t="str">
        <f>"63445040501023"</f>
        <v>63445040501023</v>
      </c>
      <c r="M870" s="2" t="s">
        <v>2</v>
      </c>
      <c r="N870" s="18">
        <v>31593</v>
      </c>
      <c r="O870" s="2" t="s">
        <v>662</v>
      </c>
    </row>
    <row r="871" spans="1:15" s="2" customFormat="1" x14ac:dyDescent="0.25">
      <c r="A871" s="2">
        <v>871</v>
      </c>
      <c r="B871" s="2">
        <v>2</v>
      </c>
      <c r="C871" s="2">
        <v>76</v>
      </c>
      <c r="D871" s="2">
        <v>2</v>
      </c>
      <c r="E871" s="2">
        <v>2</v>
      </c>
      <c r="G871" s="2">
        <v>1</v>
      </c>
      <c r="H871" s="2">
        <v>39</v>
      </c>
      <c r="I871" s="2">
        <v>13182074</v>
      </c>
      <c r="J871" s="2" t="s">
        <v>222</v>
      </c>
      <c r="K871" s="2" t="s">
        <v>350</v>
      </c>
      <c r="L871" s="2" t="str">
        <f>"63445040501024"</f>
        <v>63445040501024</v>
      </c>
      <c r="M871" s="2" t="s">
        <v>2</v>
      </c>
      <c r="N871" s="18">
        <v>31594</v>
      </c>
      <c r="O871" s="2" t="s">
        <v>662</v>
      </c>
    </row>
    <row r="872" spans="1:15" s="2" customFormat="1" x14ac:dyDescent="0.25">
      <c r="A872" s="2">
        <v>872</v>
      </c>
      <c r="B872" s="2">
        <v>1</v>
      </c>
      <c r="C872" s="2">
        <v>3</v>
      </c>
      <c r="D872" s="2">
        <v>1</v>
      </c>
      <c r="E872" s="2">
        <v>20</v>
      </c>
      <c r="G872" s="2">
        <v>1</v>
      </c>
      <c r="H872" s="2">
        <v>4</v>
      </c>
      <c r="I872" s="2">
        <v>6794444</v>
      </c>
      <c r="J872" s="2" t="s">
        <v>264</v>
      </c>
      <c r="K872" s="2" t="s">
        <v>663</v>
      </c>
      <c r="L872" s="2" t="str">
        <f>"1D5020345076"</f>
        <v>1D5020345076</v>
      </c>
      <c r="M872" s="2" t="s">
        <v>2</v>
      </c>
      <c r="N872" s="18">
        <v>31595</v>
      </c>
      <c r="O872" s="2" t="s">
        <v>664</v>
      </c>
    </row>
    <row r="873" spans="1:15" s="2" customFormat="1" x14ac:dyDescent="0.25">
      <c r="A873" s="2">
        <v>873</v>
      </c>
      <c r="B873" s="2">
        <v>1</v>
      </c>
      <c r="C873" s="2">
        <v>3</v>
      </c>
      <c r="D873" s="2">
        <v>1</v>
      </c>
      <c r="E873" s="2">
        <v>20</v>
      </c>
      <c r="G873" s="2">
        <v>1</v>
      </c>
      <c r="H873" s="2">
        <v>4</v>
      </c>
      <c r="I873" s="2">
        <v>6794445</v>
      </c>
      <c r="J873" s="2" t="s">
        <v>264</v>
      </c>
      <c r="K873" s="2" t="s">
        <v>663</v>
      </c>
      <c r="L873" s="2" t="str">
        <f>"1D4720128525"</f>
        <v>1D4720128525</v>
      </c>
      <c r="M873" s="2" t="s">
        <v>2</v>
      </c>
      <c r="N873" s="18">
        <v>31596</v>
      </c>
      <c r="O873" s="2" t="s">
        <v>664</v>
      </c>
    </row>
    <row r="874" spans="1:15" s="2" customFormat="1" x14ac:dyDescent="0.25">
      <c r="A874" s="2">
        <v>874</v>
      </c>
      <c r="B874" s="2">
        <v>1</v>
      </c>
      <c r="C874" s="2">
        <v>3</v>
      </c>
      <c r="D874" s="2">
        <v>1</v>
      </c>
      <c r="E874" s="2">
        <v>20</v>
      </c>
      <c r="G874" s="2">
        <v>1</v>
      </c>
      <c r="H874" s="2">
        <v>4</v>
      </c>
      <c r="I874" s="2">
        <v>6794446</v>
      </c>
      <c r="J874" s="2" t="s">
        <v>264</v>
      </c>
      <c r="K874" s="2" t="s">
        <v>663</v>
      </c>
      <c r="L874" s="2" t="str">
        <f>"1D4720128526"</f>
        <v>1D4720128526</v>
      </c>
      <c r="M874" s="2" t="s">
        <v>2</v>
      </c>
      <c r="N874" s="18">
        <v>31597</v>
      </c>
      <c r="O874" s="2" t="s">
        <v>664</v>
      </c>
    </row>
    <row r="875" spans="1:15" s="2" customFormat="1" x14ac:dyDescent="0.25">
      <c r="A875" s="2">
        <v>875</v>
      </c>
      <c r="B875" s="2">
        <v>1</v>
      </c>
      <c r="C875" s="2">
        <v>56</v>
      </c>
      <c r="D875" s="2">
        <v>1</v>
      </c>
      <c r="E875" s="2">
        <v>24</v>
      </c>
      <c r="G875" s="2">
        <v>1</v>
      </c>
      <c r="H875" s="2">
        <v>4</v>
      </c>
      <c r="I875" s="2">
        <v>6794474</v>
      </c>
      <c r="J875" s="2" t="s">
        <v>251</v>
      </c>
      <c r="K875" s="2" t="s">
        <v>626</v>
      </c>
      <c r="L875" s="2" t="str">
        <f>"402702E486DD"</f>
        <v>402702E486DD</v>
      </c>
      <c r="M875" s="2" t="s">
        <v>2</v>
      </c>
      <c r="N875" s="18">
        <v>31598</v>
      </c>
      <c r="O875" s="2" t="s">
        <v>627</v>
      </c>
    </row>
    <row r="876" spans="1:15" s="2" customFormat="1" x14ac:dyDescent="0.25">
      <c r="A876" s="2">
        <v>876</v>
      </c>
      <c r="B876" s="2">
        <v>1</v>
      </c>
      <c r="C876" s="2">
        <v>34</v>
      </c>
      <c r="D876" s="2">
        <v>1</v>
      </c>
      <c r="E876" s="2">
        <v>17</v>
      </c>
      <c r="G876" s="2">
        <v>1</v>
      </c>
      <c r="H876" s="2">
        <v>4</v>
      </c>
      <c r="I876" s="2">
        <v>6794478</v>
      </c>
      <c r="J876" s="2" t="s">
        <v>249</v>
      </c>
      <c r="K876" s="2" t="s">
        <v>571</v>
      </c>
      <c r="L876" s="2" t="str">
        <f>"759826"</f>
        <v>759826</v>
      </c>
      <c r="M876" s="2" t="s">
        <v>2</v>
      </c>
      <c r="N876" s="18">
        <v>31599</v>
      </c>
      <c r="O876" s="2" t="s">
        <v>665</v>
      </c>
    </row>
    <row r="877" spans="1:15" s="2" customFormat="1" x14ac:dyDescent="0.25">
      <c r="A877" s="2">
        <v>877</v>
      </c>
      <c r="B877" s="2">
        <v>2</v>
      </c>
      <c r="C877" s="2">
        <v>27</v>
      </c>
      <c r="D877" s="2">
        <v>1</v>
      </c>
      <c r="E877" s="2">
        <v>20</v>
      </c>
      <c r="G877" s="2">
        <v>1</v>
      </c>
      <c r="H877" s="2">
        <v>39</v>
      </c>
      <c r="I877" s="2">
        <v>13182049</v>
      </c>
      <c r="J877" s="2" t="s">
        <v>265</v>
      </c>
      <c r="K877" s="2" t="s">
        <v>666</v>
      </c>
      <c r="L877" s="2" t="str">
        <f>"63445040409001"</f>
        <v>63445040409001</v>
      </c>
      <c r="M877" s="2" t="s">
        <v>2</v>
      </c>
      <c r="N877" s="18">
        <v>31600</v>
      </c>
      <c r="O877" s="2" t="s">
        <v>667</v>
      </c>
    </row>
    <row r="878" spans="1:15" s="2" customFormat="1" x14ac:dyDescent="0.25">
      <c r="A878" s="2">
        <v>878</v>
      </c>
      <c r="B878" s="2">
        <v>2</v>
      </c>
      <c r="C878" s="2">
        <v>27</v>
      </c>
      <c r="D878" s="2">
        <v>1</v>
      </c>
      <c r="E878" s="2">
        <v>20</v>
      </c>
      <c r="G878" s="2">
        <v>1</v>
      </c>
      <c r="H878" s="2">
        <v>39</v>
      </c>
      <c r="I878" s="2">
        <v>13182050</v>
      </c>
      <c r="J878" s="2" t="s">
        <v>265</v>
      </c>
      <c r="K878" s="2" t="s">
        <v>666</v>
      </c>
      <c r="L878" s="2" t="str">
        <f>"63445040409002"</f>
        <v>63445040409002</v>
      </c>
      <c r="M878" s="2" t="s">
        <v>2</v>
      </c>
      <c r="N878" s="18">
        <v>31601</v>
      </c>
      <c r="O878" s="2" t="s">
        <v>668</v>
      </c>
    </row>
    <row r="879" spans="1:15" s="2" customFormat="1" x14ac:dyDescent="0.25">
      <c r="A879" s="2">
        <v>879</v>
      </c>
      <c r="B879" s="2">
        <v>2</v>
      </c>
      <c r="C879" s="2">
        <v>76</v>
      </c>
      <c r="D879" s="2">
        <v>1</v>
      </c>
      <c r="E879" s="2">
        <v>20</v>
      </c>
      <c r="G879" s="2">
        <v>1</v>
      </c>
      <c r="H879" s="2">
        <v>39</v>
      </c>
      <c r="I879" s="2">
        <v>13184304</v>
      </c>
      <c r="J879" s="2" t="s">
        <v>174</v>
      </c>
      <c r="K879" s="2" t="s">
        <v>356</v>
      </c>
      <c r="L879" s="2" t="str">
        <f>"63445030111009"</f>
        <v>63445030111009</v>
      </c>
      <c r="M879" s="2" t="s">
        <v>2</v>
      </c>
      <c r="N879" s="18">
        <v>31602</v>
      </c>
      <c r="O879" s="2" t="s">
        <v>669</v>
      </c>
    </row>
    <row r="880" spans="1:15" s="2" customFormat="1" x14ac:dyDescent="0.25">
      <c r="A880" s="2">
        <v>880</v>
      </c>
      <c r="B880" s="2">
        <v>2</v>
      </c>
      <c r="C880" s="2">
        <v>76</v>
      </c>
      <c r="D880" s="2">
        <v>1</v>
      </c>
      <c r="E880" s="2">
        <v>20</v>
      </c>
      <c r="G880" s="2">
        <v>1</v>
      </c>
      <c r="H880" s="2">
        <v>39</v>
      </c>
      <c r="I880" s="2">
        <v>13184305</v>
      </c>
      <c r="J880" s="2" t="s">
        <v>174</v>
      </c>
      <c r="K880" s="2" t="s">
        <v>356</v>
      </c>
      <c r="L880" s="2" t="str">
        <f>"63445030111010"</f>
        <v>63445030111010</v>
      </c>
      <c r="M880" s="2" t="s">
        <v>2</v>
      </c>
      <c r="N880" s="18">
        <v>31603</v>
      </c>
      <c r="O880" s="2" t="s">
        <v>669</v>
      </c>
    </row>
    <row r="881" spans="1:15" s="2" customFormat="1" x14ac:dyDescent="0.25">
      <c r="A881" s="2">
        <v>881</v>
      </c>
      <c r="B881" s="2">
        <v>2</v>
      </c>
      <c r="C881" s="2">
        <v>76</v>
      </c>
      <c r="D881" s="2">
        <v>1</v>
      </c>
      <c r="E881" s="2">
        <v>20</v>
      </c>
      <c r="G881" s="2">
        <v>1</v>
      </c>
      <c r="H881" s="2">
        <v>39</v>
      </c>
      <c r="I881" s="2">
        <v>13184306</v>
      </c>
      <c r="J881" s="2" t="s">
        <v>174</v>
      </c>
      <c r="K881" s="2" t="s">
        <v>356</v>
      </c>
      <c r="L881" s="2" t="str">
        <f>"63445030111011"</f>
        <v>63445030111011</v>
      </c>
      <c r="M881" s="2" t="s">
        <v>2</v>
      </c>
      <c r="N881" s="18">
        <v>31604</v>
      </c>
      <c r="O881" s="2" t="s">
        <v>669</v>
      </c>
    </row>
    <row r="882" spans="1:15" s="2" customFormat="1" x14ac:dyDescent="0.25">
      <c r="A882" s="2">
        <v>882</v>
      </c>
      <c r="B882" s="2">
        <v>2</v>
      </c>
      <c r="C882" s="2">
        <v>76</v>
      </c>
      <c r="D882" s="2">
        <v>1</v>
      </c>
      <c r="E882" s="2">
        <v>20</v>
      </c>
      <c r="G882" s="2">
        <v>1</v>
      </c>
      <c r="H882" s="2">
        <v>39</v>
      </c>
      <c r="I882" s="2">
        <v>13184307</v>
      </c>
      <c r="J882" s="2" t="s">
        <v>174</v>
      </c>
      <c r="K882" s="2" t="s">
        <v>356</v>
      </c>
      <c r="L882" s="2" t="str">
        <f>"63445030111012"</f>
        <v>63445030111012</v>
      </c>
      <c r="M882" s="2" t="s">
        <v>2</v>
      </c>
      <c r="N882" s="18">
        <v>31605</v>
      </c>
      <c r="O882" s="2" t="s">
        <v>670</v>
      </c>
    </row>
    <row r="883" spans="1:15" s="2" customFormat="1" x14ac:dyDescent="0.25">
      <c r="A883" s="2">
        <v>883</v>
      </c>
      <c r="B883" s="2">
        <v>2</v>
      </c>
      <c r="C883" s="2">
        <v>76</v>
      </c>
      <c r="D883" s="2">
        <v>1</v>
      </c>
      <c r="E883" s="2">
        <v>20</v>
      </c>
      <c r="G883" s="2">
        <v>1</v>
      </c>
      <c r="H883" s="2">
        <v>39</v>
      </c>
      <c r="I883" s="2">
        <v>13184308</v>
      </c>
      <c r="J883" s="2" t="s">
        <v>174</v>
      </c>
      <c r="K883" s="2" t="s">
        <v>356</v>
      </c>
      <c r="L883" s="2" t="str">
        <f>"63445030111013"</f>
        <v>63445030111013</v>
      </c>
      <c r="M883" s="2" t="s">
        <v>2</v>
      </c>
      <c r="N883" s="18">
        <v>31606</v>
      </c>
      <c r="O883" s="2" t="s">
        <v>670</v>
      </c>
    </row>
    <row r="884" spans="1:15" s="2" customFormat="1" x14ac:dyDescent="0.25">
      <c r="A884" s="2">
        <v>884</v>
      </c>
      <c r="B884" s="2">
        <v>2</v>
      </c>
      <c r="C884" s="2">
        <v>76</v>
      </c>
      <c r="D884" s="2">
        <v>1</v>
      </c>
      <c r="E884" s="2">
        <v>20</v>
      </c>
      <c r="G884" s="2">
        <v>1</v>
      </c>
      <c r="H884" s="2">
        <v>39</v>
      </c>
      <c r="I884" s="2">
        <v>13184309</v>
      </c>
      <c r="J884" s="2" t="s">
        <v>174</v>
      </c>
      <c r="K884" s="2" t="s">
        <v>356</v>
      </c>
      <c r="L884" s="2" t="str">
        <f>"63445030111014"</f>
        <v>63445030111014</v>
      </c>
      <c r="M884" s="2" t="s">
        <v>2</v>
      </c>
      <c r="N884" s="18">
        <v>31607</v>
      </c>
      <c r="O884" s="2" t="s">
        <v>669</v>
      </c>
    </row>
    <row r="885" spans="1:15" s="2" customFormat="1" x14ac:dyDescent="0.25">
      <c r="A885" s="2">
        <v>885</v>
      </c>
      <c r="B885" s="2">
        <v>2</v>
      </c>
      <c r="C885" s="2">
        <v>76</v>
      </c>
      <c r="D885" s="2">
        <v>1</v>
      </c>
      <c r="E885" s="2">
        <v>20</v>
      </c>
      <c r="G885" s="2">
        <v>1</v>
      </c>
      <c r="H885" s="2">
        <v>39</v>
      </c>
      <c r="I885" s="2">
        <v>13184310</v>
      </c>
      <c r="J885" s="2" t="s">
        <v>174</v>
      </c>
      <c r="K885" s="2" t="s">
        <v>356</v>
      </c>
      <c r="L885" s="2" t="str">
        <f>"63445030111015"</f>
        <v>63445030111015</v>
      </c>
      <c r="M885" s="2" t="s">
        <v>2</v>
      </c>
      <c r="N885" s="18">
        <v>31608</v>
      </c>
      <c r="O885" s="2" t="s">
        <v>669</v>
      </c>
    </row>
    <row r="886" spans="1:15" s="2" customFormat="1" x14ac:dyDescent="0.25">
      <c r="A886" s="2">
        <v>886</v>
      </c>
      <c r="B886" s="2">
        <v>2</v>
      </c>
      <c r="C886" s="2">
        <v>76</v>
      </c>
      <c r="D886" s="2">
        <v>1</v>
      </c>
      <c r="E886" s="2">
        <v>20</v>
      </c>
      <c r="G886" s="2">
        <v>1</v>
      </c>
      <c r="H886" s="2">
        <v>39</v>
      </c>
      <c r="I886" s="2">
        <v>13184311</v>
      </c>
      <c r="J886" s="2" t="s">
        <v>174</v>
      </c>
      <c r="K886" s="2" t="s">
        <v>356</v>
      </c>
      <c r="L886" s="2" t="str">
        <f>"63445030111016"</f>
        <v>63445030111016</v>
      </c>
      <c r="M886" s="2" t="s">
        <v>2</v>
      </c>
      <c r="N886" s="18">
        <v>31609</v>
      </c>
      <c r="O886" s="2" t="s">
        <v>669</v>
      </c>
    </row>
    <row r="887" spans="1:15" s="2" customFormat="1" x14ac:dyDescent="0.25">
      <c r="A887" s="2">
        <v>887</v>
      </c>
      <c r="B887" s="2">
        <v>2</v>
      </c>
      <c r="C887" s="2">
        <v>76</v>
      </c>
      <c r="D887" s="2">
        <v>1</v>
      </c>
      <c r="E887" s="2">
        <v>20</v>
      </c>
      <c r="G887" s="2">
        <v>1</v>
      </c>
      <c r="H887" s="2">
        <v>39</v>
      </c>
      <c r="I887" s="2">
        <v>13184312</v>
      </c>
      <c r="J887" s="2" t="s">
        <v>174</v>
      </c>
      <c r="K887" s="2" t="s">
        <v>356</v>
      </c>
      <c r="L887" s="2" t="str">
        <f>"63445030111017"</f>
        <v>63445030111017</v>
      </c>
      <c r="M887" s="2" t="s">
        <v>2</v>
      </c>
      <c r="N887" s="18">
        <v>31610</v>
      </c>
      <c r="O887" s="2" t="s">
        <v>669</v>
      </c>
    </row>
    <row r="888" spans="1:15" s="2" customFormat="1" x14ac:dyDescent="0.25">
      <c r="A888" s="2">
        <v>888</v>
      </c>
      <c r="B888" s="2">
        <v>2</v>
      </c>
      <c r="C888" s="2">
        <v>76</v>
      </c>
      <c r="D888" s="2">
        <v>1</v>
      </c>
      <c r="E888" s="2">
        <v>20</v>
      </c>
      <c r="G888" s="2">
        <v>1</v>
      </c>
      <c r="H888" s="2">
        <v>39</v>
      </c>
      <c r="I888" s="2">
        <v>13184313</v>
      </c>
      <c r="J888" s="2" t="s">
        <v>174</v>
      </c>
      <c r="K888" s="2" t="s">
        <v>356</v>
      </c>
      <c r="L888" s="2" t="str">
        <f>"63445030111018"</f>
        <v>63445030111018</v>
      </c>
      <c r="M888" s="2" t="s">
        <v>2</v>
      </c>
      <c r="N888" s="18">
        <v>31611</v>
      </c>
      <c r="O888" s="2" t="s">
        <v>669</v>
      </c>
    </row>
    <row r="889" spans="1:15" s="2" customFormat="1" x14ac:dyDescent="0.25">
      <c r="A889" s="2">
        <v>889</v>
      </c>
      <c r="B889" s="2">
        <v>2</v>
      </c>
      <c r="C889" s="2">
        <v>76</v>
      </c>
      <c r="D889" s="2">
        <v>1</v>
      </c>
      <c r="E889" s="2">
        <v>20</v>
      </c>
      <c r="G889" s="2">
        <v>1</v>
      </c>
      <c r="H889" s="2">
        <v>39</v>
      </c>
      <c r="I889" s="2">
        <v>13184314</v>
      </c>
      <c r="J889" s="2" t="s">
        <v>174</v>
      </c>
      <c r="K889" s="2" t="s">
        <v>356</v>
      </c>
      <c r="L889" s="2" t="str">
        <f>"63445030111019"</f>
        <v>63445030111019</v>
      </c>
      <c r="M889" s="2" t="s">
        <v>2</v>
      </c>
      <c r="N889" s="18">
        <v>31612</v>
      </c>
      <c r="O889" s="2" t="s">
        <v>669</v>
      </c>
    </row>
    <row r="890" spans="1:15" s="2" customFormat="1" x14ac:dyDescent="0.25">
      <c r="A890" s="2">
        <v>890</v>
      </c>
      <c r="B890" s="2">
        <v>2</v>
      </c>
      <c r="C890" s="2">
        <v>76</v>
      </c>
      <c r="D890" s="2">
        <v>1</v>
      </c>
      <c r="E890" s="2">
        <v>20</v>
      </c>
      <c r="G890" s="2">
        <v>1</v>
      </c>
      <c r="H890" s="2">
        <v>39</v>
      </c>
      <c r="I890" s="2">
        <v>13184315</v>
      </c>
      <c r="J890" s="2" t="s">
        <v>174</v>
      </c>
      <c r="K890" s="2" t="s">
        <v>356</v>
      </c>
      <c r="L890" s="2" t="str">
        <f>"63445030111020"</f>
        <v>63445030111020</v>
      </c>
      <c r="M890" s="2" t="s">
        <v>2</v>
      </c>
      <c r="N890" s="18">
        <v>31613</v>
      </c>
      <c r="O890" s="2" t="s">
        <v>669</v>
      </c>
    </row>
    <row r="891" spans="1:15" s="2" customFormat="1" x14ac:dyDescent="0.25">
      <c r="A891" s="2">
        <v>891</v>
      </c>
      <c r="B891" s="2">
        <v>1</v>
      </c>
      <c r="C891" s="2">
        <v>77</v>
      </c>
      <c r="D891" s="2">
        <v>1</v>
      </c>
      <c r="E891" s="2">
        <v>20</v>
      </c>
      <c r="G891" s="2">
        <v>1</v>
      </c>
      <c r="H891" s="2">
        <v>4</v>
      </c>
      <c r="I891" s="2">
        <v>13382639</v>
      </c>
      <c r="J891" s="2" t="s">
        <v>258</v>
      </c>
      <c r="K891" s="2" t="s">
        <v>671</v>
      </c>
      <c r="L891" s="2" t="str">
        <f>"63445070201011"</f>
        <v>63445070201011</v>
      </c>
      <c r="M891" s="2" t="s">
        <v>2</v>
      </c>
      <c r="N891" s="18">
        <v>31614</v>
      </c>
      <c r="O891" s="2" t="s">
        <v>672</v>
      </c>
    </row>
    <row r="892" spans="1:15" s="2" customFormat="1" x14ac:dyDescent="0.25">
      <c r="A892" s="2">
        <v>892</v>
      </c>
      <c r="B892" s="2">
        <v>1</v>
      </c>
      <c r="C892" s="2">
        <v>77</v>
      </c>
      <c r="D892" s="2">
        <v>1</v>
      </c>
      <c r="E892" s="2">
        <v>20</v>
      </c>
      <c r="G892" s="2">
        <v>1</v>
      </c>
      <c r="H892" s="2">
        <v>4</v>
      </c>
      <c r="I892" s="2">
        <v>13382640</v>
      </c>
      <c r="J892" s="2" t="s">
        <v>258</v>
      </c>
      <c r="K892" s="2" t="s">
        <v>671</v>
      </c>
      <c r="L892" s="2" t="str">
        <f>"63445070201012"</f>
        <v>63445070201012</v>
      </c>
      <c r="M892" s="2" t="s">
        <v>2</v>
      </c>
      <c r="N892" s="18">
        <v>31615</v>
      </c>
      <c r="O892" s="2" t="s">
        <v>672</v>
      </c>
    </row>
    <row r="893" spans="1:15" s="2" customFormat="1" x14ac:dyDescent="0.25">
      <c r="A893" s="2">
        <v>893</v>
      </c>
      <c r="B893" s="2">
        <v>1</v>
      </c>
      <c r="C893" s="2">
        <v>77</v>
      </c>
      <c r="D893" s="2">
        <v>1</v>
      </c>
      <c r="E893" s="2">
        <v>20</v>
      </c>
      <c r="G893" s="2">
        <v>1</v>
      </c>
      <c r="H893" s="2">
        <v>4</v>
      </c>
      <c r="I893" s="2">
        <v>13382641</v>
      </c>
      <c r="J893" s="2" t="s">
        <v>258</v>
      </c>
      <c r="K893" s="2" t="s">
        <v>671</v>
      </c>
      <c r="L893" s="2" t="str">
        <f>"63445070201013"</f>
        <v>63445070201013</v>
      </c>
      <c r="M893" s="2" t="s">
        <v>2</v>
      </c>
      <c r="N893" s="18">
        <v>31616</v>
      </c>
      <c r="O893" s="2" t="s">
        <v>672</v>
      </c>
    </row>
    <row r="894" spans="1:15" s="2" customFormat="1" x14ac:dyDescent="0.25">
      <c r="A894" s="2">
        <v>894</v>
      </c>
      <c r="B894" s="2">
        <v>1</v>
      </c>
      <c r="C894" s="2">
        <v>77</v>
      </c>
      <c r="D894" s="2">
        <v>1</v>
      </c>
      <c r="E894" s="2">
        <v>5</v>
      </c>
      <c r="G894" s="2">
        <v>1</v>
      </c>
      <c r="H894" s="2">
        <v>4</v>
      </c>
      <c r="I894" s="2">
        <v>13382642</v>
      </c>
      <c r="J894" s="2" t="s">
        <v>258</v>
      </c>
      <c r="K894" s="2" t="s">
        <v>671</v>
      </c>
      <c r="L894" s="2" t="str">
        <f>"63445070201014"</f>
        <v>63445070201014</v>
      </c>
      <c r="M894" s="2" t="s">
        <v>2</v>
      </c>
      <c r="N894" s="18">
        <v>31617</v>
      </c>
      <c r="O894" s="2" t="s">
        <v>672</v>
      </c>
    </row>
    <row r="895" spans="1:15" s="2" customFormat="1" x14ac:dyDescent="0.25">
      <c r="A895" s="2">
        <v>895</v>
      </c>
      <c r="B895" s="2">
        <v>1</v>
      </c>
      <c r="C895" s="2">
        <v>77</v>
      </c>
      <c r="D895" s="2">
        <v>1</v>
      </c>
      <c r="E895" s="2">
        <v>20</v>
      </c>
      <c r="G895" s="2">
        <v>1</v>
      </c>
      <c r="H895" s="2">
        <v>4</v>
      </c>
      <c r="I895" s="2">
        <v>13382643</v>
      </c>
      <c r="J895" s="2" t="s">
        <v>258</v>
      </c>
      <c r="K895" s="2" t="s">
        <v>671</v>
      </c>
      <c r="L895" s="2" t="str">
        <f>"63445070201015"</f>
        <v>63445070201015</v>
      </c>
      <c r="M895" s="2" t="s">
        <v>2</v>
      </c>
      <c r="N895" s="18">
        <v>31618</v>
      </c>
      <c r="O895" s="2" t="s">
        <v>672</v>
      </c>
    </row>
    <row r="896" spans="1:15" s="2" customFormat="1" x14ac:dyDescent="0.25">
      <c r="A896" s="2">
        <v>896</v>
      </c>
      <c r="B896" s="2">
        <v>1</v>
      </c>
      <c r="C896" s="2">
        <v>77</v>
      </c>
      <c r="D896" s="2">
        <v>1</v>
      </c>
      <c r="E896" s="2">
        <v>20</v>
      </c>
      <c r="G896" s="2">
        <v>1</v>
      </c>
      <c r="H896" s="2">
        <v>4</v>
      </c>
      <c r="I896" s="2">
        <v>13382644</v>
      </c>
      <c r="J896" s="2" t="s">
        <v>258</v>
      </c>
      <c r="K896" s="2" t="s">
        <v>671</v>
      </c>
      <c r="L896" s="2" t="str">
        <f>"63445070201016"</f>
        <v>63445070201016</v>
      </c>
      <c r="M896" s="2" t="s">
        <v>2</v>
      </c>
      <c r="N896" s="18">
        <v>31619</v>
      </c>
      <c r="O896" s="2" t="s">
        <v>672</v>
      </c>
    </row>
    <row r="897" spans="1:15" s="2" customFormat="1" x14ac:dyDescent="0.25">
      <c r="A897" s="2">
        <v>897</v>
      </c>
      <c r="B897" s="2">
        <v>1</v>
      </c>
      <c r="C897" s="2">
        <v>77</v>
      </c>
      <c r="D897" s="2">
        <v>1</v>
      </c>
      <c r="E897" s="2">
        <v>20</v>
      </c>
      <c r="G897" s="2">
        <v>1</v>
      </c>
      <c r="H897" s="2">
        <v>4</v>
      </c>
      <c r="I897" s="2">
        <v>13382645</v>
      </c>
      <c r="J897" s="2" t="s">
        <v>258</v>
      </c>
      <c r="K897" s="2" t="s">
        <v>671</v>
      </c>
      <c r="L897" s="2" t="str">
        <f>"63445070201017"</f>
        <v>63445070201017</v>
      </c>
      <c r="M897" s="2" t="s">
        <v>2</v>
      </c>
      <c r="N897" s="18">
        <v>31620</v>
      </c>
      <c r="O897" s="2">
        <v>19</v>
      </c>
    </row>
    <row r="898" spans="1:15" s="2" customFormat="1" x14ac:dyDescent="0.25">
      <c r="A898" s="2">
        <v>898</v>
      </c>
      <c r="B898" s="2">
        <v>1</v>
      </c>
      <c r="C898" s="2">
        <v>77</v>
      </c>
      <c r="D898" s="2">
        <v>1</v>
      </c>
      <c r="E898" s="2">
        <v>5</v>
      </c>
      <c r="G898" s="2">
        <v>1</v>
      </c>
      <c r="H898" s="2">
        <v>4</v>
      </c>
      <c r="I898" s="2">
        <v>13382646</v>
      </c>
      <c r="J898" s="2" t="s">
        <v>258</v>
      </c>
      <c r="K898" s="2" t="s">
        <v>671</v>
      </c>
      <c r="L898" s="2" t="str">
        <f>"63445070201018"</f>
        <v>63445070201018</v>
      </c>
      <c r="M898" s="2" t="s">
        <v>2</v>
      </c>
      <c r="N898" s="18">
        <v>31621</v>
      </c>
      <c r="O898" s="2">
        <v>19</v>
      </c>
    </row>
    <row r="899" spans="1:15" s="2" customFormat="1" x14ac:dyDescent="0.25">
      <c r="A899" s="2">
        <v>899</v>
      </c>
      <c r="B899" s="2">
        <v>1</v>
      </c>
      <c r="C899" s="2">
        <v>77</v>
      </c>
      <c r="D899" s="2">
        <v>1</v>
      </c>
      <c r="E899" s="2">
        <v>5</v>
      </c>
      <c r="G899" s="2">
        <v>1</v>
      </c>
      <c r="H899" s="2">
        <v>4</v>
      </c>
      <c r="I899" s="2">
        <v>13382647</v>
      </c>
      <c r="J899" s="2" t="s">
        <v>258</v>
      </c>
      <c r="K899" s="2" t="s">
        <v>671</v>
      </c>
      <c r="L899" s="2" t="str">
        <f>"63445070201019"</f>
        <v>63445070201019</v>
      </c>
      <c r="M899" s="2" t="s">
        <v>2</v>
      </c>
      <c r="N899" s="18">
        <v>31622</v>
      </c>
      <c r="O899" s="2">
        <v>19</v>
      </c>
    </row>
    <row r="900" spans="1:15" s="2" customFormat="1" x14ac:dyDescent="0.25">
      <c r="A900" s="2">
        <v>900</v>
      </c>
      <c r="B900" s="2">
        <v>1</v>
      </c>
      <c r="C900" s="2">
        <v>34</v>
      </c>
      <c r="D900" s="2">
        <v>1</v>
      </c>
      <c r="E900" s="2">
        <v>11</v>
      </c>
      <c r="G900" s="2">
        <v>1</v>
      </c>
      <c r="H900" s="2">
        <v>4</v>
      </c>
      <c r="I900" s="2">
        <v>6794480</v>
      </c>
      <c r="J900" s="2" t="s">
        <v>249</v>
      </c>
      <c r="K900" s="2" t="s">
        <v>624</v>
      </c>
      <c r="L900" s="2" t="str">
        <f>"500696"</f>
        <v>500696</v>
      </c>
      <c r="M900" s="2" t="s">
        <v>2</v>
      </c>
      <c r="N900" s="18">
        <v>31623</v>
      </c>
      <c r="O900" s="2" t="s">
        <v>625</v>
      </c>
    </row>
    <row r="901" spans="1:15" s="2" customFormat="1" x14ac:dyDescent="0.25">
      <c r="A901" s="2">
        <v>901</v>
      </c>
      <c r="B901" s="2">
        <v>1</v>
      </c>
      <c r="C901" s="2">
        <v>34</v>
      </c>
      <c r="D901" s="2">
        <v>1</v>
      </c>
      <c r="E901" s="2">
        <v>11</v>
      </c>
      <c r="G901" s="2">
        <v>1</v>
      </c>
      <c r="H901" s="2">
        <v>4</v>
      </c>
      <c r="I901" s="2">
        <v>6794481</v>
      </c>
      <c r="J901" s="2" t="s">
        <v>249</v>
      </c>
      <c r="K901" s="2" t="s">
        <v>624</v>
      </c>
      <c r="L901" s="2" t="str">
        <f>"500708"</f>
        <v>500708</v>
      </c>
      <c r="M901" s="2" t="s">
        <v>2</v>
      </c>
      <c r="N901" s="18">
        <v>31624</v>
      </c>
      <c r="O901" s="2" t="s">
        <v>625</v>
      </c>
    </row>
    <row r="902" spans="1:15" s="2" customFormat="1" x14ac:dyDescent="0.25">
      <c r="A902" s="2">
        <v>902</v>
      </c>
      <c r="B902" s="2">
        <v>1</v>
      </c>
      <c r="C902" s="2">
        <v>14</v>
      </c>
      <c r="D902" s="2">
        <v>1</v>
      </c>
      <c r="E902" s="2">
        <v>13</v>
      </c>
      <c r="G902" s="2">
        <v>1</v>
      </c>
      <c r="H902" s="2">
        <v>4</v>
      </c>
      <c r="I902" s="2">
        <v>6794486</v>
      </c>
      <c r="J902" s="2" t="s">
        <v>201</v>
      </c>
      <c r="K902" s="2" t="s">
        <v>673</v>
      </c>
      <c r="L902" s="2" t="str">
        <f>"DNI164304JK"</f>
        <v>DNI164304JK</v>
      </c>
      <c r="M902" s="2" t="s">
        <v>2</v>
      </c>
      <c r="N902" s="18">
        <v>31625</v>
      </c>
      <c r="O902" s="2" t="s">
        <v>674</v>
      </c>
    </row>
    <row r="903" spans="1:15" s="2" customFormat="1" x14ac:dyDescent="0.25">
      <c r="A903" s="2">
        <v>903</v>
      </c>
      <c r="B903" s="2">
        <v>1</v>
      </c>
      <c r="C903" s="2">
        <v>14</v>
      </c>
      <c r="D903" s="2">
        <v>1</v>
      </c>
      <c r="E903" s="2">
        <v>13</v>
      </c>
      <c r="G903" s="2">
        <v>1</v>
      </c>
      <c r="H903" s="2">
        <v>4</v>
      </c>
      <c r="I903" s="2">
        <v>6794487</v>
      </c>
      <c r="J903" s="2" t="s">
        <v>201</v>
      </c>
      <c r="K903" s="2" t="s">
        <v>673</v>
      </c>
      <c r="L903" s="2" t="str">
        <f>"DNI161401DX"</f>
        <v>DNI161401DX</v>
      </c>
      <c r="M903" s="2" t="s">
        <v>2</v>
      </c>
      <c r="N903" s="18">
        <v>31626</v>
      </c>
      <c r="O903" s="2" t="s">
        <v>674</v>
      </c>
    </row>
    <row r="904" spans="1:15" s="2" customFormat="1" x14ac:dyDescent="0.25">
      <c r="A904" s="2">
        <v>904</v>
      </c>
      <c r="B904" s="2">
        <v>1</v>
      </c>
      <c r="C904" s="2">
        <v>14</v>
      </c>
      <c r="D904" s="2">
        <v>1</v>
      </c>
      <c r="E904" s="2">
        <v>13</v>
      </c>
      <c r="G904" s="2">
        <v>1</v>
      </c>
      <c r="H904" s="2">
        <v>4</v>
      </c>
      <c r="I904" s="2">
        <v>6794488</v>
      </c>
      <c r="J904" s="2" t="s">
        <v>201</v>
      </c>
      <c r="K904" s="2" t="s">
        <v>673</v>
      </c>
      <c r="L904" s="2" t="str">
        <f>"DNI164207WN"</f>
        <v>DNI164207WN</v>
      </c>
      <c r="M904" s="2" t="s">
        <v>2</v>
      </c>
      <c r="N904" s="18">
        <v>31627</v>
      </c>
      <c r="O904" s="2" t="s">
        <v>674</v>
      </c>
    </row>
    <row r="905" spans="1:15" s="2" customFormat="1" x14ac:dyDescent="0.25">
      <c r="A905" s="2">
        <v>905</v>
      </c>
      <c r="B905" s="2">
        <v>1</v>
      </c>
      <c r="C905" s="2">
        <v>14</v>
      </c>
      <c r="D905" s="2">
        <v>1</v>
      </c>
      <c r="E905" s="2">
        <v>13</v>
      </c>
      <c r="G905" s="2">
        <v>1</v>
      </c>
      <c r="H905" s="2">
        <v>4</v>
      </c>
      <c r="I905" s="2">
        <v>6794489</v>
      </c>
      <c r="J905" s="2" t="s">
        <v>201</v>
      </c>
      <c r="K905" s="2" t="s">
        <v>673</v>
      </c>
      <c r="L905" s="2" t="str">
        <f>"DNI164304JA"</f>
        <v>DNI164304JA</v>
      </c>
      <c r="M905" s="2" t="s">
        <v>2</v>
      </c>
      <c r="N905" s="18">
        <v>31628</v>
      </c>
      <c r="O905" s="2" t="s">
        <v>674</v>
      </c>
    </row>
    <row r="906" spans="1:15" s="2" customFormat="1" x14ac:dyDescent="0.25">
      <c r="A906" s="2">
        <v>906</v>
      </c>
      <c r="B906" s="2">
        <v>1</v>
      </c>
      <c r="C906" s="2">
        <v>56</v>
      </c>
      <c r="D906" s="2">
        <v>1</v>
      </c>
      <c r="E906" s="2">
        <v>24</v>
      </c>
      <c r="G906" s="2">
        <v>1</v>
      </c>
      <c r="H906" s="2">
        <v>4</v>
      </c>
      <c r="I906" s="2">
        <v>6794515</v>
      </c>
      <c r="J906" s="2" t="s">
        <v>251</v>
      </c>
      <c r="K906" s="2" t="s">
        <v>626</v>
      </c>
      <c r="L906" s="2" t="str">
        <f>"40270215A9C5"</f>
        <v>40270215A9C5</v>
      </c>
      <c r="M906" s="2" t="s">
        <v>2</v>
      </c>
      <c r="N906" s="18">
        <v>31629</v>
      </c>
      <c r="O906" s="2" t="s">
        <v>627</v>
      </c>
    </row>
    <row r="907" spans="1:15" s="2" customFormat="1" x14ac:dyDescent="0.25">
      <c r="A907" s="2">
        <v>907</v>
      </c>
      <c r="B907" s="2">
        <v>1</v>
      </c>
      <c r="C907" s="2">
        <v>56</v>
      </c>
      <c r="D907" s="2">
        <v>1</v>
      </c>
      <c r="E907" s="2">
        <v>24</v>
      </c>
      <c r="G907" s="2">
        <v>1</v>
      </c>
      <c r="H907" s="2">
        <v>4</v>
      </c>
      <c r="I907" s="2">
        <v>6794516</v>
      </c>
      <c r="J907" s="2" t="s">
        <v>251</v>
      </c>
      <c r="K907" s="2" t="s">
        <v>626</v>
      </c>
      <c r="L907" s="2" t="str">
        <f>"402702582997"</f>
        <v>402702582997</v>
      </c>
      <c r="M907" s="2" t="s">
        <v>2</v>
      </c>
      <c r="N907" s="18">
        <v>31630</v>
      </c>
      <c r="O907" s="2" t="s">
        <v>627</v>
      </c>
    </row>
    <row r="908" spans="1:15" s="2" customFormat="1" x14ac:dyDescent="0.25">
      <c r="A908" s="2">
        <v>908</v>
      </c>
      <c r="B908" s="2">
        <v>1</v>
      </c>
      <c r="C908" s="2">
        <v>42</v>
      </c>
      <c r="D908" s="2">
        <v>1</v>
      </c>
      <c r="E908" s="2">
        <v>20</v>
      </c>
      <c r="G908" s="2">
        <v>1</v>
      </c>
      <c r="H908" s="2">
        <v>4</v>
      </c>
      <c r="I908" s="2">
        <v>6794459</v>
      </c>
      <c r="J908" s="2" t="s">
        <v>192</v>
      </c>
      <c r="K908" s="2" t="s">
        <v>675</v>
      </c>
      <c r="L908" s="2" t="str">
        <f>"VND3G28052"</f>
        <v>VND3G28052</v>
      </c>
      <c r="M908" s="2" t="s">
        <v>2</v>
      </c>
      <c r="N908" s="18">
        <v>31631</v>
      </c>
      <c r="O908" s="2" t="s">
        <v>676</v>
      </c>
    </row>
    <row r="909" spans="1:15" s="2" customFormat="1" x14ac:dyDescent="0.25">
      <c r="A909" s="2">
        <v>909</v>
      </c>
      <c r="B909" s="2">
        <v>1</v>
      </c>
      <c r="C909" s="2">
        <v>42</v>
      </c>
      <c r="D909" s="2">
        <v>1</v>
      </c>
      <c r="E909" s="2">
        <v>20</v>
      </c>
      <c r="G909" s="2">
        <v>1</v>
      </c>
      <c r="H909" s="2">
        <v>4</v>
      </c>
      <c r="I909" s="2">
        <v>6794460</v>
      </c>
      <c r="J909" s="2" t="s">
        <v>192</v>
      </c>
      <c r="K909" s="2" t="s">
        <v>675</v>
      </c>
      <c r="L909" s="2" t="str">
        <f>"VND3H27801"</f>
        <v>VND3H27801</v>
      </c>
      <c r="M909" s="2" t="s">
        <v>2</v>
      </c>
      <c r="N909" s="18">
        <v>31632</v>
      </c>
      <c r="O909" s="2" t="s">
        <v>676</v>
      </c>
    </row>
    <row r="910" spans="1:15" s="2" customFormat="1" x14ac:dyDescent="0.25">
      <c r="A910" s="2">
        <v>910</v>
      </c>
      <c r="B910" s="2">
        <v>1</v>
      </c>
      <c r="C910" s="2">
        <v>42</v>
      </c>
      <c r="D910" s="2">
        <v>1</v>
      </c>
      <c r="E910" s="2">
        <v>20</v>
      </c>
      <c r="G910" s="2">
        <v>1</v>
      </c>
      <c r="H910" s="2">
        <v>4</v>
      </c>
      <c r="I910" s="2">
        <v>6794461</v>
      </c>
      <c r="J910" s="2" t="s">
        <v>192</v>
      </c>
      <c r="K910" s="2" t="s">
        <v>675</v>
      </c>
      <c r="L910" s="2" t="str">
        <f>"VND3G28057"</f>
        <v>VND3G28057</v>
      </c>
      <c r="M910" s="2" t="s">
        <v>2</v>
      </c>
      <c r="N910" s="18">
        <v>31633</v>
      </c>
      <c r="O910" s="2" t="s">
        <v>676</v>
      </c>
    </row>
    <row r="911" spans="1:15" s="2" customFormat="1" x14ac:dyDescent="0.25">
      <c r="A911" s="2">
        <v>911</v>
      </c>
      <c r="B911" s="2">
        <v>1</v>
      </c>
      <c r="C911" s="2">
        <v>56</v>
      </c>
      <c r="D911" s="2">
        <v>1</v>
      </c>
      <c r="E911" s="2">
        <v>24</v>
      </c>
      <c r="G911" s="2">
        <v>1</v>
      </c>
      <c r="H911" s="2">
        <v>4</v>
      </c>
      <c r="I911" s="2">
        <v>6794557</v>
      </c>
      <c r="J911" s="2" t="s">
        <v>251</v>
      </c>
      <c r="K911" s="2" t="s">
        <v>626</v>
      </c>
      <c r="L911" s="2" t="str">
        <f>"402702035C59"</f>
        <v>402702035C59</v>
      </c>
      <c r="M911" s="2" t="s">
        <v>2</v>
      </c>
      <c r="N911" s="18">
        <v>31634</v>
      </c>
      <c r="O911" s="2" t="s">
        <v>627</v>
      </c>
    </row>
    <row r="912" spans="1:15" s="2" customFormat="1" x14ac:dyDescent="0.25">
      <c r="A912" s="2">
        <v>912</v>
      </c>
      <c r="B912" s="2">
        <v>2</v>
      </c>
      <c r="C912" s="2">
        <v>76</v>
      </c>
      <c r="D912" s="2">
        <v>1</v>
      </c>
      <c r="E912" s="2">
        <v>5</v>
      </c>
      <c r="G912" s="2">
        <v>1</v>
      </c>
      <c r="H912" s="2">
        <v>39</v>
      </c>
      <c r="I912" s="2">
        <v>7606413</v>
      </c>
      <c r="J912" s="2" t="s">
        <v>266</v>
      </c>
      <c r="K912" s="2" t="s">
        <v>405</v>
      </c>
      <c r="L912" s="2" t="str">
        <f>"14101030116001"</f>
        <v>14101030116001</v>
      </c>
      <c r="M912" s="2" t="s">
        <v>2</v>
      </c>
      <c r="N912" s="18">
        <v>31635</v>
      </c>
      <c r="O912" s="2" t="s">
        <v>463</v>
      </c>
    </row>
    <row r="913" spans="1:15" s="2" customFormat="1" x14ac:dyDescent="0.25">
      <c r="A913" s="2">
        <v>913</v>
      </c>
      <c r="B913" s="2">
        <v>2</v>
      </c>
      <c r="C913" s="2">
        <v>76</v>
      </c>
      <c r="D913" s="2">
        <v>1</v>
      </c>
      <c r="E913" s="2">
        <v>5</v>
      </c>
      <c r="G913" s="2">
        <v>1</v>
      </c>
      <c r="H913" s="2">
        <v>39</v>
      </c>
      <c r="I913" s="2">
        <v>13460222</v>
      </c>
      <c r="J913" s="2" t="s">
        <v>237</v>
      </c>
      <c r="K913" s="2" t="s">
        <v>350</v>
      </c>
      <c r="L913" s="2" t="str">
        <f>"63445060109002"</f>
        <v>63445060109002</v>
      </c>
      <c r="M913" s="2" t="s">
        <v>2</v>
      </c>
      <c r="N913" s="18">
        <v>31636</v>
      </c>
      <c r="O913" s="2" t="s">
        <v>677</v>
      </c>
    </row>
    <row r="914" spans="1:15" s="2" customFormat="1" x14ac:dyDescent="0.25">
      <c r="A914" s="2">
        <v>914</v>
      </c>
      <c r="B914" s="2">
        <v>2</v>
      </c>
      <c r="C914" s="2">
        <v>76</v>
      </c>
      <c r="D914" s="2">
        <v>1</v>
      </c>
      <c r="E914" s="2">
        <v>20</v>
      </c>
      <c r="G914" s="2">
        <v>1</v>
      </c>
      <c r="H914" s="2">
        <v>39</v>
      </c>
      <c r="I914" s="2">
        <v>13460202</v>
      </c>
      <c r="J914" s="2" t="s">
        <v>225</v>
      </c>
      <c r="K914" s="2" t="s">
        <v>350</v>
      </c>
      <c r="L914" s="2" t="str">
        <f>"63445060101005"</f>
        <v>63445060101005</v>
      </c>
      <c r="M914" s="2" t="s">
        <v>2</v>
      </c>
      <c r="N914" s="18">
        <v>31637</v>
      </c>
      <c r="O914" s="2" t="s">
        <v>510</v>
      </c>
    </row>
    <row r="915" spans="1:15" s="2" customFormat="1" x14ac:dyDescent="0.25">
      <c r="A915" s="2">
        <v>915</v>
      </c>
      <c r="B915" s="2">
        <v>1</v>
      </c>
      <c r="C915" s="2">
        <v>47</v>
      </c>
      <c r="D915" s="2">
        <v>1</v>
      </c>
      <c r="E915" s="2">
        <v>23</v>
      </c>
      <c r="G915" s="2">
        <v>1</v>
      </c>
      <c r="H915" s="2">
        <v>4</v>
      </c>
      <c r="I915" s="2">
        <v>13182041</v>
      </c>
      <c r="J915" s="2" t="s">
        <v>231</v>
      </c>
      <c r="K915" s="2" t="s">
        <v>678</v>
      </c>
      <c r="L915" s="2" t="str">
        <f>"63445040403005"</f>
        <v>63445040403005</v>
      </c>
      <c r="M915" s="2" t="s">
        <v>2</v>
      </c>
      <c r="N915" s="18">
        <v>31638</v>
      </c>
      <c r="O915" s="2">
        <v>21</v>
      </c>
    </row>
    <row r="916" spans="1:15" s="2" customFormat="1" x14ac:dyDescent="0.25">
      <c r="A916" s="2">
        <v>916</v>
      </c>
      <c r="B916" s="2">
        <v>1</v>
      </c>
      <c r="C916" s="2">
        <v>84</v>
      </c>
      <c r="D916" s="2">
        <v>1</v>
      </c>
      <c r="E916" s="2">
        <v>20</v>
      </c>
      <c r="G916" s="2">
        <v>1</v>
      </c>
      <c r="H916" s="2">
        <v>4</v>
      </c>
      <c r="I916" s="2">
        <v>13460249</v>
      </c>
      <c r="J916" s="2" t="s">
        <v>226</v>
      </c>
      <c r="K916" s="2" t="s">
        <v>679</v>
      </c>
      <c r="L916" s="2" t="str">
        <f>"63445060113025"</f>
        <v>63445060113025</v>
      </c>
      <c r="M916" s="2" t="s">
        <v>2</v>
      </c>
      <c r="N916" s="18">
        <v>31639</v>
      </c>
      <c r="O916" s="2" t="s">
        <v>680</v>
      </c>
    </row>
    <row r="917" spans="1:15" s="2" customFormat="1" x14ac:dyDescent="0.25">
      <c r="A917" s="2">
        <v>917</v>
      </c>
      <c r="B917" s="2">
        <v>1</v>
      </c>
      <c r="C917" s="2">
        <v>84</v>
      </c>
      <c r="D917" s="2">
        <v>1</v>
      </c>
      <c r="E917" s="2">
        <v>20</v>
      </c>
      <c r="G917" s="2">
        <v>1</v>
      </c>
      <c r="H917" s="2">
        <v>4</v>
      </c>
      <c r="I917" s="2">
        <v>13460250</v>
      </c>
      <c r="J917" s="2" t="s">
        <v>226</v>
      </c>
      <c r="K917" s="2" t="s">
        <v>679</v>
      </c>
      <c r="L917" s="2" t="str">
        <f>"63445060113026"</f>
        <v>63445060113026</v>
      </c>
      <c r="M917" s="2" t="s">
        <v>2</v>
      </c>
      <c r="N917" s="18">
        <v>31640</v>
      </c>
      <c r="O917" s="2" t="s">
        <v>680</v>
      </c>
    </row>
    <row r="918" spans="1:15" s="2" customFormat="1" x14ac:dyDescent="0.25">
      <c r="A918" s="2">
        <v>918</v>
      </c>
      <c r="B918" s="2">
        <v>2</v>
      </c>
      <c r="C918" s="2">
        <v>76</v>
      </c>
      <c r="D918" s="2">
        <v>1</v>
      </c>
      <c r="E918" s="2">
        <v>24</v>
      </c>
      <c r="G918" s="2">
        <v>1</v>
      </c>
      <c r="H918" s="2">
        <v>39</v>
      </c>
      <c r="I918" s="2">
        <v>13182029</v>
      </c>
      <c r="J918" s="2" t="s">
        <v>229</v>
      </c>
      <c r="K918" s="2" t="s">
        <v>350</v>
      </c>
      <c r="L918" s="2" t="str">
        <f>"63445040402011"</f>
        <v>63445040402011</v>
      </c>
      <c r="M918" s="2" t="s">
        <v>2</v>
      </c>
      <c r="N918" s="18">
        <v>31641</v>
      </c>
      <c r="O918" s="2" t="s">
        <v>681</v>
      </c>
    </row>
    <row r="919" spans="1:15" s="2" customFormat="1" x14ac:dyDescent="0.25">
      <c r="A919" s="2">
        <v>919</v>
      </c>
      <c r="B919" s="2">
        <v>2</v>
      </c>
      <c r="C919" s="2">
        <v>76</v>
      </c>
      <c r="D919" s="2">
        <v>1</v>
      </c>
      <c r="E919" s="2">
        <v>24</v>
      </c>
      <c r="G919" s="2">
        <v>1</v>
      </c>
      <c r="H919" s="2">
        <v>39</v>
      </c>
      <c r="I919" s="2">
        <v>13182030</v>
      </c>
      <c r="J919" s="2" t="s">
        <v>229</v>
      </c>
      <c r="K919" s="2" t="s">
        <v>350</v>
      </c>
      <c r="L919" s="2" t="str">
        <f>"63445040402012"</f>
        <v>63445040402012</v>
      </c>
      <c r="M919" s="2" t="s">
        <v>2</v>
      </c>
      <c r="N919" s="18">
        <v>31642</v>
      </c>
      <c r="O919" s="2" t="s">
        <v>681</v>
      </c>
    </row>
    <row r="920" spans="1:15" s="2" customFormat="1" x14ac:dyDescent="0.25">
      <c r="A920" s="2">
        <v>920</v>
      </c>
      <c r="B920" s="2">
        <v>2</v>
      </c>
      <c r="C920" s="2">
        <v>76</v>
      </c>
      <c r="D920" s="2">
        <v>1</v>
      </c>
      <c r="E920" s="2">
        <v>24</v>
      </c>
      <c r="G920" s="2">
        <v>1</v>
      </c>
      <c r="H920" s="2">
        <v>39</v>
      </c>
      <c r="I920" s="2">
        <v>13182031</v>
      </c>
      <c r="J920" s="2" t="s">
        <v>229</v>
      </c>
      <c r="K920" s="2" t="s">
        <v>350</v>
      </c>
      <c r="L920" s="2" t="str">
        <f>"63445040402013"</f>
        <v>63445040402013</v>
      </c>
      <c r="M920" s="2" t="s">
        <v>2</v>
      </c>
      <c r="N920" s="18">
        <v>31643</v>
      </c>
      <c r="O920" s="2" t="s">
        <v>682</v>
      </c>
    </row>
    <row r="921" spans="1:15" s="2" customFormat="1" x14ac:dyDescent="0.25">
      <c r="A921" s="2">
        <v>921</v>
      </c>
      <c r="B921" s="2">
        <v>2</v>
      </c>
      <c r="C921" s="2">
        <v>76</v>
      </c>
      <c r="D921" s="2">
        <v>1</v>
      </c>
      <c r="E921" s="2">
        <v>24</v>
      </c>
      <c r="G921" s="2">
        <v>1</v>
      </c>
      <c r="H921" s="2">
        <v>39</v>
      </c>
      <c r="I921" s="2">
        <v>13182032</v>
      </c>
      <c r="J921" s="2" t="s">
        <v>229</v>
      </c>
      <c r="K921" s="2" t="s">
        <v>350</v>
      </c>
      <c r="L921" s="2" t="str">
        <f>"63445040402014"</f>
        <v>63445040402014</v>
      </c>
      <c r="M921" s="2" t="s">
        <v>2</v>
      </c>
      <c r="N921" s="18">
        <v>31644</v>
      </c>
      <c r="O921" s="2" t="s">
        <v>682</v>
      </c>
    </row>
    <row r="922" spans="1:15" s="2" customFormat="1" x14ac:dyDescent="0.25">
      <c r="A922" s="2">
        <v>922</v>
      </c>
      <c r="B922" s="2">
        <v>2</v>
      </c>
      <c r="C922" s="2">
        <v>76</v>
      </c>
      <c r="D922" s="2">
        <v>1</v>
      </c>
      <c r="E922" s="2">
        <v>24</v>
      </c>
      <c r="G922" s="2">
        <v>1</v>
      </c>
      <c r="H922" s="2">
        <v>39</v>
      </c>
      <c r="I922" s="2">
        <v>13182033</v>
      </c>
      <c r="J922" s="2" t="s">
        <v>229</v>
      </c>
      <c r="K922" s="2" t="s">
        <v>350</v>
      </c>
      <c r="L922" s="2" t="str">
        <f>"63445040402015"</f>
        <v>63445040402015</v>
      </c>
      <c r="M922" s="2" t="s">
        <v>2</v>
      </c>
      <c r="N922" s="18">
        <v>31645</v>
      </c>
      <c r="O922" s="2" t="s">
        <v>682</v>
      </c>
    </row>
    <row r="923" spans="1:15" s="2" customFormat="1" x14ac:dyDescent="0.25">
      <c r="A923" s="2">
        <v>923</v>
      </c>
      <c r="B923" s="2">
        <v>2</v>
      </c>
      <c r="C923" s="2">
        <v>76</v>
      </c>
      <c r="D923" s="2">
        <v>1</v>
      </c>
      <c r="E923" s="2">
        <v>24</v>
      </c>
      <c r="G923" s="2">
        <v>1</v>
      </c>
      <c r="H923" s="2">
        <v>39</v>
      </c>
      <c r="I923" s="2">
        <v>13182034</v>
      </c>
      <c r="J923" s="2" t="s">
        <v>229</v>
      </c>
      <c r="K923" s="2" t="s">
        <v>350</v>
      </c>
      <c r="L923" s="2" t="str">
        <f>"63445040402016"</f>
        <v>63445040402016</v>
      </c>
      <c r="M923" s="2" t="s">
        <v>2</v>
      </c>
      <c r="N923" s="18">
        <v>31646</v>
      </c>
      <c r="O923" s="2" t="s">
        <v>682</v>
      </c>
    </row>
    <row r="924" spans="1:15" s="2" customFormat="1" x14ac:dyDescent="0.25">
      <c r="A924" s="2">
        <v>924</v>
      </c>
      <c r="B924" s="2">
        <v>2</v>
      </c>
      <c r="C924" s="2">
        <v>76</v>
      </c>
      <c r="D924" s="2">
        <v>1</v>
      </c>
      <c r="E924" s="2">
        <v>24</v>
      </c>
      <c r="G924" s="2">
        <v>1</v>
      </c>
      <c r="H924" s="2">
        <v>39</v>
      </c>
      <c r="I924" s="2">
        <v>13182035</v>
      </c>
      <c r="J924" s="2" t="s">
        <v>229</v>
      </c>
      <c r="K924" s="2" t="s">
        <v>350</v>
      </c>
      <c r="L924" s="2" t="str">
        <f>"63445040402017"</f>
        <v>63445040402017</v>
      </c>
      <c r="M924" s="2" t="s">
        <v>2</v>
      </c>
      <c r="N924" s="18">
        <v>31647</v>
      </c>
      <c r="O924" s="2" t="s">
        <v>682</v>
      </c>
    </row>
    <row r="925" spans="1:15" s="2" customFormat="1" x14ac:dyDescent="0.25">
      <c r="A925" s="2">
        <v>925</v>
      </c>
      <c r="B925" s="2">
        <v>2</v>
      </c>
      <c r="C925" s="2">
        <v>76</v>
      </c>
      <c r="D925" s="2">
        <v>1</v>
      </c>
      <c r="E925" s="2">
        <v>24</v>
      </c>
      <c r="G925" s="2">
        <v>1</v>
      </c>
      <c r="H925" s="2">
        <v>39</v>
      </c>
      <c r="I925" s="2">
        <v>13182036</v>
      </c>
      <c r="J925" s="2" t="s">
        <v>230</v>
      </c>
      <c r="K925" s="2" t="s">
        <v>350</v>
      </c>
      <c r="L925" s="2" t="str">
        <f>"63445040402018"</f>
        <v>63445040402018</v>
      </c>
      <c r="M925" s="2" t="s">
        <v>2</v>
      </c>
      <c r="N925" s="18">
        <v>31648</v>
      </c>
      <c r="O925" s="2" t="s">
        <v>683</v>
      </c>
    </row>
    <row r="926" spans="1:15" s="2" customFormat="1" x14ac:dyDescent="0.25">
      <c r="A926" s="2">
        <v>926</v>
      </c>
      <c r="B926" s="2">
        <v>2</v>
      </c>
      <c r="C926" s="2">
        <v>76</v>
      </c>
      <c r="D926" s="2">
        <v>1</v>
      </c>
      <c r="E926" s="2">
        <v>24</v>
      </c>
      <c r="G926" s="2">
        <v>1</v>
      </c>
      <c r="H926" s="2">
        <v>39</v>
      </c>
      <c r="I926" s="2">
        <v>13182037</v>
      </c>
      <c r="J926" s="2" t="s">
        <v>230</v>
      </c>
      <c r="K926" s="2" t="s">
        <v>350</v>
      </c>
      <c r="L926" s="2" t="str">
        <f>"63445040402019"</f>
        <v>63445040402019</v>
      </c>
      <c r="M926" s="2" t="s">
        <v>2</v>
      </c>
      <c r="N926" s="18">
        <v>31649</v>
      </c>
      <c r="O926" s="2" t="s">
        <v>683</v>
      </c>
    </row>
    <row r="927" spans="1:15" s="2" customFormat="1" x14ac:dyDescent="0.25">
      <c r="A927" s="2">
        <v>927</v>
      </c>
      <c r="B927" s="2">
        <v>1</v>
      </c>
      <c r="C927" s="2">
        <v>76</v>
      </c>
      <c r="D927" s="2">
        <v>1</v>
      </c>
      <c r="E927" s="2">
        <v>23</v>
      </c>
      <c r="G927" s="2">
        <v>1</v>
      </c>
      <c r="H927" s="2">
        <v>4</v>
      </c>
      <c r="I927" s="2">
        <v>13182079</v>
      </c>
      <c r="J927" s="2" t="s">
        <v>267</v>
      </c>
      <c r="K927" s="2" t="s">
        <v>350</v>
      </c>
      <c r="L927" s="2" t="str">
        <f>"63445040506001"</f>
        <v>63445040506001</v>
      </c>
      <c r="M927" s="2" t="s">
        <v>2</v>
      </c>
      <c r="N927" s="18">
        <v>31650</v>
      </c>
      <c r="O927" s="2" t="s">
        <v>684</v>
      </c>
    </row>
    <row r="928" spans="1:15" s="2" customFormat="1" x14ac:dyDescent="0.25">
      <c r="A928" s="2">
        <v>928</v>
      </c>
      <c r="B928" s="2">
        <v>1</v>
      </c>
      <c r="C928" s="2">
        <v>60</v>
      </c>
      <c r="D928" s="2">
        <v>1</v>
      </c>
      <c r="E928" s="2">
        <v>5</v>
      </c>
      <c r="G928" s="2">
        <v>1</v>
      </c>
      <c r="H928" s="2">
        <v>4</v>
      </c>
      <c r="I928" s="2">
        <v>13182006</v>
      </c>
      <c r="J928" s="2" t="s">
        <v>268</v>
      </c>
      <c r="K928" s="2" t="s">
        <v>685</v>
      </c>
      <c r="L928" s="2" t="str">
        <f>"VR11800028897"</f>
        <v>VR11800028897</v>
      </c>
      <c r="M928" s="2" t="s">
        <v>2</v>
      </c>
      <c r="N928" s="18">
        <v>31651</v>
      </c>
      <c r="O928" s="2" t="s">
        <v>686</v>
      </c>
    </row>
    <row r="929" spans="1:15" s="2" customFormat="1" x14ac:dyDescent="0.25">
      <c r="A929" s="2">
        <v>929</v>
      </c>
      <c r="B929" s="2">
        <v>2</v>
      </c>
      <c r="C929" s="2">
        <v>76</v>
      </c>
      <c r="D929" s="2">
        <v>1</v>
      </c>
      <c r="E929" s="2">
        <v>27</v>
      </c>
      <c r="G929" s="2">
        <v>1</v>
      </c>
      <c r="H929" s="2">
        <v>39</v>
      </c>
      <c r="I929" s="2">
        <v>7606414</v>
      </c>
      <c r="J929" s="2" t="s">
        <v>266</v>
      </c>
      <c r="K929" s="2" t="s">
        <v>405</v>
      </c>
      <c r="L929" s="2" t="str">
        <f>"14101030116002"</f>
        <v>14101030116002</v>
      </c>
      <c r="M929" s="2" t="s">
        <v>2</v>
      </c>
      <c r="N929" s="18">
        <v>31652</v>
      </c>
      <c r="O929" s="2">
        <v>280</v>
      </c>
    </row>
    <row r="930" spans="1:15" s="2" customFormat="1" x14ac:dyDescent="0.25">
      <c r="A930" s="2">
        <v>930</v>
      </c>
      <c r="B930" s="2">
        <v>2</v>
      </c>
      <c r="C930" s="2">
        <v>76</v>
      </c>
      <c r="D930" s="2">
        <v>1</v>
      </c>
      <c r="E930" s="2">
        <v>4</v>
      </c>
      <c r="G930" s="2">
        <v>1</v>
      </c>
      <c r="H930" s="2">
        <v>39</v>
      </c>
      <c r="I930" s="2">
        <v>7606415</v>
      </c>
      <c r="J930" s="2" t="s">
        <v>266</v>
      </c>
      <c r="K930" s="2" t="s">
        <v>405</v>
      </c>
      <c r="L930" s="2" t="str">
        <f>"14101030116003"</f>
        <v>14101030116003</v>
      </c>
      <c r="M930" s="2" t="s">
        <v>2</v>
      </c>
      <c r="N930" s="18">
        <v>31653</v>
      </c>
      <c r="O930" s="2">
        <v>280</v>
      </c>
    </row>
    <row r="931" spans="1:15" s="2" customFormat="1" x14ac:dyDescent="0.25">
      <c r="A931" s="2">
        <v>931</v>
      </c>
      <c r="B931" s="2">
        <v>2</v>
      </c>
      <c r="C931" s="2">
        <v>76</v>
      </c>
      <c r="D931" s="2">
        <v>1</v>
      </c>
      <c r="E931" s="2">
        <v>22</v>
      </c>
      <c r="G931" s="2">
        <v>1</v>
      </c>
      <c r="H931" s="2">
        <v>39</v>
      </c>
      <c r="I931" s="2">
        <v>5993572</v>
      </c>
      <c r="J931" s="2" t="s">
        <v>237</v>
      </c>
      <c r="K931" s="2" t="s">
        <v>350</v>
      </c>
      <c r="L931" s="2" t="str">
        <f>"14101060101001"</f>
        <v>14101060101001</v>
      </c>
      <c r="M931" s="2" t="s">
        <v>31</v>
      </c>
      <c r="N931" s="18">
        <v>31654</v>
      </c>
      <c r="O931" s="2" t="s">
        <v>687</v>
      </c>
    </row>
    <row r="932" spans="1:15" s="2" customFormat="1" x14ac:dyDescent="0.25">
      <c r="A932" s="2">
        <v>932</v>
      </c>
      <c r="B932" s="2">
        <v>2</v>
      </c>
      <c r="C932" s="2">
        <v>76</v>
      </c>
      <c r="D932" s="2">
        <v>1</v>
      </c>
      <c r="E932" s="2">
        <v>2</v>
      </c>
      <c r="G932" s="2">
        <v>1</v>
      </c>
      <c r="H932" s="2">
        <v>39</v>
      </c>
      <c r="I932" s="2">
        <v>13460198</v>
      </c>
      <c r="J932" s="2" t="s">
        <v>225</v>
      </c>
      <c r="K932" s="2" t="s">
        <v>350</v>
      </c>
      <c r="L932" s="2" t="str">
        <f>"63445060101001"</f>
        <v>63445060101001</v>
      </c>
      <c r="M932" s="2" t="s">
        <v>2</v>
      </c>
      <c r="N932" s="18">
        <v>31655</v>
      </c>
      <c r="O932" s="2" t="s">
        <v>483</v>
      </c>
    </row>
    <row r="933" spans="1:15" s="2" customFormat="1" x14ac:dyDescent="0.25">
      <c r="A933" s="2">
        <v>933</v>
      </c>
      <c r="B933" s="2">
        <v>2</v>
      </c>
      <c r="C933" s="2">
        <v>76</v>
      </c>
      <c r="D933" s="2">
        <v>1</v>
      </c>
      <c r="E933" s="2">
        <v>20</v>
      </c>
      <c r="G933" s="2">
        <v>1</v>
      </c>
      <c r="H933" s="2">
        <v>39</v>
      </c>
      <c r="I933" s="2">
        <v>13460199</v>
      </c>
      <c r="J933" s="2" t="s">
        <v>225</v>
      </c>
      <c r="K933" s="2" t="s">
        <v>350</v>
      </c>
      <c r="L933" s="2" t="str">
        <f>"63445060101002"</f>
        <v>63445060101002</v>
      </c>
      <c r="M933" s="2" t="s">
        <v>2</v>
      </c>
      <c r="N933" s="18">
        <v>31656</v>
      </c>
      <c r="O933" s="2" t="s">
        <v>483</v>
      </c>
    </row>
    <row r="934" spans="1:15" s="2" customFormat="1" x14ac:dyDescent="0.25">
      <c r="A934" s="2">
        <v>934</v>
      </c>
      <c r="B934" s="2">
        <v>2</v>
      </c>
      <c r="C934" s="2">
        <v>76</v>
      </c>
      <c r="D934" s="2">
        <v>1</v>
      </c>
      <c r="E934" s="2">
        <v>25</v>
      </c>
      <c r="G934" s="2">
        <v>1</v>
      </c>
      <c r="H934" s="2">
        <v>39</v>
      </c>
      <c r="I934" s="2">
        <v>13460200</v>
      </c>
      <c r="J934" s="2" t="s">
        <v>225</v>
      </c>
      <c r="K934" s="2" t="s">
        <v>350</v>
      </c>
      <c r="L934" s="2" t="str">
        <f>"63445060101007"</f>
        <v>63445060101007</v>
      </c>
      <c r="M934" s="2" t="s">
        <v>2</v>
      </c>
      <c r="N934" s="18">
        <v>31657</v>
      </c>
      <c r="O934" s="2" t="s">
        <v>519</v>
      </c>
    </row>
    <row r="935" spans="1:15" s="2" customFormat="1" x14ac:dyDescent="0.25">
      <c r="A935" s="2">
        <v>935</v>
      </c>
      <c r="B935" s="2">
        <v>2</v>
      </c>
      <c r="C935" s="2">
        <v>76</v>
      </c>
      <c r="D935" s="2">
        <v>1</v>
      </c>
      <c r="E935" s="2">
        <v>20</v>
      </c>
      <c r="G935" s="2">
        <v>1</v>
      </c>
      <c r="H935" s="2">
        <v>39</v>
      </c>
      <c r="I935" s="2">
        <v>13460201</v>
      </c>
      <c r="J935" s="2" t="s">
        <v>225</v>
      </c>
      <c r="K935" s="2" t="s">
        <v>350</v>
      </c>
      <c r="L935" s="2" t="str">
        <f>"63445060101004"</f>
        <v>63445060101004</v>
      </c>
      <c r="M935" s="2" t="s">
        <v>2</v>
      </c>
      <c r="N935" s="18">
        <v>31658</v>
      </c>
      <c r="O935" s="2" t="s">
        <v>688</v>
      </c>
    </row>
    <row r="936" spans="1:15" s="2" customFormat="1" x14ac:dyDescent="0.25">
      <c r="A936" s="2">
        <v>936</v>
      </c>
      <c r="B936" s="2">
        <v>2</v>
      </c>
      <c r="C936" s="2">
        <v>76</v>
      </c>
      <c r="D936" s="2">
        <v>1</v>
      </c>
      <c r="E936" s="2">
        <v>5</v>
      </c>
      <c r="G936" s="2">
        <v>1</v>
      </c>
      <c r="H936" s="2">
        <v>39</v>
      </c>
      <c r="I936" s="2">
        <v>9185650</v>
      </c>
      <c r="J936" s="2" t="s">
        <v>285</v>
      </c>
      <c r="L936" s="2" t="str">
        <f>"9185650"</f>
        <v>9185650</v>
      </c>
      <c r="M936" s="2" t="s">
        <v>31</v>
      </c>
      <c r="N936" s="18">
        <v>31659</v>
      </c>
      <c r="O936" s="2" t="s">
        <v>689</v>
      </c>
    </row>
    <row r="937" spans="1:15" s="2" customFormat="1" x14ac:dyDescent="0.25">
      <c r="A937" s="2">
        <v>937</v>
      </c>
      <c r="B937" s="2">
        <v>2</v>
      </c>
      <c r="C937" s="2">
        <v>76</v>
      </c>
      <c r="D937" s="2">
        <v>1</v>
      </c>
      <c r="E937" s="2">
        <v>3</v>
      </c>
      <c r="G937" s="2">
        <v>1</v>
      </c>
      <c r="H937" s="2">
        <v>39</v>
      </c>
      <c r="I937" s="2">
        <v>9185649</v>
      </c>
      <c r="J937" s="2" t="s">
        <v>285</v>
      </c>
      <c r="L937" s="2" t="str">
        <f>"9185649"</f>
        <v>9185649</v>
      </c>
      <c r="M937" s="2" t="s">
        <v>31</v>
      </c>
      <c r="N937" s="18">
        <v>31660</v>
      </c>
      <c r="O937" s="2" t="s">
        <v>689</v>
      </c>
    </row>
    <row r="938" spans="1:15" s="2" customFormat="1" x14ac:dyDescent="0.25">
      <c r="A938" s="2">
        <v>938</v>
      </c>
      <c r="B938" s="2">
        <v>2</v>
      </c>
      <c r="C938" s="2">
        <v>76</v>
      </c>
      <c r="D938" s="2">
        <v>1</v>
      </c>
      <c r="E938" s="2">
        <v>5</v>
      </c>
      <c r="G938" s="2">
        <v>1</v>
      </c>
      <c r="H938" s="2">
        <v>39</v>
      </c>
      <c r="I938" s="2">
        <v>9185656</v>
      </c>
      <c r="J938" s="2" t="s">
        <v>285</v>
      </c>
      <c r="L938" s="2" t="str">
        <f>"9185656"</f>
        <v>9185656</v>
      </c>
      <c r="M938" s="2" t="s">
        <v>31</v>
      </c>
      <c r="N938" s="18">
        <v>31661</v>
      </c>
      <c r="O938" s="2" t="s">
        <v>689</v>
      </c>
    </row>
    <row r="939" spans="1:15" s="2" customFormat="1" x14ac:dyDescent="0.25">
      <c r="A939" s="2">
        <v>939</v>
      </c>
      <c r="B939" s="2">
        <v>2</v>
      </c>
      <c r="C939" s="2">
        <v>76</v>
      </c>
      <c r="D939" s="2">
        <v>1</v>
      </c>
      <c r="E939" s="2">
        <v>3</v>
      </c>
      <c r="G939" s="2">
        <v>1</v>
      </c>
      <c r="H939" s="2">
        <v>39</v>
      </c>
      <c r="I939" s="2">
        <v>9185648</v>
      </c>
      <c r="J939" s="2" t="s">
        <v>285</v>
      </c>
      <c r="L939" s="2" t="str">
        <f>"9185648"</f>
        <v>9185648</v>
      </c>
      <c r="M939" s="2" t="s">
        <v>31</v>
      </c>
      <c r="N939" s="18">
        <v>31662</v>
      </c>
      <c r="O939" s="2" t="s">
        <v>690</v>
      </c>
    </row>
    <row r="940" spans="1:15" s="2" customFormat="1" x14ac:dyDescent="0.25">
      <c r="A940" s="2">
        <v>940</v>
      </c>
      <c r="B940" s="2">
        <v>2</v>
      </c>
      <c r="C940" s="2">
        <v>76</v>
      </c>
      <c r="D940" s="2">
        <v>1</v>
      </c>
      <c r="E940" s="2">
        <v>5</v>
      </c>
      <c r="G940" s="2">
        <v>1</v>
      </c>
      <c r="H940" s="2">
        <v>39</v>
      </c>
      <c r="I940" s="2">
        <v>9185651</v>
      </c>
      <c r="J940" s="2" t="s">
        <v>285</v>
      </c>
      <c r="L940" s="2" t="str">
        <f>"9185651"</f>
        <v>9185651</v>
      </c>
      <c r="M940" s="2" t="s">
        <v>31</v>
      </c>
      <c r="N940" s="18">
        <v>31663</v>
      </c>
      <c r="O940" s="2" t="s">
        <v>689</v>
      </c>
    </row>
    <row r="941" spans="1:15" s="2" customFormat="1" x14ac:dyDescent="0.25">
      <c r="A941" s="2">
        <v>941</v>
      </c>
      <c r="B941" s="2">
        <v>2</v>
      </c>
      <c r="C941" s="2">
        <v>76</v>
      </c>
      <c r="D941" s="2">
        <v>1</v>
      </c>
      <c r="E941" s="2">
        <v>5</v>
      </c>
      <c r="G941" s="2">
        <v>1</v>
      </c>
      <c r="H941" s="2">
        <v>39</v>
      </c>
      <c r="I941" s="2">
        <v>9185652</v>
      </c>
      <c r="J941" s="2" t="s">
        <v>285</v>
      </c>
      <c r="L941" s="2" t="str">
        <f>"9185652"</f>
        <v>9185652</v>
      </c>
      <c r="M941" s="2" t="s">
        <v>31</v>
      </c>
      <c r="N941" s="18">
        <v>31664</v>
      </c>
      <c r="O941" s="2" t="s">
        <v>689</v>
      </c>
    </row>
    <row r="942" spans="1:15" s="2" customFormat="1" x14ac:dyDescent="0.25">
      <c r="A942" s="2">
        <v>942</v>
      </c>
      <c r="B942" s="2">
        <v>2</v>
      </c>
      <c r="C942" s="2">
        <v>76</v>
      </c>
      <c r="D942" s="2">
        <v>1</v>
      </c>
      <c r="E942" s="2">
        <v>5</v>
      </c>
      <c r="G942" s="2">
        <v>1</v>
      </c>
      <c r="H942" s="2">
        <v>39</v>
      </c>
      <c r="I942" s="2">
        <v>9185653</v>
      </c>
      <c r="J942" s="2" t="s">
        <v>285</v>
      </c>
      <c r="L942" s="2" t="str">
        <f>"9185653"</f>
        <v>9185653</v>
      </c>
      <c r="M942" s="2" t="s">
        <v>31</v>
      </c>
      <c r="N942" s="18">
        <v>31665</v>
      </c>
      <c r="O942" s="2" t="s">
        <v>689</v>
      </c>
    </row>
    <row r="943" spans="1:15" s="2" customFormat="1" x14ac:dyDescent="0.25">
      <c r="A943" s="2">
        <v>943</v>
      </c>
      <c r="B943" s="2">
        <v>2</v>
      </c>
      <c r="C943" s="2">
        <v>76</v>
      </c>
      <c r="D943" s="2">
        <v>1</v>
      </c>
      <c r="E943" s="2">
        <v>5</v>
      </c>
      <c r="G943" s="2">
        <v>1</v>
      </c>
      <c r="H943" s="2">
        <v>39</v>
      </c>
      <c r="I943" s="2">
        <v>9185654</v>
      </c>
      <c r="J943" s="2" t="s">
        <v>285</v>
      </c>
      <c r="L943" s="2" t="str">
        <f>"9185654"</f>
        <v>9185654</v>
      </c>
      <c r="M943" s="2" t="s">
        <v>31</v>
      </c>
      <c r="N943" s="18">
        <v>31666</v>
      </c>
      <c r="O943" s="2" t="s">
        <v>689</v>
      </c>
    </row>
    <row r="944" spans="1:15" s="2" customFormat="1" x14ac:dyDescent="0.25">
      <c r="A944" s="2">
        <v>944</v>
      </c>
      <c r="B944" s="2">
        <v>2</v>
      </c>
      <c r="C944" s="2">
        <v>76</v>
      </c>
      <c r="D944" s="2">
        <v>1</v>
      </c>
      <c r="E944" s="2">
        <v>5</v>
      </c>
      <c r="G944" s="2">
        <v>1</v>
      </c>
      <c r="H944" s="2">
        <v>39</v>
      </c>
      <c r="I944" s="2">
        <v>9185655</v>
      </c>
      <c r="J944" s="2" t="s">
        <v>285</v>
      </c>
      <c r="L944" s="2" t="str">
        <f>"9185655"</f>
        <v>9185655</v>
      </c>
      <c r="M944" s="2" t="s">
        <v>31</v>
      </c>
      <c r="N944" s="18">
        <v>31667</v>
      </c>
      <c r="O944" s="2" t="s">
        <v>689</v>
      </c>
    </row>
    <row r="945" spans="1:15" s="2" customFormat="1" x14ac:dyDescent="0.25">
      <c r="A945" s="2">
        <v>945</v>
      </c>
      <c r="B945" s="2">
        <v>2</v>
      </c>
      <c r="C945" s="2">
        <v>76</v>
      </c>
      <c r="D945" s="2">
        <v>1</v>
      </c>
      <c r="E945" s="2">
        <v>5</v>
      </c>
      <c r="G945" s="2">
        <v>1</v>
      </c>
      <c r="H945" s="2">
        <v>39</v>
      </c>
      <c r="I945" s="2">
        <v>9185657</v>
      </c>
      <c r="J945" s="2" t="s">
        <v>285</v>
      </c>
      <c r="L945" s="2" t="str">
        <f>"9185657"</f>
        <v>9185657</v>
      </c>
      <c r="M945" s="2" t="s">
        <v>31</v>
      </c>
      <c r="N945" s="18">
        <v>31668</v>
      </c>
      <c r="O945" s="2" t="s">
        <v>689</v>
      </c>
    </row>
    <row r="946" spans="1:15" s="2" customFormat="1" x14ac:dyDescent="0.25">
      <c r="A946" s="2">
        <v>946</v>
      </c>
      <c r="B946" s="2">
        <v>2</v>
      </c>
      <c r="C946" s="2">
        <v>76</v>
      </c>
      <c r="D946" s="2">
        <v>1</v>
      </c>
      <c r="E946" s="2">
        <v>5</v>
      </c>
      <c r="G946" s="2">
        <v>1</v>
      </c>
      <c r="H946" s="2">
        <v>39</v>
      </c>
      <c r="I946" s="2">
        <v>9185658</v>
      </c>
      <c r="J946" s="2" t="s">
        <v>286</v>
      </c>
      <c r="L946" s="2" t="str">
        <f>"9185658"</f>
        <v>9185658</v>
      </c>
      <c r="M946" s="2" t="s">
        <v>31</v>
      </c>
      <c r="N946" s="18">
        <v>31669</v>
      </c>
      <c r="O946" s="2" t="s">
        <v>691</v>
      </c>
    </row>
    <row r="947" spans="1:15" s="2" customFormat="1" x14ac:dyDescent="0.25">
      <c r="A947" s="2">
        <v>947</v>
      </c>
      <c r="B947" s="2">
        <v>2</v>
      </c>
      <c r="C947" s="2">
        <v>76</v>
      </c>
      <c r="D947" s="2">
        <v>1</v>
      </c>
      <c r="E947" s="2">
        <v>5</v>
      </c>
      <c r="G947" s="2">
        <v>1</v>
      </c>
      <c r="H947" s="2">
        <v>39</v>
      </c>
      <c r="I947" s="2">
        <v>9185659</v>
      </c>
      <c r="J947" s="2" t="s">
        <v>286</v>
      </c>
      <c r="L947" s="2" t="str">
        <f>"9185659"</f>
        <v>9185659</v>
      </c>
      <c r="M947" s="2" t="s">
        <v>31</v>
      </c>
      <c r="N947" s="18">
        <v>31670</v>
      </c>
      <c r="O947" s="2" t="s">
        <v>691</v>
      </c>
    </row>
    <row r="948" spans="1:15" s="2" customFormat="1" x14ac:dyDescent="0.25">
      <c r="A948" s="2">
        <v>948</v>
      </c>
      <c r="B948" s="2">
        <v>2</v>
      </c>
      <c r="C948" s="2">
        <v>76</v>
      </c>
      <c r="D948" s="2">
        <v>1</v>
      </c>
      <c r="E948" s="2">
        <v>5</v>
      </c>
      <c r="G948" s="2">
        <v>1</v>
      </c>
      <c r="H948" s="2">
        <v>39</v>
      </c>
      <c r="I948" s="2">
        <v>9185663</v>
      </c>
      <c r="J948" s="2" t="s">
        <v>286</v>
      </c>
      <c r="L948" s="2" t="str">
        <f>"9185663"</f>
        <v>9185663</v>
      </c>
      <c r="M948" s="2" t="s">
        <v>31</v>
      </c>
      <c r="N948" s="18">
        <v>31671</v>
      </c>
      <c r="O948" s="2" t="s">
        <v>691</v>
      </c>
    </row>
    <row r="949" spans="1:15" s="2" customFormat="1" x14ac:dyDescent="0.25">
      <c r="A949" s="2">
        <v>949</v>
      </c>
      <c r="B949" s="2">
        <v>2</v>
      </c>
      <c r="C949" s="2">
        <v>76</v>
      </c>
      <c r="D949" s="2">
        <v>1</v>
      </c>
      <c r="E949" s="2">
        <v>5</v>
      </c>
      <c r="G949" s="2">
        <v>1</v>
      </c>
      <c r="H949" s="2">
        <v>39</v>
      </c>
      <c r="I949" s="2">
        <v>9185660</v>
      </c>
      <c r="J949" s="2" t="s">
        <v>286</v>
      </c>
      <c r="L949" s="2" t="str">
        <f>"9185660"</f>
        <v>9185660</v>
      </c>
      <c r="M949" s="2" t="s">
        <v>31</v>
      </c>
      <c r="N949" s="18">
        <v>31672</v>
      </c>
      <c r="O949" s="2" t="s">
        <v>691</v>
      </c>
    </row>
    <row r="950" spans="1:15" s="2" customFormat="1" x14ac:dyDescent="0.25">
      <c r="A950" s="2">
        <v>950</v>
      </c>
      <c r="B950" s="2">
        <v>2</v>
      </c>
      <c r="C950" s="2">
        <v>76</v>
      </c>
      <c r="D950" s="2">
        <v>1</v>
      </c>
      <c r="E950" s="2">
        <v>5</v>
      </c>
      <c r="G950" s="2">
        <v>1</v>
      </c>
      <c r="H950" s="2">
        <v>39</v>
      </c>
      <c r="I950" s="2">
        <v>9185661</v>
      </c>
      <c r="J950" s="2" t="s">
        <v>286</v>
      </c>
      <c r="L950" s="2" t="str">
        <f>"9185661"</f>
        <v>9185661</v>
      </c>
      <c r="M950" s="2" t="s">
        <v>31</v>
      </c>
      <c r="N950" s="18">
        <v>31673</v>
      </c>
      <c r="O950" s="2" t="s">
        <v>691</v>
      </c>
    </row>
    <row r="951" spans="1:15" s="2" customFormat="1" x14ac:dyDescent="0.25">
      <c r="A951" s="2">
        <v>951</v>
      </c>
      <c r="B951" s="2">
        <v>2</v>
      </c>
      <c r="C951" s="2">
        <v>76</v>
      </c>
      <c r="D951" s="2">
        <v>1</v>
      </c>
      <c r="E951" s="2">
        <v>5</v>
      </c>
      <c r="G951" s="2">
        <v>1</v>
      </c>
      <c r="H951" s="2">
        <v>39</v>
      </c>
      <c r="I951" s="2">
        <v>9185662</v>
      </c>
      <c r="J951" s="2" t="s">
        <v>286</v>
      </c>
      <c r="L951" s="2" t="str">
        <f>"9185662"</f>
        <v>9185662</v>
      </c>
      <c r="M951" s="2" t="s">
        <v>31</v>
      </c>
      <c r="N951" s="18">
        <v>31674</v>
      </c>
      <c r="O951" s="2" t="s">
        <v>691</v>
      </c>
    </row>
    <row r="952" spans="1:15" s="2" customFormat="1" x14ac:dyDescent="0.25">
      <c r="A952" s="2">
        <v>952</v>
      </c>
      <c r="B952" s="2">
        <v>2</v>
      </c>
      <c r="C952" s="2">
        <v>76</v>
      </c>
      <c r="D952" s="2">
        <v>1</v>
      </c>
      <c r="E952" s="2">
        <v>5</v>
      </c>
      <c r="G952" s="2">
        <v>1</v>
      </c>
      <c r="H952" s="2">
        <v>39</v>
      </c>
      <c r="I952" s="2">
        <v>9185664</v>
      </c>
      <c r="J952" s="2" t="s">
        <v>286</v>
      </c>
      <c r="L952" s="2" t="str">
        <f>"9185664"</f>
        <v>9185664</v>
      </c>
      <c r="M952" s="2" t="s">
        <v>31</v>
      </c>
      <c r="N952" s="18">
        <v>31675</v>
      </c>
      <c r="O952" s="2" t="s">
        <v>691</v>
      </c>
    </row>
    <row r="953" spans="1:15" s="2" customFormat="1" x14ac:dyDescent="0.25">
      <c r="A953" s="2">
        <v>953</v>
      </c>
      <c r="B953" s="2">
        <v>2</v>
      </c>
      <c r="C953" s="2">
        <v>76</v>
      </c>
      <c r="D953" s="2">
        <v>1</v>
      </c>
      <c r="E953" s="2">
        <v>5</v>
      </c>
      <c r="G953" s="2">
        <v>1</v>
      </c>
      <c r="H953" s="2">
        <v>39</v>
      </c>
      <c r="I953" s="2">
        <v>9185665</v>
      </c>
      <c r="J953" s="2" t="s">
        <v>286</v>
      </c>
      <c r="L953" s="2" t="str">
        <f>"9185665"</f>
        <v>9185665</v>
      </c>
      <c r="M953" s="2" t="s">
        <v>31</v>
      </c>
      <c r="N953" s="18">
        <v>31676</v>
      </c>
      <c r="O953" s="2" t="s">
        <v>691</v>
      </c>
    </row>
    <row r="954" spans="1:15" s="2" customFormat="1" x14ac:dyDescent="0.25">
      <c r="A954" s="2">
        <v>954</v>
      </c>
      <c r="B954" s="2">
        <v>2</v>
      </c>
      <c r="C954" s="2">
        <v>76</v>
      </c>
      <c r="D954" s="2">
        <v>1</v>
      </c>
      <c r="E954" s="2">
        <v>5</v>
      </c>
      <c r="G954" s="2">
        <v>1</v>
      </c>
      <c r="H954" s="2">
        <v>39</v>
      </c>
      <c r="I954" s="2">
        <v>9185666</v>
      </c>
      <c r="J954" s="2" t="s">
        <v>286</v>
      </c>
      <c r="L954" s="2" t="str">
        <f>"9185666"</f>
        <v>9185666</v>
      </c>
      <c r="M954" s="2" t="s">
        <v>31</v>
      </c>
      <c r="N954" s="18">
        <v>31677</v>
      </c>
      <c r="O954" s="2" t="s">
        <v>691</v>
      </c>
    </row>
    <row r="955" spans="1:15" s="2" customFormat="1" x14ac:dyDescent="0.25">
      <c r="A955" s="2">
        <v>955</v>
      </c>
      <c r="B955" s="2">
        <v>2</v>
      </c>
      <c r="C955" s="2">
        <v>76</v>
      </c>
      <c r="D955" s="2">
        <v>1</v>
      </c>
      <c r="E955" s="2">
        <v>5</v>
      </c>
      <c r="G955" s="2">
        <v>1</v>
      </c>
      <c r="H955" s="2">
        <v>39</v>
      </c>
      <c r="I955" s="2">
        <v>9185667</v>
      </c>
      <c r="J955" s="2" t="s">
        <v>286</v>
      </c>
      <c r="L955" s="2" t="str">
        <f>"9185667"</f>
        <v>9185667</v>
      </c>
      <c r="M955" s="2" t="s">
        <v>31</v>
      </c>
      <c r="N955" s="18">
        <v>31678</v>
      </c>
      <c r="O955" s="2" t="s">
        <v>691</v>
      </c>
    </row>
    <row r="956" spans="1:15" s="2" customFormat="1" x14ac:dyDescent="0.25">
      <c r="A956" s="2">
        <v>956</v>
      </c>
      <c r="B956" s="2">
        <v>2</v>
      </c>
      <c r="C956" s="2">
        <v>76</v>
      </c>
      <c r="D956" s="2">
        <v>1</v>
      </c>
      <c r="E956" s="2">
        <v>5</v>
      </c>
      <c r="G956" s="2">
        <v>1</v>
      </c>
      <c r="H956" s="2">
        <v>39</v>
      </c>
      <c r="I956" s="2">
        <v>9185668</v>
      </c>
      <c r="J956" s="2" t="s">
        <v>217</v>
      </c>
      <c r="L956" s="2" t="str">
        <f>"9185668"</f>
        <v>9185668</v>
      </c>
      <c r="M956" s="2" t="s">
        <v>31</v>
      </c>
      <c r="N956" s="18">
        <v>31679</v>
      </c>
      <c r="O956" s="2" t="s">
        <v>692</v>
      </c>
    </row>
    <row r="957" spans="1:15" s="2" customFormat="1" x14ac:dyDescent="0.25">
      <c r="A957" s="2">
        <v>957</v>
      </c>
      <c r="B957" s="2">
        <v>2</v>
      </c>
      <c r="C957" s="2">
        <v>76</v>
      </c>
      <c r="D957" s="2">
        <v>1</v>
      </c>
      <c r="E957" s="2">
        <v>5</v>
      </c>
      <c r="G957" s="2">
        <v>1</v>
      </c>
      <c r="H957" s="2">
        <v>39</v>
      </c>
      <c r="I957" s="2">
        <v>9185669</v>
      </c>
      <c r="J957" s="2" t="s">
        <v>217</v>
      </c>
      <c r="L957" s="2" t="str">
        <f>"9185669"</f>
        <v>9185669</v>
      </c>
      <c r="M957" s="2" t="s">
        <v>31</v>
      </c>
      <c r="N957" s="18">
        <v>31680</v>
      </c>
      <c r="O957" s="2" t="s">
        <v>692</v>
      </c>
    </row>
    <row r="958" spans="1:15" s="2" customFormat="1" x14ac:dyDescent="0.25">
      <c r="A958" s="2">
        <v>958</v>
      </c>
      <c r="B958" s="2">
        <v>2</v>
      </c>
      <c r="C958" s="2">
        <v>76</v>
      </c>
      <c r="D958" s="2">
        <v>1</v>
      </c>
      <c r="E958" s="2">
        <v>5</v>
      </c>
      <c r="G958" s="2">
        <v>1</v>
      </c>
      <c r="H958" s="2">
        <v>39</v>
      </c>
      <c r="I958" s="2">
        <v>9185670</v>
      </c>
      <c r="J958" s="2" t="s">
        <v>217</v>
      </c>
      <c r="L958" s="2" t="str">
        <f>"9185670"</f>
        <v>9185670</v>
      </c>
      <c r="M958" s="2" t="s">
        <v>31</v>
      </c>
      <c r="N958" s="18">
        <v>31681</v>
      </c>
      <c r="O958" s="2" t="s">
        <v>692</v>
      </c>
    </row>
    <row r="959" spans="1:15" s="2" customFormat="1" x14ac:dyDescent="0.25">
      <c r="A959" s="2">
        <v>959</v>
      </c>
      <c r="B959" s="2">
        <v>2</v>
      </c>
      <c r="C959" s="2">
        <v>76</v>
      </c>
      <c r="D959" s="2">
        <v>1</v>
      </c>
      <c r="E959" s="2">
        <v>5</v>
      </c>
      <c r="G959" s="2">
        <v>1</v>
      </c>
      <c r="H959" s="2">
        <v>39</v>
      </c>
      <c r="I959" s="2">
        <v>9185671</v>
      </c>
      <c r="J959" s="2" t="s">
        <v>217</v>
      </c>
      <c r="L959" s="2" t="str">
        <f>"9185671"</f>
        <v>9185671</v>
      </c>
      <c r="M959" s="2" t="s">
        <v>31</v>
      </c>
      <c r="N959" s="18">
        <v>31682</v>
      </c>
      <c r="O959" s="2" t="s">
        <v>692</v>
      </c>
    </row>
    <row r="960" spans="1:15" s="2" customFormat="1" x14ac:dyDescent="0.25">
      <c r="A960" s="2">
        <v>960</v>
      </c>
      <c r="B960" s="2">
        <v>2</v>
      </c>
      <c r="C960" s="2">
        <v>76</v>
      </c>
      <c r="D960" s="2">
        <v>1</v>
      </c>
      <c r="E960" s="2">
        <v>5</v>
      </c>
      <c r="G960" s="2">
        <v>1</v>
      </c>
      <c r="H960" s="2">
        <v>39</v>
      </c>
      <c r="I960" s="2">
        <v>9185672</v>
      </c>
      <c r="J960" s="2" t="s">
        <v>217</v>
      </c>
      <c r="L960" s="2" t="str">
        <f>"9185672"</f>
        <v>9185672</v>
      </c>
      <c r="M960" s="2" t="s">
        <v>31</v>
      </c>
      <c r="N960" s="18">
        <v>31683</v>
      </c>
      <c r="O960" s="2" t="s">
        <v>692</v>
      </c>
    </row>
    <row r="961" spans="1:15" s="2" customFormat="1" x14ac:dyDescent="0.25">
      <c r="A961" s="2">
        <v>961</v>
      </c>
      <c r="B961" s="2">
        <v>2</v>
      </c>
      <c r="C961" s="2">
        <v>76</v>
      </c>
      <c r="D961" s="2">
        <v>1</v>
      </c>
      <c r="E961" s="2">
        <v>10</v>
      </c>
      <c r="G961" s="2">
        <v>1</v>
      </c>
      <c r="H961" s="2">
        <v>39</v>
      </c>
      <c r="I961" s="2">
        <v>11114514</v>
      </c>
      <c r="J961" s="2" t="s">
        <v>279</v>
      </c>
      <c r="L961" s="2" t="str">
        <f>"11114514"</f>
        <v>11114514</v>
      </c>
      <c r="M961" s="2" t="s">
        <v>31</v>
      </c>
      <c r="N961" s="18">
        <v>31684</v>
      </c>
      <c r="O961" s="2" t="s">
        <v>693</v>
      </c>
    </row>
    <row r="962" spans="1:15" s="2" customFormat="1" x14ac:dyDescent="0.25">
      <c r="A962" s="2">
        <v>962</v>
      </c>
      <c r="B962" s="2">
        <v>2</v>
      </c>
      <c r="C962" s="2">
        <v>76</v>
      </c>
      <c r="D962" s="2">
        <v>1</v>
      </c>
      <c r="E962" s="2">
        <v>10</v>
      </c>
      <c r="G962" s="2">
        <v>1</v>
      </c>
      <c r="H962" s="2">
        <v>39</v>
      </c>
      <c r="I962" s="2">
        <v>11114509</v>
      </c>
      <c r="J962" s="2" t="s">
        <v>279</v>
      </c>
      <c r="L962" s="2" t="str">
        <f>"11114509"</f>
        <v>11114509</v>
      </c>
      <c r="M962" s="2" t="s">
        <v>31</v>
      </c>
      <c r="N962" s="18">
        <v>31685</v>
      </c>
      <c r="O962" s="2" t="s">
        <v>693</v>
      </c>
    </row>
    <row r="963" spans="1:15" s="2" customFormat="1" x14ac:dyDescent="0.25">
      <c r="A963" s="2">
        <v>963</v>
      </c>
      <c r="B963" s="2">
        <v>2</v>
      </c>
      <c r="C963" s="2">
        <v>76</v>
      </c>
      <c r="D963" s="2">
        <v>1</v>
      </c>
      <c r="E963" s="2">
        <v>10</v>
      </c>
      <c r="G963" s="2">
        <v>1</v>
      </c>
      <c r="H963" s="2">
        <v>39</v>
      </c>
      <c r="I963" s="2">
        <v>11114513</v>
      </c>
      <c r="J963" s="2" t="s">
        <v>279</v>
      </c>
      <c r="L963" s="2" t="str">
        <f>"11114513"</f>
        <v>11114513</v>
      </c>
      <c r="M963" s="2" t="s">
        <v>31</v>
      </c>
      <c r="N963" s="18">
        <v>31686</v>
      </c>
      <c r="O963" s="2" t="s">
        <v>693</v>
      </c>
    </row>
    <row r="964" spans="1:15" s="2" customFormat="1" x14ac:dyDescent="0.25">
      <c r="A964" s="2">
        <v>964</v>
      </c>
      <c r="B964" s="2">
        <v>2</v>
      </c>
      <c r="C964" s="2">
        <v>76</v>
      </c>
      <c r="D964" s="2">
        <v>1</v>
      </c>
      <c r="E964" s="2">
        <v>10</v>
      </c>
      <c r="G964" s="2">
        <v>1</v>
      </c>
      <c r="H964" s="2">
        <v>39</v>
      </c>
      <c r="I964" s="2">
        <v>11114510</v>
      </c>
      <c r="J964" s="2" t="s">
        <v>279</v>
      </c>
      <c r="L964" s="2" t="str">
        <f>"11114510"</f>
        <v>11114510</v>
      </c>
      <c r="M964" s="2" t="s">
        <v>31</v>
      </c>
      <c r="N964" s="18">
        <v>31687</v>
      </c>
      <c r="O964" s="2" t="s">
        <v>693</v>
      </c>
    </row>
    <row r="965" spans="1:15" s="2" customFormat="1" x14ac:dyDescent="0.25">
      <c r="A965" s="2">
        <v>965</v>
      </c>
      <c r="B965" s="2">
        <v>2</v>
      </c>
      <c r="C965" s="2">
        <v>76</v>
      </c>
      <c r="D965" s="2">
        <v>1</v>
      </c>
      <c r="E965" s="2">
        <v>10</v>
      </c>
      <c r="G965" s="2">
        <v>1</v>
      </c>
      <c r="H965" s="2">
        <v>39</v>
      </c>
      <c r="I965" s="2">
        <v>11114512</v>
      </c>
      <c r="J965" s="2" t="s">
        <v>279</v>
      </c>
      <c r="L965" s="2" t="str">
        <f>"11114512"</f>
        <v>11114512</v>
      </c>
      <c r="M965" s="2" t="s">
        <v>31</v>
      </c>
      <c r="N965" s="18">
        <v>31688</v>
      </c>
      <c r="O965" s="2" t="s">
        <v>693</v>
      </c>
    </row>
    <row r="966" spans="1:15" s="2" customFormat="1" x14ac:dyDescent="0.25">
      <c r="A966" s="2">
        <v>966</v>
      </c>
      <c r="B966" s="2">
        <v>2</v>
      </c>
      <c r="C966" s="2">
        <v>76</v>
      </c>
      <c r="D966" s="2">
        <v>1</v>
      </c>
      <c r="E966" s="2">
        <v>10</v>
      </c>
      <c r="G966" s="2">
        <v>1</v>
      </c>
      <c r="H966" s="2">
        <v>39</v>
      </c>
      <c r="I966" s="2">
        <v>11114511</v>
      </c>
      <c r="J966" s="2" t="s">
        <v>279</v>
      </c>
      <c r="L966" s="2" t="str">
        <f>"11114511"</f>
        <v>11114511</v>
      </c>
      <c r="M966" s="2" t="s">
        <v>31</v>
      </c>
      <c r="N966" s="18">
        <v>31689</v>
      </c>
      <c r="O966" s="2" t="s">
        <v>693</v>
      </c>
    </row>
    <row r="967" spans="1:15" s="2" customFormat="1" x14ac:dyDescent="0.25">
      <c r="A967" s="2">
        <v>967</v>
      </c>
      <c r="B967" s="2">
        <v>1</v>
      </c>
      <c r="C967" s="2">
        <v>33</v>
      </c>
      <c r="D967" s="2">
        <v>1</v>
      </c>
      <c r="E967" s="2">
        <v>20</v>
      </c>
      <c r="G967" s="2">
        <v>1</v>
      </c>
      <c r="H967" s="2">
        <v>4</v>
      </c>
      <c r="I967" s="2">
        <v>13182082</v>
      </c>
      <c r="J967" s="2" t="s">
        <v>181</v>
      </c>
      <c r="K967" s="2" t="s">
        <v>694</v>
      </c>
      <c r="L967" s="2" t="str">
        <f>"63445040401014"</f>
        <v>63445040401014</v>
      </c>
      <c r="M967" s="2" t="s">
        <v>2</v>
      </c>
      <c r="N967" s="18">
        <v>31690</v>
      </c>
      <c r="O967" s="2" t="s">
        <v>695</v>
      </c>
    </row>
    <row r="968" spans="1:15" s="2" customFormat="1" x14ac:dyDescent="0.25">
      <c r="A968" s="2">
        <v>968</v>
      </c>
      <c r="B968" s="2">
        <v>1</v>
      </c>
      <c r="C968" s="2">
        <v>33</v>
      </c>
      <c r="D968" s="2">
        <v>1</v>
      </c>
      <c r="E968" s="2">
        <v>20</v>
      </c>
      <c r="G968" s="2">
        <v>1</v>
      </c>
      <c r="H968" s="2">
        <v>4</v>
      </c>
      <c r="I968" s="2">
        <v>13182083</v>
      </c>
      <c r="J968" s="2" t="s">
        <v>181</v>
      </c>
      <c r="K968" s="2" t="s">
        <v>694</v>
      </c>
      <c r="L968" s="2" t="str">
        <f>"63445040401015"</f>
        <v>63445040401015</v>
      </c>
      <c r="M968" s="2" t="s">
        <v>2</v>
      </c>
      <c r="N968" s="18">
        <v>31691</v>
      </c>
      <c r="O968" s="2" t="s">
        <v>695</v>
      </c>
    </row>
    <row r="969" spans="1:15" s="2" customFormat="1" x14ac:dyDescent="0.25">
      <c r="A969" s="2">
        <v>969</v>
      </c>
      <c r="B969" s="2">
        <v>1</v>
      </c>
      <c r="C969" s="2">
        <v>33</v>
      </c>
      <c r="D969" s="2">
        <v>1</v>
      </c>
      <c r="E969" s="2">
        <v>20</v>
      </c>
      <c r="G969" s="2">
        <v>1</v>
      </c>
      <c r="H969" s="2">
        <v>4</v>
      </c>
      <c r="I969" s="2">
        <v>13182084</v>
      </c>
      <c r="J969" s="2" t="s">
        <v>181</v>
      </c>
      <c r="K969" s="2" t="s">
        <v>694</v>
      </c>
      <c r="L969" s="2" t="str">
        <f>"63445040401016"</f>
        <v>63445040401016</v>
      </c>
      <c r="M969" s="2" t="s">
        <v>2</v>
      </c>
      <c r="N969" s="18">
        <v>31692</v>
      </c>
      <c r="O969" s="2" t="s">
        <v>695</v>
      </c>
    </row>
    <row r="970" spans="1:15" s="2" customFormat="1" x14ac:dyDescent="0.25">
      <c r="A970" s="2">
        <v>970</v>
      </c>
      <c r="B970" s="2">
        <v>1</v>
      </c>
      <c r="C970" s="2">
        <v>33</v>
      </c>
      <c r="D970" s="2">
        <v>1</v>
      </c>
      <c r="E970" s="2">
        <v>20</v>
      </c>
      <c r="G970" s="2">
        <v>1</v>
      </c>
      <c r="H970" s="2">
        <v>4</v>
      </c>
      <c r="I970" s="2">
        <v>13182085</v>
      </c>
      <c r="J970" s="2" t="s">
        <v>181</v>
      </c>
      <c r="K970" s="2" t="s">
        <v>694</v>
      </c>
      <c r="L970" s="2" t="str">
        <f>"63445040401017"</f>
        <v>63445040401017</v>
      </c>
      <c r="M970" s="2" t="s">
        <v>2</v>
      </c>
      <c r="N970" s="18">
        <v>31693</v>
      </c>
      <c r="O970" s="2" t="s">
        <v>695</v>
      </c>
    </row>
    <row r="971" spans="1:15" s="2" customFormat="1" x14ac:dyDescent="0.25">
      <c r="A971" s="2">
        <v>971</v>
      </c>
      <c r="B971" s="2">
        <v>1</v>
      </c>
      <c r="C971" s="2">
        <v>33</v>
      </c>
      <c r="D971" s="2">
        <v>1</v>
      </c>
      <c r="E971" s="2">
        <v>20</v>
      </c>
      <c r="G971" s="2">
        <v>1</v>
      </c>
      <c r="H971" s="2">
        <v>4</v>
      </c>
      <c r="I971" s="2">
        <v>13182086</v>
      </c>
      <c r="J971" s="2" t="s">
        <v>181</v>
      </c>
      <c r="K971" s="2" t="s">
        <v>694</v>
      </c>
      <c r="L971" s="2" t="str">
        <f>"63445040401018"</f>
        <v>63445040401018</v>
      </c>
      <c r="M971" s="2" t="s">
        <v>2</v>
      </c>
      <c r="N971" s="18">
        <v>31694</v>
      </c>
      <c r="O971" s="2" t="s">
        <v>695</v>
      </c>
    </row>
    <row r="972" spans="1:15" s="2" customFormat="1" x14ac:dyDescent="0.25">
      <c r="A972" s="2">
        <v>972</v>
      </c>
      <c r="B972" s="2">
        <v>1</v>
      </c>
      <c r="C972" s="2">
        <v>33</v>
      </c>
      <c r="D972" s="2">
        <v>1</v>
      </c>
      <c r="E972" s="2">
        <v>20</v>
      </c>
      <c r="G972" s="2">
        <v>1</v>
      </c>
      <c r="H972" s="2">
        <v>4</v>
      </c>
      <c r="I972" s="2">
        <v>13182087</v>
      </c>
      <c r="J972" s="2" t="s">
        <v>181</v>
      </c>
      <c r="K972" s="2" t="s">
        <v>694</v>
      </c>
      <c r="L972" s="2" t="str">
        <f>"63445040401019"</f>
        <v>63445040401019</v>
      </c>
      <c r="M972" s="2" t="s">
        <v>2</v>
      </c>
      <c r="N972" s="18">
        <v>31695</v>
      </c>
      <c r="O972" s="2" t="s">
        <v>695</v>
      </c>
    </row>
    <row r="973" spans="1:15" s="2" customFormat="1" x14ac:dyDescent="0.25">
      <c r="A973" s="2">
        <v>973</v>
      </c>
      <c r="B973" s="2">
        <v>1</v>
      </c>
      <c r="C973" s="2">
        <v>33</v>
      </c>
      <c r="D973" s="2">
        <v>1</v>
      </c>
      <c r="E973" s="2">
        <v>20</v>
      </c>
      <c r="G973" s="2">
        <v>1</v>
      </c>
      <c r="H973" s="2">
        <v>4</v>
      </c>
      <c r="I973" s="2">
        <v>13182091</v>
      </c>
      <c r="J973" s="2" t="s">
        <v>181</v>
      </c>
      <c r="K973" s="2" t="s">
        <v>694</v>
      </c>
      <c r="L973" s="2" t="str">
        <f>"63445040401023"</f>
        <v>63445040401023</v>
      </c>
      <c r="M973" s="2" t="s">
        <v>2</v>
      </c>
      <c r="N973" s="18">
        <v>31696</v>
      </c>
      <c r="O973" s="2" t="s">
        <v>695</v>
      </c>
    </row>
    <row r="974" spans="1:15" s="2" customFormat="1" x14ac:dyDescent="0.25">
      <c r="A974" s="2">
        <v>974</v>
      </c>
      <c r="B974" s="2">
        <v>1</v>
      </c>
      <c r="C974" s="2">
        <v>33</v>
      </c>
      <c r="D974" s="2">
        <v>1</v>
      </c>
      <c r="E974" s="2">
        <v>20</v>
      </c>
      <c r="G974" s="2">
        <v>1</v>
      </c>
      <c r="H974" s="2">
        <v>4</v>
      </c>
      <c r="I974" s="2">
        <v>13182088</v>
      </c>
      <c r="J974" s="2" t="s">
        <v>181</v>
      </c>
      <c r="K974" s="2" t="s">
        <v>694</v>
      </c>
      <c r="L974" s="2" t="str">
        <f>"63445040401020"</f>
        <v>63445040401020</v>
      </c>
      <c r="M974" s="2" t="s">
        <v>2</v>
      </c>
      <c r="N974" s="18">
        <v>31697</v>
      </c>
      <c r="O974" s="2" t="s">
        <v>695</v>
      </c>
    </row>
    <row r="975" spans="1:15" s="2" customFormat="1" x14ac:dyDescent="0.25">
      <c r="A975" s="2">
        <v>975</v>
      </c>
      <c r="B975" s="2">
        <v>1</v>
      </c>
      <c r="C975" s="2">
        <v>33</v>
      </c>
      <c r="D975" s="2">
        <v>1</v>
      </c>
      <c r="E975" s="2">
        <v>20</v>
      </c>
      <c r="G975" s="2">
        <v>1</v>
      </c>
      <c r="H975" s="2">
        <v>4</v>
      </c>
      <c r="I975" s="2">
        <v>13182089</v>
      </c>
      <c r="J975" s="2" t="s">
        <v>181</v>
      </c>
      <c r="K975" s="2" t="s">
        <v>694</v>
      </c>
      <c r="L975" s="2" t="str">
        <f>"63445040401021"</f>
        <v>63445040401021</v>
      </c>
      <c r="M975" s="2" t="s">
        <v>2</v>
      </c>
      <c r="N975" s="18">
        <v>31698</v>
      </c>
      <c r="O975" s="2" t="s">
        <v>695</v>
      </c>
    </row>
    <row r="976" spans="1:15" s="2" customFormat="1" x14ac:dyDescent="0.25">
      <c r="A976" s="2">
        <v>976</v>
      </c>
      <c r="B976" s="2">
        <v>1</v>
      </c>
      <c r="C976" s="2">
        <v>33</v>
      </c>
      <c r="D976" s="2">
        <v>1</v>
      </c>
      <c r="E976" s="2">
        <v>20</v>
      </c>
      <c r="G976" s="2">
        <v>1</v>
      </c>
      <c r="H976" s="2">
        <v>4</v>
      </c>
      <c r="I976" s="2">
        <v>13182090</v>
      </c>
      <c r="J976" s="2" t="s">
        <v>181</v>
      </c>
      <c r="K976" s="2" t="s">
        <v>694</v>
      </c>
      <c r="L976" s="2" t="str">
        <f>"63445040401022"</f>
        <v>63445040401022</v>
      </c>
      <c r="M976" s="2" t="s">
        <v>2</v>
      </c>
      <c r="N976" s="18">
        <v>31699</v>
      </c>
      <c r="O976" s="2" t="s">
        <v>695</v>
      </c>
    </row>
    <row r="977" spans="1:15" s="2" customFormat="1" x14ac:dyDescent="0.25">
      <c r="A977" s="2">
        <v>977</v>
      </c>
      <c r="B977" s="2">
        <v>1</v>
      </c>
      <c r="C977" s="2">
        <v>33</v>
      </c>
      <c r="D977" s="2">
        <v>1</v>
      </c>
      <c r="E977" s="2">
        <v>20</v>
      </c>
      <c r="G977" s="2">
        <v>1</v>
      </c>
      <c r="H977" s="2">
        <v>4</v>
      </c>
      <c r="I977" s="2">
        <v>13182092</v>
      </c>
      <c r="J977" s="2" t="s">
        <v>181</v>
      </c>
      <c r="K977" s="2" t="s">
        <v>694</v>
      </c>
      <c r="L977" s="2" t="str">
        <f>"63445040401024"</f>
        <v>63445040401024</v>
      </c>
      <c r="M977" s="2" t="s">
        <v>2</v>
      </c>
      <c r="N977" s="18">
        <v>31700</v>
      </c>
      <c r="O977" s="2" t="s">
        <v>695</v>
      </c>
    </row>
    <row r="978" spans="1:15" s="2" customFormat="1" x14ac:dyDescent="0.25">
      <c r="A978" s="2">
        <v>978</v>
      </c>
      <c r="B978" s="2">
        <v>1</v>
      </c>
      <c r="C978" s="2">
        <v>33</v>
      </c>
      <c r="D978" s="2">
        <v>1</v>
      </c>
      <c r="E978" s="2">
        <v>20</v>
      </c>
      <c r="G978" s="2">
        <v>1</v>
      </c>
      <c r="H978" s="2">
        <v>4</v>
      </c>
      <c r="I978" s="2">
        <v>13182093</v>
      </c>
      <c r="J978" s="2" t="s">
        <v>181</v>
      </c>
      <c r="K978" s="2" t="s">
        <v>694</v>
      </c>
      <c r="L978" s="2" t="str">
        <f>"63445040401025"</f>
        <v>63445040401025</v>
      </c>
      <c r="M978" s="2" t="s">
        <v>2</v>
      </c>
      <c r="N978" s="18">
        <v>31701</v>
      </c>
      <c r="O978" s="2" t="s">
        <v>695</v>
      </c>
    </row>
    <row r="979" spans="1:15" s="2" customFormat="1" x14ac:dyDescent="0.25">
      <c r="A979" s="2">
        <v>979</v>
      </c>
      <c r="B979" s="2">
        <v>1</v>
      </c>
      <c r="C979" s="2">
        <v>33</v>
      </c>
      <c r="D979" s="2">
        <v>1</v>
      </c>
      <c r="E979" s="2">
        <v>20</v>
      </c>
      <c r="G979" s="2">
        <v>1</v>
      </c>
      <c r="H979" s="2">
        <v>4</v>
      </c>
      <c r="I979" s="2">
        <v>13182094</v>
      </c>
      <c r="J979" s="2" t="s">
        <v>181</v>
      </c>
      <c r="K979" s="2" t="s">
        <v>694</v>
      </c>
      <c r="L979" s="2" t="str">
        <f>"63445040401026"</f>
        <v>63445040401026</v>
      </c>
      <c r="M979" s="2" t="s">
        <v>2</v>
      </c>
      <c r="N979" s="18">
        <v>31702</v>
      </c>
      <c r="O979" s="2" t="s">
        <v>695</v>
      </c>
    </row>
    <row r="980" spans="1:15" s="2" customFormat="1" x14ac:dyDescent="0.25">
      <c r="A980" s="2">
        <v>980</v>
      </c>
      <c r="B980" s="2">
        <v>1</v>
      </c>
      <c r="C980" s="2">
        <v>33</v>
      </c>
      <c r="D980" s="2">
        <v>1</v>
      </c>
      <c r="E980" s="2">
        <v>20</v>
      </c>
      <c r="G980" s="2">
        <v>1</v>
      </c>
      <c r="H980" s="2">
        <v>4</v>
      </c>
      <c r="I980" s="2">
        <v>13182095</v>
      </c>
      <c r="J980" s="2" t="s">
        <v>181</v>
      </c>
      <c r="K980" s="2" t="s">
        <v>694</v>
      </c>
      <c r="L980" s="2" t="str">
        <f>"63445040401027"</f>
        <v>63445040401027</v>
      </c>
      <c r="M980" s="2" t="s">
        <v>2</v>
      </c>
      <c r="N980" s="18">
        <v>31703</v>
      </c>
      <c r="O980" s="2" t="s">
        <v>695</v>
      </c>
    </row>
    <row r="981" spans="1:15" s="2" customFormat="1" x14ac:dyDescent="0.25">
      <c r="A981" s="2">
        <v>981</v>
      </c>
      <c r="B981" s="2">
        <v>1</v>
      </c>
      <c r="C981" s="2">
        <v>19</v>
      </c>
      <c r="D981" s="2">
        <v>1</v>
      </c>
      <c r="E981" s="2">
        <v>11</v>
      </c>
      <c r="G981" s="2">
        <v>1</v>
      </c>
      <c r="H981" s="2">
        <v>4</v>
      </c>
      <c r="I981" s="2">
        <v>13182096</v>
      </c>
      <c r="J981" s="2" t="s">
        <v>181</v>
      </c>
      <c r="K981" s="2" t="s">
        <v>696</v>
      </c>
      <c r="L981" s="2" t="str">
        <f>"63445040401028"</f>
        <v>63445040401028</v>
      </c>
      <c r="M981" s="2" t="s">
        <v>2</v>
      </c>
      <c r="N981" s="18">
        <v>31704</v>
      </c>
      <c r="O981" s="2" t="s">
        <v>697</v>
      </c>
    </row>
    <row r="982" spans="1:15" s="2" customFormat="1" x14ac:dyDescent="0.25">
      <c r="A982" s="2">
        <v>982</v>
      </c>
      <c r="B982" s="2">
        <v>1</v>
      </c>
      <c r="C982" s="2">
        <v>19</v>
      </c>
      <c r="D982" s="2">
        <v>1</v>
      </c>
      <c r="E982" s="2">
        <v>11</v>
      </c>
      <c r="G982" s="2">
        <v>1</v>
      </c>
      <c r="H982" s="2">
        <v>4</v>
      </c>
      <c r="I982" s="2">
        <v>13182097</v>
      </c>
      <c r="J982" s="2" t="s">
        <v>181</v>
      </c>
      <c r="K982" s="2" t="s">
        <v>696</v>
      </c>
      <c r="L982" s="2" t="str">
        <f>"63445040401029"</f>
        <v>63445040401029</v>
      </c>
      <c r="M982" s="2" t="s">
        <v>2</v>
      </c>
      <c r="N982" s="18">
        <v>31705</v>
      </c>
      <c r="O982" s="2" t="s">
        <v>697</v>
      </c>
    </row>
    <row r="983" spans="1:15" s="2" customFormat="1" x14ac:dyDescent="0.25">
      <c r="A983" s="2">
        <v>983</v>
      </c>
      <c r="B983" s="2">
        <v>1</v>
      </c>
      <c r="C983" s="2">
        <v>19</v>
      </c>
      <c r="D983" s="2">
        <v>1</v>
      </c>
      <c r="E983" s="2">
        <v>11</v>
      </c>
      <c r="G983" s="2">
        <v>1</v>
      </c>
      <c r="H983" s="2">
        <v>4</v>
      </c>
      <c r="I983" s="2">
        <v>13182098</v>
      </c>
      <c r="J983" s="2" t="s">
        <v>181</v>
      </c>
      <c r="K983" s="2" t="s">
        <v>696</v>
      </c>
      <c r="L983" s="2" t="str">
        <f>"63445040401030"</f>
        <v>63445040401030</v>
      </c>
      <c r="M983" s="2" t="s">
        <v>2</v>
      </c>
      <c r="N983" s="18">
        <v>31706</v>
      </c>
      <c r="O983" s="2" t="s">
        <v>697</v>
      </c>
    </row>
    <row r="984" spans="1:15" s="2" customFormat="1" x14ac:dyDescent="0.25">
      <c r="A984" s="2">
        <v>984</v>
      </c>
      <c r="B984" s="2">
        <v>1</v>
      </c>
      <c r="C984" s="2">
        <v>19</v>
      </c>
      <c r="D984" s="2">
        <v>1</v>
      </c>
      <c r="E984" s="2">
        <v>11</v>
      </c>
      <c r="G984" s="2">
        <v>1</v>
      </c>
      <c r="H984" s="2">
        <v>4</v>
      </c>
      <c r="I984" s="2">
        <v>13182099</v>
      </c>
      <c r="J984" s="2" t="s">
        <v>181</v>
      </c>
      <c r="K984" s="2" t="s">
        <v>696</v>
      </c>
      <c r="L984" s="2" t="str">
        <f>"63445040401031"</f>
        <v>63445040401031</v>
      </c>
      <c r="M984" s="2" t="s">
        <v>2</v>
      </c>
      <c r="N984" s="18">
        <v>31707</v>
      </c>
      <c r="O984" s="2" t="s">
        <v>697</v>
      </c>
    </row>
    <row r="985" spans="1:15" s="2" customFormat="1" x14ac:dyDescent="0.25">
      <c r="A985" s="2">
        <v>985</v>
      </c>
      <c r="B985" s="2">
        <v>1</v>
      </c>
      <c r="C985" s="2">
        <v>19</v>
      </c>
      <c r="D985" s="2">
        <v>1</v>
      </c>
      <c r="E985" s="2">
        <v>11</v>
      </c>
      <c r="G985" s="2">
        <v>1</v>
      </c>
      <c r="H985" s="2">
        <v>4</v>
      </c>
      <c r="I985" s="2">
        <v>13182100</v>
      </c>
      <c r="J985" s="2" t="s">
        <v>181</v>
      </c>
      <c r="K985" s="2" t="s">
        <v>696</v>
      </c>
      <c r="L985" s="2" t="str">
        <f>"63445040401032"</f>
        <v>63445040401032</v>
      </c>
      <c r="M985" s="2" t="s">
        <v>2</v>
      </c>
      <c r="N985" s="18">
        <v>31708</v>
      </c>
      <c r="O985" s="2" t="s">
        <v>697</v>
      </c>
    </row>
    <row r="986" spans="1:15" s="2" customFormat="1" x14ac:dyDescent="0.25">
      <c r="A986" s="2">
        <v>986</v>
      </c>
      <c r="B986" s="2">
        <v>1</v>
      </c>
      <c r="C986" s="2">
        <v>19</v>
      </c>
      <c r="D986" s="2">
        <v>1</v>
      </c>
      <c r="E986" s="2">
        <v>11</v>
      </c>
      <c r="G986" s="2">
        <v>1</v>
      </c>
      <c r="H986" s="2">
        <v>4</v>
      </c>
      <c r="I986" s="2">
        <v>13182101</v>
      </c>
      <c r="J986" s="2" t="s">
        <v>181</v>
      </c>
      <c r="K986" s="2" t="s">
        <v>696</v>
      </c>
      <c r="L986" s="2" t="str">
        <f>"63445040401033"</f>
        <v>63445040401033</v>
      </c>
      <c r="M986" s="2" t="s">
        <v>2</v>
      </c>
      <c r="N986" s="18">
        <v>31709</v>
      </c>
      <c r="O986" s="2" t="s">
        <v>698</v>
      </c>
    </row>
    <row r="987" spans="1:15" s="2" customFormat="1" x14ac:dyDescent="0.25">
      <c r="A987" s="2">
        <v>987</v>
      </c>
      <c r="B987" s="2">
        <v>1</v>
      </c>
      <c r="C987" s="2">
        <v>19</v>
      </c>
      <c r="D987" s="2">
        <v>1</v>
      </c>
      <c r="E987" s="2">
        <v>11</v>
      </c>
      <c r="G987" s="2">
        <v>1</v>
      </c>
      <c r="H987" s="2">
        <v>4</v>
      </c>
      <c r="I987" s="2">
        <v>13182102</v>
      </c>
      <c r="J987" s="2" t="s">
        <v>181</v>
      </c>
      <c r="K987" s="2" t="s">
        <v>696</v>
      </c>
      <c r="L987" s="2" t="str">
        <f>"63445040401034"</f>
        <v>63445040401034</v>
      </c>
      <c r="M987" s="2" t="s">
        <v>2</v>
      </c>
      <c r="N987" s="18">
        <v>31710</v>
      </c>
      <c r="O987" s="2" t="s">
        <v>698</v>
      </c>
    </row>
    <row r="988" spans="1:15" s="2" customFormat="1" x14ac:dyDescent="0.25">
      <c r="A988" s="2">
        <v>988</v>
      </c>
      <c r="B988" s="2">
        <v>1</v>
      </c>
      <c r="C988" s="2">
        <v>19</v>
      </c>
      <c r="D988" s="2">
        <v>1</v>
      </c>
      <c r="E988" s="2">
        <v>11</v>
      </c>
      <c r="G988" s="2">
        <v>1</v>
      </c>
      <c r="H988" s="2">
        <v>4</v>
      </c>
      <c r="I988" s="2">
        <v>13182103</v>
      </c>
      <c r="J988" s="2" t="s">
        <v>181</v>
      </c>
      <c r="K988" s="2" t="s">
        <v>696</v>
      </c>
      <c r="L988" s="2" t="str">
        <f>"63445040401035"</f>
        <v>63445040401035</v>
      </c>
      <c r="M988" s="2" t="s">
        <v>2</v>
      </c>
      <c r="N988" s="18">
        <v>31711</v>
      </c>
      <c r="O988" s="2" t="s">
        <v>698</v>
      </c>
    </row>
    <row r="989" spans="1:15" s="2" customFormat="1" x14ac:dyDescent="0.25">
      <c r="A989" s="2">
        <v>989</v>
      </c>
      <c r="B989" s="2">
        <v>1</v>
      </c>
      <c r="C989" s="2">
        <v>19</v>
      </c>
      <c r="D989" s="2">
        <v>1</v>
      </c>
      <c r="E989" s="2">
        <v>11</v>
      </c>
      <c r="G989" s="2">
        <v>1</v>
      </c>
      <c r="H989" s="2">
        <v>4</v>
      </c>
      <c r="I989" s="2">
        <v>13182104</v>
      </c>
      <c r="J989" s="2" t="s">
        <v>181</v>
      </c>
      <c r="K989" s="2" t="s">
        <v>696</v>
      </c>
      <c r="L989" s="2" t="str">
        <f>"63445040401036"</f>
        <v>63445040401036</v>
      </c>
      <c r="M989" s="2" t="s">
        <v>2</v>
      </c>
      <c r="N989" s="18">
        <v>31712</v>
      </c>
      <c r="O989" s="2" t="s">
        <v>698</v>
      </c>
    </row>
    <row r="990" spans="1:15" s="2" customFormat="1" x14ac:dyDescent="0.25">
      <c r="A990" s="2">
        <v>990</v>
      </c>
      <c r="B990" s="2">
        <v>1</v>
      </c>
      <c r="C990" s="2">
        <v>19</v>
      </c>
      <c r="D990" s="2">
        <v>1</v>
      </c>
      <c r="E990" s="2">
        <v>11</v>
      </c>
      <c r="G990" s="2">
        <v>1</v>
      </c>
      <c r="H990" s="2">
        <v>4</v>
      </c>
      <c r="I990" s="2">
        <v>13182105</v>
      </c>
      <c r="J990" s="2" t="s">
        <v>181</v>
      </c>
      <c r="K990" s="2" t="s">
        <v>696</v>
      </c>
      <c r="L990" s="2" t="str">
        <f>"63445040401037"</f>
        <v>63445040401037</v>
      </c>
      <c r="M990" s="2" t="s">
        <v>2</v>
      </c>
      <c r="N990" s="18">
        <v>31713</v>
      </c>
      <c r="O990" s="2" t="s">
        <v>698</v>
      </c>
    </row>
    <row r="991" spans="1:15" s="2" customFormat="1" x14ac:dyDescent="0.25">
      <c r="A991" s="2">
        <v>991</v>
      </c>
      <c r="B991" s="2">
        <v>1</v>
      </c>
      <c r="C991" s="2">
        <v>19</v>
      </c>
      <c r="D991" s="2">
        <v>1</v>
      </c>
      <c r="E991" s="2">
        <v>11</v>
      </c>
      <c r="G991" s="2">
        <v>1</v>
      </c>
      <c r="H991" s="2">
        <v>4</v>
      </c>
      <c r="I991" s="2">
        <v>13182106</v>
      </c>
      <c r="J991" s="2" t="s">
        <v>181</v>
      </c>
      <c r="K991" s="2" t="s">
        <v>696</v>
      </c>
      <c r="L991" s="2" t="str">
        <f>"63445040401038"</f>
        <v>63445040401038</v>
      </c>
      <c r="M991" s="2" t="s">
        <v>2</v>
      </c>
      <c r="N991" s="18">
        <v>31714</v>
      </c>
      <c r="O991" s="2" t="s">
        <v>698</v>
      </c>
    </row>
    <row r="992" spans="1:15" s="2" customFormat="1" x14ac:dyDescent="0.25">
      <c r="A992" s="2">
        <v>992</v>
      </c>
      <c r="B992" s="2">
        <v>1</v>
      </c>
      <c r="C992" s="2">
        <v>19</v>
      </c>
      <c r="D992" s="2">
        <v>1</v>
      </c>
      <c r="E992" s="2">
        <v>11</v>
      </c>
      <c r="G992" s="2">
        <v>1</v>
      </c>
      <c r="H992" s="2">
        <v>4</v>
      </c>
      <c r="I992" s="2">
        <v>13182107</v>
      </c>
      <c r="J992" s="2" t="s">
        <v>181</v>
      </c>
      <c r="K992" s="2" t="s">
        <v>696</v>
      </c>
      <c r="L992" s="2" t="str">
        <f>"63445040401039"</f>
        <v>63445040401039</v>
      </c>
      <c r="M992" s="2" t="s">
        <v>2</v>
      </c>
      <c r="N992" s="18">
        <v>31715</v>
      </c>
      <c r="O992" s="2" t="s">
        <v>698</v>
      </c>
    </row>
    <row r="993" spans="1:15" s="2" customFormat="1" x14ac:dyDescent="0.25">
      <c r="A993" s="2">
        <v>993</v>
      </c>
      <c r="B993" s="2">
        <v>1</v>
      </c>
      <c r="C993" s="2">
        <v>19</v>
      </c>
      <c r="D993" s="2">
        <v>1</v>
      </c>
      <c r="E993" s="2">
        <v>11</v>
      </c>
      <c r="G993" s="2">
        <v>1</v>
      </c>
      <c r="H993" s="2">
        <v>4</v>
      </c>
      <c r="I993" s="2">
        <v>13182108</v>
      </c>
      <c r="J993" s="2" t="s">
        <v>181</v>
      </c>
      <c r="K993" s="2" t="s">
        <v>696</v>
      </c>
      <c r="L993" s="2" t="str">
        <f>"63445040401040"</f>
        <v>63445040401040</v>
      </c>
      <c r="M993" s="2" t="s">
        <v>2</v>
      </c>
      <c r="N993" s="18">
        <v>31716</v>
      </c>
      <c r="O993" s="2" t="s">
        <v>698</v>
      </c>
    </row>
    <row r="994" spans="1:15" s="2" customFormat="1" x14ac:dyDescent="0.25">
      <c r="A994" s="2">
        <v>994</v>
      </c>
      <c r="B994" s="2">
        <v>1</v>
      </c>
      <c r="C994" s="2">
        <v>26</v>
      </c>
      <c r="D994" s="2">
        <v>1</v>
      </c>
      <c r="E994" s="2">
        <v>11</v>
      </c>
      <c r="G994" s="2">
        <v>1</v>
      </c>
      <c r="H994" s="2">
        <v>4</v>
      </c>
      <c r="I994" s="2">
        <v>13182109</v>
      </c>
      <c r="J994" s="2" t="s">
        <v>181</v>
      </c>
      <c r="K994" s="2">
        <v>1136</v>
      </c>
      <c r="L994" s="2" t="str">
        <f>"63445040401041"</f>
        <v>63445040401041</v>
      </c>
      <c r="M994" s="2" t="s">
        <v>2</v>
      </c>
      <c r="N994" s="18">
        <v>31717</v>
      </c>
      <c r="O994" s="2" t="s">
        <v>699</v>
      </c>
    </row>
    <row r="995" spans="1:15" s="2" customFormat="1" x14ac:dyDescent="0.25">
      <c r="A995" s="2">
        <v>995</v>
      </c>
      <c r="B995" s="2">
        <v>1</v>
      </c>
      <c r="C995" s="2">
        <v>36</v>
      </c>
      <c r="D995" s="2">
        <v>1</v>
      </c>
      <c r="E995" s="2">
        <v>5</v>
      </c>
      <c r="G995" s="2">
        <v>1</v>
      </c>
      <c r="H995" s="2">
        <v>4</v>
      </c>
      <c r="I995" s="2">
        <v>13182110</v>
      </c>
      <c r="J995" s="2" t="s">
        <v>181</v>
      </c>
      <c r="K995" s="2" t="s">
        <v>700</v>
      </c>
      <c r="L995" s="2" t="str">
        <f>"63445040401042"</f>
        <v>63445040401042</v>
      </c>
      <c r="M995" s="2" t="s">
        <v>2</v>
      </c>
      <c r="N995" s="18">
        <v>31718</v>
      </c>
      <c r="O995" s="2" t="s">
        <v>699</v>
      </c>
    </row>
    <row r="996" spans="1:15" s="2" customFormat="1" x14ac:dyDescent="0.25">
      <c r="A996" s="2">
        <v>996</v>
      </c>
      <c r="B996" s="2">
        <v>1</v>
      </c>
      <c r="C996" s="2">
        <v>36</v>
      </c>
      <c r="D996" s="2">
        <v>1</v>
      </c>
      <c r="E996" s="2">
        <v>5</v>
      </c>
      <c r="G996" s="2">
        <v>1</v>
      </c>
      <c r="H996" s="2">
        <v>4</v>
      </c>
      <c r="I996" s="2">
        <v>13182111</v>
      </c>
      <c r="J996" s="2" t="s">
        <v>181</v>
      </c>
      <c r="K996" s="2" t="s">
        <v>700</v>
      </c>
      <c r="L996" s="2" t="str">
        <f>"63445040401043"</f>
        <v>63445040401043</v>
      </c>
      <c r="M996" s="2" t="s">
        <v>2</v>
      </c>
      <c r="N996" s="18">
        <v>31719</v>
      </c>
      <c r="O996" s="2" t="s">
        <v>699</v>
      </c>
    </row>
    <row r="997" spans="1:15" s="2" customFormat="1" x14ac:dyDescent="0.25">
      <c r="A997" s="2">
        <v>997</v>
      </c>
      <c r="B997" s="2">
        <v>1</v>
      </c>
      <c r="C997" s="2">
        <v>36</v>
      </c>
      <c r="D997" s="2">
        <v>1</v>
      </c>
      <c r="E997" s="2">
        <v>5</v>
      </c>
      <c r="G997" s="2">
        <v>1</v>
      </c>
      <c r="H997" s="2">
        <v>4</v>
      </c>
      <c r="I997" s="2">
        <v>13182112</v>
      </c>
      <c r="J997" s="2" t="s">
        <v>181</v>
      </c>
      <c r="K997" s="2" t="s">
        <v>700</v>
      </c>
      <c r="L997" s="2" t="str">
        <f>"63445040401044"</f>
        <v>63445040401044</v>
      </c>
      <c r="M997" s="2" t="s">
        <v>2</v>
      </c>
      <c r="N997" s="18">
        <v>31720</v>
      </c>
      <c r="O997" s="2" t="s">
        <v>699</v>
      </c>
    </row>
    <row r="998" spans="1:15" s="2" customFormat="1" x14ac:dyDescent="0.25">
      <c r="A998" s="2">
        <v>998</v>
      </c>
      <c r="B998" s="2">
        <v>1</v>
      </c>
      <c r="C998" s="2">
        <v>33</v>
      </c>
      <c r="D998" s="2">
        <v>1</v>
      </c>
      <c r="E998" s="2">
        <v>20</v>
      </c>
      <c r="G998" s="2">
        <v>1</v>
      </c>
      <c r="H998" s="2">
        <v>4</v>
      </c>
      <c r="I998" s="2">
        <v>13382776</v>
      </c>
      <c r="J998" s="2" t="s">
        <v>209</v>
      </c>
      <c r="K998" s="2" t="s">
        <v>548</v>
      </c>
      <c r="L998" s="2" t="str">
        <f>"4116607893"</f>
        <v>4116607893</v>
      </c>
      <c r="M998" s="2" t="s">
        <v>2</v>
      </c>
      <c r="N998" s="18">
        <v>31721</v>
      </c>
      <c r="O998" s="2" t="s">
        <v>701</v>
      </c>
    </row>
    <row r="999" spans="1:15" s="2" customFormat="1" x14ac:dyDescent="0.25">
      <c r="A999" s="2">
        <v>999</v>
      </c>
      <c r="B999" s="2">
        <v>1</v>
      </c>
      <c r="C999" s="2">
        <v>33</v>
      </c>
      <c r="D999" s="2">
        <v>1</v>
      </c>
      <c r="E999" s="2">
        <v>20</v>
      </c>
      <c r="G999" s="2">
        <v>1</v>
      </c>
      <c r="H999" s="2">
        <v>4</v>
      </c>
      <c r="I999" s="2">
        <v>13382780</v>
      </c>
      <c r="J999" s="2" t="s">
        <v>209</v>
      </c>
      <c r="K999" s="2" t="s">
        <v>548</v>
      </c>
      <c r="L999" s="2" t="str">
        <f>"4116609213"</f>
        <v>4116609213</v>
      </c>
      <c r="M999" s="2" t="s">
        <v>2</v>
      </c>
      <c r="N999" s="18">
        <v>31722</v>
      </c>
      <c r="O999" s="2" t="s">
        <v>701</v>
      </c>
    </row>
    <row r="1000" spans="1:15" s="2" customFormat="1" x14ac:dyDescent="0.25">
      <c r="A1000" s="2">
        <v>1000</v>
      </c>
      <c r="B1000" s="2">
        <v>1</v>
      </c>
      <c r="C1000" s="2">
        <v>33</v>
      </c>
      <c r="D1000" s="2">
        <v>1</v>
      </c>
      <c r="E1000" s="2">
        <v>20</v>
      </c>
      <c r="G1000" s="2">
        <v>1</v>
      </c>
      <c r="H1000" s="2">
        <v>4</v>
      </c>
      <c r="I1000" s="2">
        <v>13382777</v>
      </c>
      <c r="J1000" s="2" t="s">
        <v>209</v>
      </c>
      <c r="K1000" s="2" t="s">
        <v>548</v>
      </c>
      <c r="L1000" s="2" t="str">
        <f>"4116607894"</f>
        <v>4116607894</v>
      </c>
      <c r="M1000" s="2" t="s">
        <v>2</v>
      </c>
      <c r="N1000" s="18">
        <v>31723</v>
      </c>
      <c r="O1000" s="2" t="s">
        <v>701</v>
      </c>
    </row>
    <row r="1001" spans="1:15" s="2" customFormat="1" x14ac:dyDescent="0.25">
      <c r="A1001" s="2">
        <v>1001</v>
      </c>
      <c r="B1001" s="2">
        <v>1</v>
      </c>
      <c r="C1001" s="2">
        <v>33</v>
      </c>
      <c r="D1001" s="2">
        <v>1</v>
      </c>
      <c r="E1001" s="2">
        <v>20</v>
      </c>
      <c r="G1001" s="2">
        <v>1</v>
      </c>
      <c r="H1001" s="2">
        <v>4</v>
      </c>
      <c r="I1001" s="2">
        <v>13382778</v>
      </c>
      <c r="J1001" s="2" t="s">
        <v>209</v>
      </c>
      <c r="K1001" s="2" t="s">
        <v>548</v>
      </c>
      <c r="L1001" s="2" t="str">
        <f>"4116607895"</f>
        <v>4116607895</v>
      </c>
      <c r="M1001" s="2" t="s">
        <v>2</v>
      </c>
      <c r="N1001" s="18">
        <v>31724</v>
      </c>
      <c r="O1001" s="2" t="s">
        <v>701</v>
      </c>
    </row>
    <row r="1002" spans="1:15" s="2" customFormat="1" x14ac:dyDescent="0.25">
      <c r="A1002" s="2">
        <v>1002</v>
      </c>
      <c r="B1002" s="2">
        <v>1</v>
      </c>
      <c r="C1002" s="2">
        <v>33</v>
      </c>
      <c r="D1002" s="2">
        <v>1</v>
      </c>
      <c r="E1002" s="2">
        <v>20</v>
      </c>
      <c r="G1002" s="2">
        <v>1</v>
      </c>
      <c r="H1002" s="2">
        <v>4</v>
      </c>
      <c r="I1002" s="2">
        <v>13382779</v>
      </c>
      <c r="J1002" s="2" t="s">
        <v>209</v>
      </c>
      <c r="K1002" s="2" t="s">
        <v>548</v>
      </c>
      <c r="L1002" s="2" t="str">
        <f>"4116607896"</f>
        <v>4116607896</v>
      </c>
      <c r="M1002" s="2" t="s">
        <v>2</v>
      </c>
      <c r="N1002" s="18">
        <v>31725</v>
      </c>
      <c r="O1002" s="2" t="s">
        <v>701</v>
      </c>
    </row>
    <row r="1003" spans="1:15" s="2" customFormat="1" x14ac:dyDescent="0.25">
      <c r="A1003" s="2">
        <v>1003</v>
      </c>
      <c r="B1003" s="2">
        <v>1</v>
      </c>
      <c r="C1003" s="2">
        <v>33</v>
      </c>
      <c r="D1003" s="2">
        <v>1</v>
      </c>
      <c r="E1003" s="2">
        <v>20</v>
      </c>
      <c r="G1003" s="2">
        <v>1</v>
      </c>
      <c r="H1003" s="2">
        <v>4</v>
      </c>
      <c r="I1003" s="2">
        <v>13382781</v>
      </c>
      <c r="J1003" s="2" t="s">
        <v>209</v>
      </c>
      <c r="K1003" s="2" t="s">
        <v>548</v>
      </c>
      <c r="L1003" s="2" t="str">
        <f>"4116609214"</f>
        <v>4116609214</v>
      </c>
      <c r="M1003" s="2" t="s">
        <v>2</v>
      </c>
      <c r="N1003" s="18">
        <v>31726</v>
      </c>
      <c r="O1003" s="2" t="s">
        <v>701</v>
      </c>
    </row>
    <row r="1004" spans="1:15" s="2" customFormat="1" x14ac:dyDescent="0.25">
      <c r="A1004" s="2">
        <v>1004</v>
      </c>
      <c r="B1004" s="2">
        <v>1</v>
      </c>
      <c r="C1004" s="2">
        <v>33</v>
      </c>
      <c r="D1004" s="2">
        <v>1</v>
      </c>
      <c r="E1004" s="2">
        <v>20</v>
      </c>
      <c r="G1004" s="2">
        <v>1</v>
      </c>
      <c r="H1004" s="2">
        <v>4</v>
      </c>
      <c r="I1004" s="2">
        <v>13382782</v>
      </c>
      <c r="J1004" s="2" t="s">
        <v>209</v>
      </c>
      <c r="K1004" s="2" t="s">
        <v>548</v>
      </c>
      <c r="L1004" s="2" t="str">
        <f>"4116609215"</f>
        <v>4116609215</v>
      </c>
      <c r="M1004" s="2" t="s">
        <v>2</v>
      </c>
      <c r="N1004" s="18">
        <v>31727</v>
      </c>
      <c r="O1004" s="2" t="s">
        <v>701</v>
      </c>
    </row>
    <row r="1005" spans="1:15" s="2" customFormat="1" x14ac:dyDescent="0.25">
      <c r="A1005" s="2">
        <v>1005</v>
      </c>
      <c r="B1005" s="2">
        <v>1</v>
      </c>
      <c r="C1005" s="2">
        <v>33</v>
      </c>
      <c r="D1005" s="2">
        <v>1</v>
      </c>
      <c r="E1005" s="2">
        <v>20</v>
      </c>
      <c r="G1005" s="2">
        <v>1</v>
      </c>
      <c r="H1005" s="2">
        <v>4</v>
      </c>
      <c r="I1005" s="2">
        <v>13382783</v>
      </c>
      <c r="J1005" s="2" t="s">
        <v>209</v>
      </c>
      <c r="K1005" s="2" t="s">
        <v>548</v>
      </c>
      <c r="L1005" s="2" t="str">
        <f>"4116609216"</f>
        <v>4116609216</v>
      </c>
      <c r="M1005" s="2" t="s">
        <v>2</v>
      </c>
      <c r="N1005" s="18">
        <v>31728</v>
      </c>
      <c r="O1005" s="2" t="s">
        <v>701</v>
      </c>
    </row>
    <row r="1006" spans="1:15" s="2" customFormat="1" x14ac:dyDescent="0.25">
      <c r="A1006" s="2">
        <v>1006</v>
      </c>
      <c r="B1006" s="2">
        <v>1</v>
      </c>
      <c r="C1006" s="2">
        <v>33</v>
      </c>
      <c r="D1006" s="2">
        <v>1</v>
      </c>
      <c r="E1006" s="2">
        <v>20</v>
      </c>
      <c r="G1006" s="2">
        <v>1</v>
      </c>
      <c r="H1006" s="2">
        <v>4</v>
      </c>
      <c r="I1006" s="2">
        <v>13382784</v>
      </c>
      <c r="J1006" s="2" t="s">
        <v>209</v>
      </c>
      <c r="K1006" s="2" t="s">
        <v>548</v>
      </c>
      <c r="L1006" s="2" t="str">
        <f>"4116609486"</f>
        <v>4116609486</v>
      </c>
      <c r="M1006" s="2" t="s">
        <v>2</v>
      </c>
      <c r="N1006" s="18">
        <v>31729</v>
      </c>
      <c r="O1006" s="2" t="s">
        <v>701</v>
      </c>
    </row>
    <row r="1007" spans="1:15" s="2" customFormat="1" x14ac:dyDescent="0.25">
      <c r="A1007" s="2">
        <v>1007</v>
      </c>
      <c r="B1007" s="2">
        <v>1</v>
      </c>
      <c r="C1007" s="2">
        <v>33</v>
      </c>
      <c r="D1007" s="2">
        <v>1</v>
      </c>
      <c r="E1007" s="2">
        <v>20</v>
      </c>
      <c r="G1007" s="2">
        <v>1</v>
      </c>
      <c r="H1007" s="2">
        <v>4</v>
      </c>
      <c r="I1007" s="2">
        <v>13382785</v>
      </c>
      <c r="J1007" s="2" t="s">
        <v>209</v>
      </c>
      <c r="K1007" s="2" t="s">
        <v>548</v>
      </c>
      <c r="L1007" s="2" t="str">
        <f>"4116609487"</f>
        <v>4116609487</v>
      </c>
      <c r="M1007" s="2" t="s">
        <v>2</v>
      </c>
      <c r="N1007" s="18">
        <v>31730</v>
      </c>
      <c r="O1007" s="2" t="s">
        <v>701</v>
      </c>
    </row>
    <row r="1008" spans="1:15" s="2" customFormat="1" x14ac:dyDescent="0.25">
      <c r="A1008" s="2">
        <v>1008</v>
      </c>
      <c r="B1008" s="2">
        <v>1</v>
      </c>
      <c r="C1008" s="2">
        <v>33</v>
      </c>
      <c r="D1008" s="2">
        <v>1</v>
      </c>
      <c r="E1008" s="2">
        <v>20</v>
      </c>
      <c r="G1008" s="2">
        <v>1</v>
      </c>
      <c r="H1008" s="2">
        <v>4</v>
      </c>
      <c r="I1008" s="2">
        <v>13382786</v>
      </c>
      <c r="J1008" s="2" t="s">
        <v>209</v>
      </c>
      <c r="K1008" s="2" t="s">
        <v>548</v>
      </c>
      <c r="L1008" s="2" t="str">
        <f>"4116609488"</f>
        <v>4116609488</v>
      </c>
      <c r="M1008" s="2" t="s">
        <v>2</v>
      </c>
      <c r="N1008" s="18">
        <v>31731</v>
      </c>
      <c r="O1008" s="2" t="s">
        <v>701</v>
      </c>
    </row>
    <row r="1009" spans="1:15" s="2" customFormat="1" x14ac:dyDescent="0.25">
      <c r="A1009" s="2">
        <v>1009</v>
      </c>
      <c r="B1009" s="2">
        <v>1</v>
      </c>
      <c r="C1009" s="2">
        <v>76</v>
      </c>
      <c r="D1009" s="2">
        <v>1</v>
      </c>
      <c r="E1009" s="2">
        <v>20</v>
      </c>
      <c r="G1009" s="2">
        <v>1</v>
      </c>
      <c r="H1009" s="2">
        <v>4</v>
      </c>
      <c r="I1009" s="2">
        <v>13460251</v>
      </c>
      <c r="J1009" s="2" t="s">
        <v>234</v>
      </c>
      <c r="K1009" s="2" t="s">
        <v>350</v>
      </c>
      <c r="L1009" s="2" t="str">
        <f>"63445060103014"</f>
        <v>63445060103014</v>
      </c>
      <c r="M1009" s="2" t="s">
        <v>2</v>
      </c>
      <c r="N1009" s="18">
        <v>31732</v>
      </c>
      <c r="O1009" s="2" t="s">
        <v>702</v>
      </c>
    </row>
    <row r="1010" spans="1:15" s="2" customFormat="1" x14ac:dyDescent="0.25">
      <c r="A1010" s="2">
        <v>1010</v>
      </c>
      <c r="B1010" s="2">
        <v>1</v>
      </c>
      <c r="C1010" s="2">
        <v>76</v>
      </c>
      <c r="D1010" s="2">
        <v>1</v>
      </c>
      <c r="E1010" s="2">
        <v>20</v>
      </c>
      <c r="G1010" s="2">
        <v>1</v>
      </c>
      <c r="H1010" s="2">
        <v>4</v>
      </c>
      <c r="I1010" s="2">
        <v>13460252</v>
      </c>
      <c r="J1010" s="2" t="s">
        <v>234</v>
      </c>
      <c r="K1010" s="2" t="s">
        <v>350</v>
      </c>
      <c r="L1010" s="2" t="str">
        <f>"63445060103015"</f>
        <v>63445060103015</v>
      </c>
      <c r="M1010" s="2" t="s">
        <v>2</v>
      </c>
      <c r="N1010" s="18">
        <v>31733</v>
      </c>
      <c r="O1010" s="2" t="s">
        <v>702</v>
      </c>
    </row>
    <row r="1011" spans="1:15" s="2" customFormat="1" x14ac:dyDescent="0.25">
      <c r="A1011" s="2">
        <v>1011</v>
      </c>
      <c r="B1011" s="2">
        <v>1</v>
      </c>
      <c r="C1011" s="2">
        <v>76</v>
      </c>
      <c r="D1011" s="2">
        <v>1</v>
      </c>
      <c r="E1011" s="2">
        <v>20</v>
      </c>
      <c r="G1011" s="2">
        <v>1</v>
      </c>
      <c r="H1011" s="2">
        <v>4</v>
      </c>
      <c r="I1011" s="2">
        <v>13460253</v>
      </c>
      <c r="J1011" s="2" t="s">
        <v>234</v>
      </c>
      <c r="K1011" s="2" t="s">
        <v>350</v>
      </c>
      <c r="L1011" s="2" t="str">
        <f>"63445060103016"</f>
        <v>63445060103016</v>
      </c>
      <c r="M1011" s="2" t="s">
        <v>2</v>
      </c>
      <c r="N1011" s="18">
        <v>31734</v>
      </c>
      <c r="O1011" s="2" t="s">
        <v>702</v>
      </c>
    </row>
    <row r="1012" spans="1:15" s="2" customFormat="1" x14ac:dyDescent="0.25">
      <c r="A1012" s="2">
        <v>1012</v>
      </c>
      <c r="B1012" s="2">
        <v>1</v>
      </c>
      <c r="C1012" s="2">
        <v>76</v>
      </c>
      <c r="D1012" s="2">
        <v>1</v>
      </c>
      <c r="E1012" s="2">
        <v>20</v>
      </c>
      <c r="G1012" s="2">
        <v>1</v>
      </c>
      <c r="H1012" s="2">
        <v>4</v>
      </c>
      <c r="I1012" s="2">
        <v>13460254</v>
      </c>
      <c r="J1012" s="2" t="s">
        <v>234</v>
      </c>
      <c r="K1012" s="2" t="s">
        <v>350</v>
      </c>
      <c r="L1012" s="2" t="str">
        <f>"63445060103017"</f>
        <v>63445060103017</v>
      </c>
      <c r="M1012" s="2" t="s">
        <v>2</v>
      </c>
      <c r="N1012" s="18">
        <v>31735</v>
      </c>
      <c r="O1012" s="2" t="s">
        <v>702</v>
      </c>
    </row>
    <row r="1013" spans="1:15" s="2" customFormat="1" x14ac:dyDescent="0.25">
      <c r="A1013" s="2">
        <v>1013</v>
      </c>
      <c r="B1013" s="2">
        <v>1</v>
      </c>
      <c r="C1013" s="2">
        <v>76</v>
      </c>
      <c r="D1013" s="2">
        <v>1</v>
      </c>
      <c r="E1013" s="2">
        <v>20</v>
      </c>
      <c r="G1013" s="2">
        <v>1</v>
      </c>
      <c r="H1013" s="2">
        <v>4</v>
      </c>
      <c r="I1013" s="2">
        <v>13460255</v>
      </c>
      <c r="J1013" s="2" t="s">
        <v>234</v>
      </c>
      <c r="K1013" s="2" t="s">
        <v>350</v>
      </c>
      <c r="L1013" s="2" t="str">
        <f>"63445060103018"</f>
        <v>63445060103018</v>
      </c>
      <c r="M1013" s="2" t="s">
        <v>2</v>
      </c>
      <c r="N1013" s="18">
        <v>31736</v>
      </c>
      <c r="O1013" s="2" t="s">
        <v>702</v>
      </c>
    </row>
    <row r="1014" spans="1:15" s="2" customFormat="1" x14ac:dyDescent="0.25">
      <c r="A1014" s="2">
        <v>1014</v>
      </c>
      <c r="B1014" s="2">
        <v>1</v>
      </c>
      <c r="C1014" s="2">
        <v>76</v>
      </c>
      <c r="D1014" s="2">
        <v>1</v>
      </c>
      <c r="E1014" s="2">
        <v>20</v>
      </c>
      <c r="G1014" s="2">
        <v>1</v>
      </c>
      <c r="H1014" s="2">
        <v>4</v>
      </c>
      <c r="I1014" s="2">
        <v>13460256</v>
      </c>
      <c r="J1014" s="2" t="s">
        <v>234</v>
      </c>
      <c r="K1014" s="2" t="s">
        <v>350</v>
      </c>
      <c r="L1014" s="2" t="str">
        <f>"63445060103019"</f>
        <v>63445060103019</v>
      </c>
      <c r="M1014" s="2" t="s">
        <v>2</v>
      </c>
      <c r="N1014" s="18">
        <v>31737</v>
      </c>
      <c r="O1014" s="2" t="s">
        <v>702</v>
      </c>
    </row>
    <row r="1015" spans="1:15" s="2" customFormat="1" x14ac:dyDescent="0.25">
      <c r="A1015" s="2">
        <v>1015</v>
      </c>
      <c r="B1015" s="2">
        <v>1</v>
      </c>
      <c r="C1015" s="2">
        <v>76</v>
      </c>
      <c r="D1015" s="2">
        <v>1</v>
      </c>
      <c r="E1015" s="2">
        <v>20</v>
      </c>
      <c r="G1015" s="2">
        <v>1</v>
      </c>
      <c r="H1015" s="2">
        <v>4</v>
      </c>
      <c r="I1015" s="2">
        <v>13460257</v>
      </c>
      <c r="J1015" s="2" t="s">
        <v>234</v>
      </c>
      <c r="K1015" s="2" t="s">
        <v>350</v>
      </c>
      <c r="L1015" s="2" t="str">
        <f>"63445060103020"</f>
        <v>63445060103020</v>
      </c>
      <c r="M1015" s="2" t="s">
        <v>2</v>
      </c>
      <c r="N1015" s="18">
        <v>31738</v>
      </c>
      <c r="O1015" s="2" t="s">
        <v>702</v>
      </c>
    </row>
    <row r="1016" spans="1:15" s="2" customFormat="1" x14ac:dyDescent="0.25">
      <c r="A1016" s="2">
        <v>1016</v>
      </c>
      <c r="B1016" s="2">
        <v>1</v>
      </c>
      <c r="C1016" s="2">
        <v>76</v>
      </c>
      <c r="D1016" s="2">
        <v>1</v>
      </c>
      <c r="E1016" s="2">
        <v>20</v>
      </c>
      <c r="G1016" s="2">
        <v>1</v>
      </c>
      <c r="H1016" s="2">
        <v>4</v>
      </c>
      <c r="I1016" s="2">
        <v>13460258</v>
      </c>
      <c r="J1016" s="2" t="s">
        <v>234</v>
      </c>
      <c r="K1016" s="2" t="s">
        <v>350</v>
      </c>
      <c r="L1016" s="2" t="str">
        <f>"63445060103021"</f>
        <v>63445060103021</v>
      </c>
      <c r="M1016" s="2" t="s">
        <v>2</v>
      </c>
      <c r="N1016" s="18">
        <v>31739</v>
      </c>
      <c r="O1016" s="2" t="s">
        <v>702</v>
      </c>
    </row>
    <row r="1017" spans="1:15" s="2" customFormat="1" x14ac:dyDescent="0.25">
      <c r="A1017" s="2">
        <v>1017</v>
      </c>
      <c r="B1017" s="2">
        <v>1</v>
      </c>
      <c r="C1017" s="2">
        <v>76</v>
      </c>
      <c r="D1017" s="2">
        <v>1</v>
      </c>
      <c r="E1017" s="2">
        <v>20</v>
      </c>
      <c r="G1017" s="2">
        <v>1</v>
      </c>
      <c r="H1017" s="2">
        <v>4</v>
      </c>
      <c r="I1017" s="2">
        <v>13460259</v>
      </c>
      <c r="J1017" s="2" t="s">
        <v>234</v>
      </c>
      <c r="K1017" s="2" t="s">
        <v>350</v>
      </c>
      <c r="L1017" s="2" t="str">
        <f>"63445060103022"</f>
        <v>63445060103022</v>
      </c>
      <c r="M1017" s="2" t="s">
        <v>2</v>
      </c>
      <c r="N1017" s="18">
        <v>31740</v>
      </c>
      <c r="O1017" s="2" t="s">
        <v>702</v>
      </c>
    </row>
    <row r="1018" spans="1:15" s="2" customFormat="1" x14ac:dyDescent="0.25">
      <c r="A1018" s="2">
        <v>1018</v>
      </c>
      <c r="B1018" s="2">
        <v>1</v>
      </c>
      <c r="C1018" s="2">
        <v>76</v>
      </c>
      <c r="D1018" s="2">
        <v>1</v>
      </c>
      <c r="E1018" s="2">
        <v>20</v>
      </c>
      <c r="G1018" s="2">
        <v>1</v>
      </c>
      <c r="H1018" s="2">
        <v>4</v>
      </c>
      <c r="I1018" s="2">
        <v>13460260</v>
      </c>
      <c r="J1018" s="2" t="s">
        <v>234</v>
      </c>
      <c r="K1018" s="2" t="s">
        <v>350</v>
      </c>
      <c r="L1018" s="2" t="str">
        <f>"63445060103023"</f>
        <v>63445060103023</v>
      </c>
      <c r="M1018" s="2" t="s">
        <v>2</v>
      </c>
      <c r="N1018" s="18">
        <v>31741</v>
      </c>
      <c r="O1018" s="2" t="s">
        <v>702</v>
      </c>
    </row>
    <row r="1019" spans="1:15" s="2" customFormat="1" x14ac:dyDescent="0.25">
      <c r="A1019" s="2">
        <v>1019</v>
      </c>
      <c r="B1019" s="2">
        <v>1</v>
      </c>
      <c r="C1019" s="2">
        <v>76</v>
      </c>
      <c r="D1019" s="2">
        <v>1</v>
      </c>
      <c r="E1019" s="2">
        <v>20</v>
      </c>
      <c r="G1019" s="2">
        <v>1</v>
      </c>
      <c r="H1019" s="2">
        <v>4</v>
      </c>
      <c r="I1019" s="2">
        <v>13460261</v>
      </c>
      <c r="J1019" s="2" t="s">
        <v>234</v>
      </c>
      <c r="K1019" s="2" t="s">
        <v>350</v>
      </c>
      <c r="L1019" s="2" t="str">
        <f>"63445060103024"</f>
        <v>63445060103024</v>
      </c>
      <c r="M1019" s="2" t="s">
        <v>2</v>
      </c>
      <c r="N1019" s="18">
        <v>31742</v>
      </c>
      <c r="O1019" s="2" t="s">
        <v>703</v>
      </c>
    </row>
    <row r="1020" spans="1:15" s="2" customFormat="1" x14ac:dyDescent="0.25">
      <c r="A1020" s="2">
        <v>1020</v>
      </c>
      <c r="B1020" s="2">
        <v>1</v>
      </c>
      <c r="C1020" s="2">
        <v>76</v>
      </c>
      <c r="D1020" s="2">
        <v>1</v>
      </c>
      <c r="E1020" s="2">
        <v>20</v>
      </c>
      <c r="G1020" s="2">
        <v>1</v>
      </c>
      <c r="H1020" s="2">
        <v>4</v>
      </c>
      <c r="I1020" s="2">
        <v>13460262</v>
      </c>
      <c r="J1020" s="2" t="s">
        <v>234</v>
      </c>
      <c r="K1020" s="2" t="s">
        <v>350</v>
      </c>
      <c r="L1020" s="2" t="str">
        <f>"63445060103025"</f>
        <v>63445060103025</v>
      </c>
      <c r="M1020" s="2" t="s">
        <v>2</v>
      </c>
      <c r="N1020" s="18">
        <v>31743</v>
      </c>
      <c r="O1020" s="2" t="s">
        <v>703</v>
      </c>
    </row>
    <row r="1021" spans="1:15" s="2" customFormat="1" x14ac:dyDescent="0.25">
      <c r="A1021" s="2">
        <v>1021</v>
      </c>
      <c r="B1021" s="2">
        <v>1</v>
      </c>
      <c r="C1021" s="2">
        <v>76</v>
      </c>
      <c r="D1021" s="2">
        <v>1</v>
      </c>
      <c r="E1021" s="2">
        <v>20</v>
      </c>
      <c r="G1021" s="2">
        <v>1</v>
      </c>
      <c r="H1021" s="2">
        <v>4</v>
      </c>
      <c r="I1021" s="2">
        <v>13460263</v>
      </c>
      <c r="J1021" s="2" t="s">
        <v>234</v>
      </c>
      <c r="K1021" s="2" t="s">
        <v>350</v>
      </c>
      <c r="L1021" s="2" t="str">
        <f>"63445060103026"</f>
        <v>63445060103026</v>
      </c>
      <c r="M1021" s="2" t="s">
        <v>2</v>
      </c>
      <c r="N1021" s="18">
        <v>31744</v>
      </c>
      <c r="O1021" s="2" t="s">
        <v>703</v>
      </c>
    </row>
    <row r="1022" spans="1:15" s="2" customFormat="1" x14ac:dyDescent="0.25">
      <c r="A1022" s="2">
        <v>1022</v>
      </c>
      <c r="B1022" s="2">
        <v>1</v>
      </c>
      <c r="C1022" s="2">
        <v>76</v>
      </c>
      <c r="D1022" s="2">
        <v>1</v>
      </c>
      <c r="E1022" s="2">
        <v>20</v>
      </c>
      <c r="G1022" s="2">
        <v>1</v>
      </c>
      <c r="H1022" s="2">
        <v>4</v>
      </c>
      <c r="I1022" s="2">
        <v>13460264</v>
      </c>
      <c r="J1022" s="2" t="s">
        <v>234</v>
      </c>
      <c r="K1022" s="2" t="s">
        <v>350</v>
      </c>
      <c r="L1022" s="2" t="str">
        <f>"63445060103027"</f>
        <v>63445060103027</v>
      </c>
      <c r="M1022" s="2" t="s">
        <v>2</v>
      </c>
      <c r="N1022" s="18">
        <v>31745</v>
      </c>
      <c r="O1022" s="2" t="s">
        <v>703</v>
      </c>
    </row>
    <row r="1023" spans="1:15" s="2" customFormat="1" x14ac:dyDescent="0.25">
      <c r="A1023" s="2">
        <v>1023</v>
      </c>
      <c r="B1023" s="2">
        <v>1</v>
      </c>
      <c r="C1023" s="2">
        <v>76</v>
      </c>
      <c r="D1023" s="2">
        <v>1</v>
      </c>
      <c r="E1023" s="2">
        <v>5</v>
      </c>
      <c r="G1023" s="2">
        <v>1</v>
      </c>
      <c r="H1023" s="2">
        <v>4</v>
      </c>
      <c r="I1023" s="2">
        <v>13460265</v>
      </c>
      <c r="J1023" s="2" t="s">
        <v>234</v>
      </c>
      <c r="K1023" s="2" t="s">
        <v>350</v>
      </c>
      <c r="L1023" s="2" t="str">
        <f>"63445060103028"</f>
        <v>63445060103028</v>
      </c>
      <c r="M1023" s="2" t="s">
        <v>2</v>
      </c>
      <c r="N1023" s="18">
        <v>31746</v>
      </c>
      <c r="O1023" s="2" t="s">
        <v>704</v>
      </c>
    </row>
    <row r="1024" spans="1:15" s="2" customFormat="1" x14ac:dyDescent="0.25">
      <c r="A1024" s="2">
        <v>1024</v>
      </c>
      <c r="B1024" s="2">
        <v>1</v>
      </c>
      <c r="C1024" s="2">
        <v>76</v>
      </c>
      <c r="D1024" s="2">
        <v>1</v>
      </c>
      <c r="E1024" s="2">
        <v>5</v>
      </c>
      <c r="G1024" s="2">
        <v>1</v>
      </c>
      <c r="H1024" s="2">
        <v>4</v>
      </c>
      <c r="I1024" s="2">
        <v>13460266</v>
      </c>
      <c r="J1024" s="2" t="s">
        <v>234</v>
      </c>
      <c r="K1024" s="2" t="s">
        <v>350</v>
      </c>
      <c r="L1024" s="2" t="str">
        <f>"63445060103029"</f>
        <v>63445060103029</v>
      </c>
      <c r="M1024" s="2" t="s">
        <v>2</v>
      </c>
      <c r="N1024" s="18">
        <v>31747</v>
      </c>
      <c r="O1024" s="2" t="s">
        <v>704</v>
      </c>
    </row>
    <row r="1025" spans="1:15" s="2" customFormat="1" x14ac:dyDescent="0.25">
      <c r="A1025" s="2">
        <v>1025</v>
      </c>
      <c r="B1025" s="2">
        <v>1</v>
      </c>
      <c r="C1025" s="2">
        <v>76</v>
      </c>
      <c r="D1025" s="2">
        <v>1</v>
      </c>
      <c r="E1025" s="2">
        <v>5</v>
      </c>
      <c r="G1025" s="2">
        <v>1</v>
      </c>
      <c r="H1025" s="2">
        <v>4</v>
      </c>
      <c r="I1025" s="2">
        <v>13460267</v>
      </c>
      <c r="J1025" s="2" t="s">
        <v>234</v>
      </c>
      <c r="K1025" s="2" t="s">
        <v>350</v>
      </c>
      <c r="L1025" s="2" t="str">
        <f>"63445060103030"</f>
        <v>63445060103030</v>
      </c>
      <c r="M1025" s="2" t="s">
        <v>2</v>
      </c>
      <c r="N1025" s="18">
        <v>31748</v>
      </c>
      <c r="O1025" s="2" t="s">
        <v>704</v>
      </c>
    </row>
    <row r="1026" spans="1:15" s="2" customFormat="1" x14ac:dyDescent="0.25">
      <c r="A1026" s="2">
        <v>1026</v>
      </c>
      <c r="B1026" s="2">
        <v>1</v>
      </c>
      <c r="C1026" s="2">
        <v>76</v>
      </c>
      <c r="D1026" s="2">
        <v>1</v>
      </c>
      <c r="E1026" s="2">
        <v>5</v>
      </c>
      <c r="G1026" s="2">
        <v>1</v>
      </c>
      <c r="H1026" s="2">
        <v>4</v>
      </c>
      <c r="I1026" s="2">
        <v>13460271</v>
      </c>
      <c r="J1026" s="2" t="s">
        <v>234</v>
      </c>
      <c r="K1026" s="2" t="s">
        <v>350</v>
      </c>
      <c r="L1026" s="2" t="str">
        <f>"63445060103034"</f>
        <v>63445060103034</v>
      </c>
      <c r="M1026" s="2" t="s">
        <v>2</v>
      </c>
      <c r="N1026" s="18">
        <v>31749</v>
      </c>
      <c r="O1026" s="2" t="s">
        <v>704</v>
      </c>
    </row>
    <row r="1027" spans="1:15" s="2" customFormat="1" x14ac:dyDescent="0.25">
      <c r="A1027" s="2">
        <v>1027</v>
      </c>
      <c r="B1027" s="2">
        <v>1</v>
      </c>
      <c r="C1027" s="2">
        <v>76</v>
      </c>
      <c r="D1027" s="2">
        <v>1</v>
      </c>
      <c r="E1027" s="2">
        <v>5</v>
      </c>
      <c r="G1027" s="2">
        <v>1</v>
      </c>
      <c r="H1027" s="2">
        <v>4</v>
      </c>
      <c r="I1027" s="2">
        <v>13460268</v>
      </c>
      <c r="J1027" s="2" t="s">
        <v>234</v>
      </c>
      <c r="K1027" s="2" t="s">
        <v>350</v>
      </c>
      <c r="L1027" s="2" t="str">
        <f>"63445060103031"</f>
        <v>63445060103031</v>
      </c>
      <c r="M1027" s="2" t="s">
        <v>2</v>
      </c>
      <c r="N1027" s="18">
        <v>31750</v>
      </c>
      <c r="O1027" s="2" t="s">
        <v>704</v>
      </c>
    </row>
    <row r="1028" spans="1:15" s="2" customFormat="1" x14ac:dyDescent="0.25">
      <c r="A1028" s="2">
        <v>1028</v>
      </c>
      <c r="B1028" s="2">
        <v>1</v>
      </c>
      <c r="C1028" s="2">
        <v>76</v>
      </c>
      <c r="D1028" s="2">
        <v>1</v>
      </c>
      <c r="E1028" s="2">
        <v>5</v>
      </c>
      <c r="G1028" s="2">
        <v>1</v>
      </c>
      <c r="H1028" s="2">
        <v>4</v>
      </c>
      <c r="I1028" s="2">
        <v>13460269</v>
      </c>
      <c r="J1028" s="2" t="s">
        <v>234</v>
      </c>
      <c r="K1028" s="2" t="s">
        <v>350</v>
      </c>
      <c r="L1028" s="2" t="str">
        <f>"63445060103032"</f>
        <v>63445060103032</v>
      </c>
      <c r="M1028" s="2" t="s">
        <v>2</v>
      </c>
      <c r="N1028" s="18">
        <v>31751</v>
      </c>
      <c r="O1028" s="2" t="s">
        <v>704</v>
      </c>
    </row>
    <row r="1029" spans="1:15" s="2" customFormat="1" x14ac:dyDescent="0.25">
      <c r="A1029" s="2">
        <v>1029</v>
      </c>
      <c r="B1029" s="2">
        <v>1</v>
      </c>
      <c r="C1029" s="2">
        <v>76</v>
      </c>
      <c r="D1029" s="2">
        <v>1</v>
      </c>
      <c r="E1029" s="2">
        <v>5</v>
      </c>
      <c r="G1029" s="2">
        <v>1</v>
      </c>
      <c r="H1029" s="2">
        <v>4</v>
      </c>
      <c r="I1029" s="2">
        <v>13460270</v>
      </c>
      <c r="J1029" s="2" t="s">
        <v>234</v>
      </c>
      <c r="K1029" s="2" t="s">
        <v>350</v>
      </c>
      <c r="L1029" s="2" t="str">
        <f>"63445060103033"</f>
        <v>63445060103033</v>
      </c>
      <c r="M1029" s="2" t="s">
        <v>2</v>
      </c>
      <c r="N1029" s="18">
        <v>31752</v>
      </c>
      <c r="O1029" s="2" t="s">
        <v>704</v>
      </c>
    </row>
    <row r="1030" spans="1:15" s="2" customFormat="1" x14ac:dyDescent="0.25">
      <c r="A1030" s="2">
        <v>1030</v>
      </c>
      <c r="B1030" s="2">
        <v>1</v>
      </c>
      <c r="C1030" s="2">
        <v>76</v>
      </c>
      <c r="D1030" s="2">
        <v>1</v>
      </c>
      <c r="E1030" s="2">
        <v>5</v>
      </c>
      <c r="G1030" s="2">
        <v>1</v>
      </c>
      <c r="H1030" s="2">
        <v>4</v>
      </c>
      <c r="I1030" s="2">
        <v>13460272</v>
      </c>
      <c r="J1030" s="2" t="s">
        <v>234</v>
      </c>
      <c r="K1030" s="2" t="s">
        <v>350</v>
      </c>
      <c r="L1030" s="2" t="str">
        <f>"63445060103035"</f>
        <v>63445060103035</v>
      </c>
      <c r="M1030" s="2" t="s">
        <v>2</v>
      </c>
      <c r="N1030" s="18">
        <v>31753</v>
      </c>
      <c r="O1030" s="2" t="s">
        <v>704</v>
      </c>
    </row>
    <row r="1031" spans="1:15" s="2" customFormat="1" x14ac:dyDescent="0.25">
      <c r="A1031" s="2">
        <v>1031</v>
      </c>
      <c r="B1031" s="2">
        <v>1</v>
      </c>
      <c r="C1031" s="2">
        <v>76</v>
      </c>
      <c r="D1031" s="2">
        <v>1</v>
      </c>
      <c r="E1031" s="2">
        <v>5</v>
      </c>
      <c r="G1031" s="2">
        <v>1</v>
      </c>
      <c r="H1031" s="2">
        <v>4</v>
      </c>
      <c r="I1031" s="2">
        <v>13460273</v>
      </c>
      <c r="J1031" s="2" t="s">
        <v>234</v>
      </c>
      <c r="K1031" s="2" t="s">
        <v>350</v>
      </c>
      <c r="L1031" s="2" t="str">
        <f>"63445060103036"</f>
        <v>63445060103036</v>
      </c>
      <c r="M1031" s="2" t="s">
        <v>2</v>
      </c>
      <c r="N1031" s="18">
        <v>31754</v>
      </c>
      <c r="O1031" s="2" t="s">
        <v>704</v>
      </c>
    </row>
    <row r="1032" spans="1:15" s="2" customFormat="1" x14ac:dyDescent="0.25">
      <c r="A1032" s="2">
        <v>1032</v>
      </c>
      <c r="B1032" s="2">
        <v>1</v>
      </c>
      <c r="C1032" s="2">
        <v>76</v>
      </c>
      <c r="D1032" s="2">
        <v>1</v>
      </c>
      <c r="E1032" s="2">
        <v>5</v>
      </c>
      <c r="G1032" s="2">
        <v>1</v>
      </c>
      <c r="H1032" s="2">
        <v>4</v>
      </c>
      <c r="I1032" s="2">
        <v>13460274</v>
      </c>
      <c r="J1032" s="2" t="s">
        <v>234</v>
      </c>
      <c r="K1032" s="2" t="s">
        <v>350</v>
      </c>
      <c r="L1032" s="2" t="str">
        <f>"63445060103037"</f>
        <v>63445060103037</v>
      </c>
      <c r="M1032" s="2" t="s">
        <v>2</v>
      </c>
      <c r="N1032" s="18">
        <v>31755</v>
      </c>
      <c r="O1032" s="2" t="s">
        <v>704</v>
      </c>
    </row>
    <row r="1033" spans="1:15" s="2" customFormat="1" x14ac:dyDescent="0.25">
      <c r="A1033" s="2">
        <v>1033</v>
      </c>
      <c r="B1033" s="2">
        <v>1</v>
      </c>
      <c r="C1033" s="2">
        <v>76</v>
      </c>
      <c r="D1033" s="2">
        <v>1</v>
      </c>
      <c r="E1033" s="2">
        <v>5</v>
      </c>
      <c r="G1033" s="2">
        <v>1</v>
      </c>
      <c r="H1033" s="2">
        <v>4</v>
      </c>
      <c r="I1033" s="2">
        <v>13460275</v>
      </c>
      <c r="J1033" s="2" t="s">
        <v>234</v>
      </c>
      <c r="K1033" s="2" t="s">
        <v>350</v>
      </c>
      <c r="L1033" s="2" t="str">
        <f>"63445060103038"</f>
        <v>63445060103038</v>
      </c>
      <c r="M1033" s="2" t="s">
        <v>2</v>
      </c>
      <c r="N1033" s="18">
        <v>31756</v>
      </c>
      <c r="O1033" s="2" t="s">
        <v>705</v>
      </c>
    </row>
    <row r="1034" spans="1:15" s="2" customFormat="1" x14ac:dyDescent="0.25">
      <c r="A1034" s="2">
        <v>1034</v>
      </c>
      <c r="B1034" s="2">
        <v>1</v>
      </c>
      <c r="C1034" s="2">
        <v>76</v>
      </c>
      <c r="D1034" s="2">
        <v>1</v>
      </c>
      <c r="E1034" s="2">
        <v>5</v>
      </c>
      <c r="G1034" s="2">
        <v>1</v>
      </c>
      <c r="H1034" s="2">
        <v>4</v>
      </c>
      <c r="I1034" s="2">
        <v>13460276</v>
      </c>
      <c r="J1034" s="2" t="s">
        <v>234</v>
      </c>
      <c r="K1034" s="2" t="s">
        <v>350</v>
      </c>
      <c r="L1034" s="2" t="str">
        <f>"63445060103039"</f>
        <v>63445060103039</v>
      </c>
      <c r="M1034" s="2" t="s">
        <v>2</v>
      </c>
      <c r="N1034" s="18">
        <v>31757</v>
      </c>
      <c r="O1034" s="2" t="s">
        <v>705</v>
      </c>
    </row>
    <row r="1035" spans="1:15" s="2" customFormat="1" x14ac:dyDescent="0.25">
      <c r="A1035" s="2">
        <v>1035</v>
      </c>
      <c r="B1035" s="2">
        <v>1</v>
      </c>
      <c r="C1035" s="2">
        <v>76</v>
      </c>
      <c r="D1035" s="2">
        <v>1</v>
      </c>
      <c r="E1035" s="2">
        <v>5</v>
      </c>
      <c r="G1035" s="2">
        <v>1</v>
      </c>
      <c r="H1035" s="2">
        <v>4</v>
      </c>
      <c r="I1035" s="2">
        <v>13460277</v>
      </c>
      <c r="J1035" s="2" t="s">
        <v>234</v>
      </c>
      <c r="K1035" s="2" t="s">
        <v>350</v>
      </c>
      <c r="L1035" s="2" t="str">
        <f>"63445060103040"</f>
        <v>63445060103040</v>
      </c>
      <c r="M1035" s="2" t="s">
        <v>2</v>
      </c>
      <c r="N1035" s="18">
        <v>31758</v>
      </c>
      <c r="O1035" s="2" t="s">
        <v>705</v>
      </c>
    </row>
    <row r="1036" spans="1:15" s="2" customFormat="1" x14ac:dyDescent="0.25">
      <c r="A1036" s="2">
        <v>1036</v>
      </c>
      <c r="B1036" s="2">
        <v>2</v>
      </c>
      <c r="C1036" s="2">
        <v>76</v>
      </c>
      <c r="D1036" s="2">
        <v>1</v>
      </c>
      <c r="E1036" s="2">
        <v>5</v>
      </c>
      <c r="G1036" s="2">
        <v>1</v>
      </c>
      <c r="H1036" s="2">
        <v>39</v>
      </c>
      <c r="I1036" s="2">
        <v>13511883</v>
      </c>
      <c r="J1036" s="2" t="s">
        <v>286</v>
      </c>
      <c r="L1036" s="2" t="str">
        <f>"13511883"</f>
        <v>13511883</v>
      </c>
      <c r="M1036" s="2" t="s">
        <v>31</v>
      </c>
      <c r="N1036" s="18">
        <v>31759</v>
      </c>
      <c r="O1036" s="2" t="s">
        <v>706</v>
      </c>
    </row>
    <row r="1037" spans="1:15" s="2" customFormat="1" x14ac:dyDescent="0.25">
      <c r="A1037" s="2">
        <v>1037</v>
      </c>
      <c r="B1037" s="2">
        <v>2</v>
      </c>
      <c r="C1037" s="2">
        <v>76</v>
      </c>
      <c r="D1037" s="2">
        <v>1</v>
      </c>
      <c r="E1037" s="2">
        <v>5</v>
      </c>
      <c r="G1037" s="2">
        <v>1</v>
      </c>
      <c r="H1037" s="2">
        <v>39</v>
      </c>
      <c r="I1037" s="2">
        <v>13511881</v>
      </c>
      <c r="J1037" s="2" t="s">
        <v>286</v>
      </c>
      <c r="L1037" s="2" t="str">
        <f>"13511881"</f>
        <v>13511881</v>
      </c>
      <c r="M1037" s="2" t="s">
        <v>31</v>
      </c>
      <c r="N1037" s="18">
        <v>31760</v>
      </c>
      <c r="O1037" s="2" t="s">
        <v>706</v>
      </c>
    </row>
    <row r="1038" spans="1:15" s="2" customFormat="1" x14ac:dyDescent="0.25">
      <c r="A1038" s="2">
        <v>1038</v>
      </c>
      <c r="B1038" s="2">
        <v>2</v>
      </c>
      <c r="C1038" s="2">
        <v>76</v>
      </c>
      <c r="D1038" s="2">
        <v>1</v>
      </c>
      <c r="E1038" s="2">
        <v>5</v>
      </c>
      <c r="G1038" s="2">
        <v>1</v>
      </c>
      <c r="H1038" s="2">
        <v>39</v>
      </c>
      <c r="I1038" s="2">
        <v>13511879</v>
      </c>
      <c r="J1038" s="2" t="s">
        <v>286</v>
      </c>
      <c r="L1038" s="2" t="str">
        <f>"13511879"</f>
        <v>13511879</v>
      </c>
      <c r="M1038" s="2" t="s">
        <v>31</v>
      </c>
      <c r="N1038" s="18">
        <v>31761</v>
      </c>
      <c r="O1038" s="2" t="s">
        <v>706</v>
      </c>
    </row>
    <row r="1039" spans="1:15" s="2" customFormat="1" x14ac:dyDescent="0.25">
      <c r="A1039" s="2">
        <v>1039</v>
      </c>
      <c r="B1039" s="2">
        <v>2</v>
      </c>
      <c r="C1039" s="2">
        <v>76</v>
      </c>
      <c r="D1039" s="2">
        <v>1</v>
      </c>
      <c r="E1039" s="2">
        <v>5</v>
      </c>
      <c r="G1039" s="2">
        <v>1</v>
      </c>
      <c r="H1039" s="2">
        <v>39</v>
      </c>
      <c r="I1039" s="2">
        <v>13511880</v>
      </c>
      <c r="J1039" s="2" t="s">
        <v>286</v>
      </c>
      <c r="L1039" s="2" t="str">
        <f>"13511880"</f>
        <v>13511880</v>
      </c>
      <c r="M1039" s="2" t="s">
        <v>31</v>
      </c>
      <c r="N1039" s="18">
        <v>31762</v>
      </c>
      <c r="O1039" s="2" t="s">
        <v>706</v>
      </c>
    </row>
    <row r="1040" spans="1:15" s="2" customFormat="1" x14ac:dyDescent="0.25">
      <c r="A1040" s="2">
        <v>1040</v>
      </c>
      <c r="B1040" s="2">
        <v>2</v>
      </c>
      <c r="C1040" s="2">
        <v>76</v>
      </c>
      <c r="D1040" s="2">
        <v>1</v>
      </c>
      <c r="E1040" s="2">
        <v>5</v>
      </c>
      <c r="G1040" s="2">
        <v>1</v>
      </c>
      <c r="H1040" s="2">
        <v>39</v>
      </c>
      <c r="I1040" s="2">
        <v>13511882</v>
      </c>
      <c r="J1040" s="2" t="s">
        <v>286</v>
      </c>
      <c r="L1040" s="2" t="str">
        <f>"13511882"</f>
        <v>13511882</v>
      </c>
      <c r="M1040" s="2" t="s">
        <v>31</v>
      </c>
      <c r="N1040" s="18">
        <v>31763</v>
      </c>
      <c r="O1040" s="2" t="s">
        <v>706</v>
      </c>
    </row>
    <row r="1041" spans="1:15" s="2" customFormat="1" x14ac:dyDescent="0.25">
      <c r="A1041" s="2">
        <v>1041</v>
      </c>
      <c r="B1041" s="2">
        <v>2</v>
      </c>
      <c r="C1041" s="2">
        <v>76</v>
      </c>
      <c r="D1041" s="2">
        <v>1</v>
      </c>
      <c r="E1041" s="2">
        <v>5</v>
      </c>
      <c r="G1041" s="2">
        <v>1</v>
      </c>
      <c r="H1041" s="2">
        <v>39</v>
      </c>
      <c r="I1041" s="2">
        <v>13511933</v>
      </c>
      <c r="J1041" s="2" t="s">
        <v>285</v>
      </c>
      <c r="L1041" s="2" t="str">
        <f>"13511933"</f>
        <v>13511933</v>
      </c>
      <c r="M1041" s="2" t="s">
        <v>31</v>
      </c>
      <c r="N1041" s="18">
        <v>31764</v>
      </c>
      <c r="O1041" s="2" t="s">
        <v>707</v>
      </c>
    </row>
    <row r="1042" spans="1:15" s="2" customFormat="1" x14ac:dyDescent="0.25">
      <c r="A1042" s="2">
        <v>1042</v>
      </c>
      <c r="B1042" s="2">
        <v>2</v>
      </c>
      <c r="C1042" s="2">
        <v>76</v>
      </c>
      <c r="D1042" s="2">
        <v>1</v>
      </c>
      <c r="E1042" s="2">
        <v>5</v>
      </c>
      <c r="G1042" s="2">
        <v>1</v>
      </c>
      <c r="H1042" s="2">
        <v>39</v>
      </c>
      <c r="I1042" s="2">
        <v>13511884</v>
      </c>
      <c r="J1042" s="2" t="s">
        <v>286</v>
      </c>
      <c r="L1042" s="2" t="str">
        <f>"13511884"</f>
        <v>13511884</v>
      </c>
      <c r="M1042" s="2" t="s">
        <v>31</v>
      </c>
      <c r="N1042" s="18">
        <v>31765</v>
      </c>
      <c r="O1042" s="2" t="s">
        <v>706</v>
      </c>
    </row>
    <row r="1043" spans="1:15" s="2" customFormat="1" x14ac:dyDescent="0.25">
      <c r="A1043" s="2">
        <v>1043</v>
      </c>
      <c r="B1043" s="2">
        <v>2</v>
      </c>
      <c r="C1043" s="2">
        <v>76</v>
      </c>
      <c r="D1043" s="2">
        <v>1</v>
      </c>
      <c r="E1043" s="2">
        <v>5</v>
      </c>
      <c r="G1043" s="2">
        <v>1</v>
      </c>
      <c r="H1043" s="2">
        <v>39</v>
      </c>
      <c r="I1043" s="2">
        <v>13511885</v>
      </c>
      <c r="J1043" s="2" t="s">
        <v>286</v>
      </c>
      <c r="L1043" s="2" t="str">
        <f>"13511885"</f>
        <v>13511885</v>
      </c>
      <c r="M1043" s="2" t="s">
        <v>31</v>
      </c>
      <c r="N1043" s="18">
        <v>31766</v>
      </c>
      <c r="O1043" s="2" t="s">
        <v>706</v>
      </c>
    </row>
    <row r="1044" spans="1:15" s="2" customFormat="1" x14ac:dyDescent="0.25">
      <c r="A1044" s="2">
        <v>1044</v>
      </c>
      <c r="B1044" s="2">
        <v>2</v>
      </c>
      <c r="C1044" s="2">
        <v>76</v>
      </c>
      <c r="D1044" s="2">
        <v>1</v>
      </c>
      <c r="E1044" s="2">
        <v>5</v>
      </c>
      <c r="G1044" s="2">
        <v>1</v>
      </c>
      <c r="H1044" s="2">
        <v>39</v>
      </c>
      <c r="I1044" s="2">
        <v>13511886</v>
      </c>
      <c r="J1044" s="2" t="s">
        <v>286</v>
      </c>
      <c r="L1044" s="2" t="str">
        <f>"13511886"</f>
        <v>13511886</v>
      </c>
      <c r="M1044" s="2" t="s">
        <v>31</v>
      </c>
      <c r="N1044" s="18">
        <v>31767</v>
      </c>
      <c r="O1044" s="2" t="s">
        <v>706</v>
      </c>
    </row>
    <row r="1045" spans="1:15" s="2" customFormat="1" x14ac:dyDescent="0.25">
      <c r="A1045" s="2">
        <v>1045</v>
      </c>
      <c r="B1045" s="2">
        <v>2</v>
      </c>
      <c r="C1045" s="2">
        <v>76</v>
      </c>
      <c r="D1045" s="2">
        <v>1</v>
      </c>
      <c r="E1045" s="2">
        <v>5</v>
      </c>
      <c r="G1045" s="2">
        <v>1</v>
      </c>
      <c r="H1045" s="2">
        <v>39</v>
      </c>
      <c r="I1045" s="2">
        <v>13511887</v>
      </c>
      <c r="J1045" s="2" t="s">
        <v>286</v>
      </c>
      <c r="L1045" s="2" t="str">
        <f>"13511887"</f>
        <v>13511887</v>
      </c>
      <c r="M1045" s="2" t="s">
        <v>31</v>
      </c>
      <c r="N1045" s="18">
        <v>31768</v>
      </c>
      <c r="O1045" s="2" t="s">
        <v>706</v>
      </c>
    </row>
    <row r="1046" spans="1:15" s="2" customFormat="1" x14ac:dyDescent="0.25">
      <c r="A1046" s="2">
        <v>1046</v>
      </c>
      <c r="B1046" s="2">
        <v>2</v>
      </c>
      <c r="C1046" s="2">
        <v>76</v>
      </c>
      <c r="D1046" s="2">
        <v>1</v>
      </c>
      <c r="E1046" s="2">
        <v>5</v>
      </c>
      <c r="G1046" s="2">
        <v>1</v>
      </c>
      <c r="H1046" s="2">
        <v>39</v>
      </c>
      <c r="I1046" s="2">
        <v>13511888</v>
      </c>
      <c r="J1046" s="2" t="s">
        <v>286</v>
      </c>
      <c r="L1046" s="2" t="str">
        <f>"13511888"</f>
        <v>13511888</v>
      </c>
      <c r="M1046" s="2" t="s">
        <v>31</v>
      </c>
      <c r="N1046" s="18">
        <v>31769</v>
      </c>
      <c r="O1046" s="2" t="s">
        <v>706</v>
      </c>
    </row>
    <row r="1047" spans="1:15" s="2" customFormat="1" x14ac:dyDescent="0.25">
      <c r="A1047" s="2">
        <v>1047</v>
      </c>
      <c r="B1047" s="2">
        <v>2</v>
      </c>
      <c r="C1047" s="2">
        <v>76</v>
      </c>
      <c r="D1047" s="2">
        <v>1</v>
      </c>
      <c r="E1047" s="2">
        <v>5</v>
      </c>
      <c r="G1047" s="2">
        <v>1</v>
      </c>
      <c r="H1047" s="2">
        <v>39</v>
      </c>
      <c r="I1047" s="2">
        <v>13511889</v>
      </c>
      <c r="J1047" s="2" t="s">
        <v>286</v>
      </c>
      <c r="L1047" s="2" t="str">
        <f>"13511889"</f>
        <v>13511889</v>
      </c>
      <c r="M1047" s="2" t="s">
        <v>31</v>
      </c>
      <c r="N1047" s="18">
        <v>31770</v>
      </c>
      <c r="O1047" s="2" t="s">
        <v>706</v>
      </c>
    </row>
    <row r="1048" spans="1:15" s="2" customFormat="1" x14ac:dyDescent="0.25">
      <c r="A1048" s="2">
        <v>1048</v>
      </c>
      <c r="B1048" s="2">
        <v>2</v>
      </c>
      <c r="C1048" s="2">
        <v>76</v>
      </c>
      <c r="D1048" s="2">
        <v>1</v>
      </c>
      <c r="E1048" s="2">
        <v>5</v>
      </c>
      <c r="G1048" s="2">
        <v>1</v>
      </c>
      <c r="H1048" s="2">
        <v>39</v>
      </c>
      <c r="I1048" s="2">
        <v>13511890</v>
      </c>
      <c r="J1048" s="2" t="s">
        <v>286</v>
      </c>
      <c r="L1048" s="2" t="str">
        <f>"13511890"</f>
        <v>13511890</v>
      </c>
      <c r="M1048" s="2" t="s">
        <v>31</v>
      </c>
      <c r="N1048" s="18">
        <v>31771</v>
      </c>
      <c r="O1048" s="2" t="s">
        <v>706</v>
      </c>
    </row>
    <row r="1049" spans="1:15" s="2" customFormat="1" x14ac:dyDescent="0.25">
      <c r="A1049" s="2">
        <v>1049</v>
      </c>
      <c r="B1049" s="2">
        <v>2</v>
      </c>
      <c r="C1049" s="2">
        <v>76</v>
      </c>
      <c r="D1049" s="2">
        <v>1</v>
      </c>
      <c r="E1049" s="2">
        <v>5</v>
      </c>
      <c r="G1049" s="2">
        <v>1</v>
      </c>
      <c r="H1049" s="2">
        <v>39</v>
      </c>
      <c r="I1049" s="2">
        <v>13511891</v>
      </c>
      <c r="J1049" s="2" t="s">
        <v>286</v>
      </c>
      <c r="L1049" s="2" t="str">
        <f>"13511891"</f>
        <v>13511891</v>
      </c>
      <c r="M1049" s="2" t="s">
        <v>31</v>
      </c>
      <c r="N1049" s="18">
        <v>31772</v>
      </c>
      <c r="O1049" s="2" t="s">
        <v>706</v>
      </c>
    </row>
    <row r="1050" spans="1:15" s="2" customFormat="1" x14ac:dyDescent="0.25">
      <c r="A1050" s="2">
        <v>1050</v>
      </c>
      <c r="B1050" s="2">
        <v>2</v>
      </c>
      <c r="C1050" s="2">
        <v>76</v>
      </c>
      <c r="D1050" s="2">
        <v>1</v>
      </c>
      <c r="E1050" s="2">
        <v>5</v>
      </c>
      <c r="G1050" s="2">
        <v>1</v>
      </c>
      <c r="H1050" s="2">
        <v>39</v>
      </c>
      <c r="I1050" s="2">
        <v>13511896</v>
      </c>
      <c r="J1050" s="2" t="s">
        <v>286</v>
      </c>
      <c r="L1050" s="2" t="str">
        <f>"13511896"</f>
        <v>13511896</v>
      </c>
      <c r="M1050" s="2" t="s">
        <v>31</v>
      </c>
      <c r="N1050" s="18">
        <v>31773</v>
      </c>
      <c r="O1050" s="2" t="s">
        <v>706</v>
      </c>
    </row>
    <row r="1051" spans="1:15" s="2" customFormat="1" x14ac:dyDescent="0.25">
      <c r="A1051" s="2">
        <v>1051</v>
      </c>
      <c r="B1051" s="2">
        <v>2</v>
      </c>
      <c r="C1051" s="2">
        <v>76</v>
      </c>
      <c r="D1051" s="2">
        <v>1</v>
      </c>
      <c r="E1051" s="2">
        <v>5</v>
      </c>
      <c r="G1051" s="2">
        <v>1</v>
      </c>
      <c r="H1051" s="2">
        <v>39</v>
      </c>
      <c r="I1051" s="2">
        <v>13511893</v>
      </c>
      <c r="J1051" s="2" t="s">
        <v>286</v>
      </c>
      <c r="L1051" s="2" t="str">
        <f>"13511893"</f>
        <v>13511893</v>
      </c>
      <c r="M1051" s="2" t="s">
        <v>31</v>
      </c>
      <c r="N1051" s="18">
        <v>31774</v>
      </c>
      <c r="O1051" s="2" t="s">
        <v>706</v>
      </c>
    </row>
    <row r="1052" spans="1:15" s="2" customFormat="1" x14ac:dyDescent="0.25">
      <c r="A1052" s="2">
        <v>1052</v>
      </c>
      <c r="B1052" s="2">
        <v>2</v>
      </c>
      <c r="C1052" s="2">
        <v>76</v>
      </c>
      <c r="D1052" s="2">
        <v>1</v>
      </c>
      <c r="E1052" s="2">
        <v>5</v>
      </c>
      <c r="G1052" s="2">
        <v>1</v>
      </c>
      <c r="H1052" s="2">
        <v>39</v>
      </c>
      <c r="I1052" s="2">
        <v>13511894</v>
      </c>
      <c r="J1052" s="2" t="s">
        <v>286</v>
      </c>
      <c r="L1052" s="2" t="str">
        <f>"13511894"</f>
        <v>13511894</v>
      </c>
      <c r="M1052" s="2" t="s">
        <v>31</v>
      </c>
      <c r="N1052" s="18">
        <v>31775</v>
      </c>
      <c r="O1052" s="2" t="s">
        <v>706</v>
      </c>
    </row>
    <row r="1053" spans="1:15" s="2" customFormat="1" x14ac:dyDescent="0.25">
      <c r="A1053" s="2">
        <v>1053</v>
      </c>
      <c r="B1053" s="2">
        <v>2</v>
      </c>
      <c r="C1053" s="2">
        <v>76</v>
      </c>
      <c r="D1053" s="2">
        <v>1</v>
      </c>
      <c r="E1053" s="2">
        <v>5</v>
      </c>
      <c r="G1053" s="2">
        <v>1</v>
      </c>
      <c r="H1053" s="2">
        <v>39</v>
      </c>
      <c r="I1053" s="2">
        <v>13511895</v>
      </c>
      <c r="J1053" s="2" t="s">
        <v>286</v>
      </c>
      <c r="L1053" s="2" t="str">
        <f>"13511895"</f>
        <v>13511895</v>
      </c>
      <c r="M1053" s="2" t="s">
        <v>31</v>
      </c>
      <c r="N1053" s="18">
        <v>31776</v>
      </c>
      <c r="O1053" s="2" t="s">
        <v>706</v>
      </c>
    </row>
    <row r="1054" spans="1:15" s="2" customFormat="1" x14ac:dyDescent="0.25">
      <c r="A1054" s="2">
        <v>1054</v>
      </c>
      <c r="B1054" s="2">
        <v>2</v>
      </c>
      <c r="C1054" s="2">
        <v>76</v>
      </c>
      <c r="D1054" s="2">
        <v>1</v>
      </c>
      <c r="E1054" s="2">
        <v>5</v>
      </c>
      <c r="G1054" s="2">
        <v>1</v>
      </c>
      <c r="H1054" s="2">
        <v>39</v>
      </c>
      <c r="I1054" s="2">
        <v>13511897</v>
      </c>
      <c r="J1054" s="2" t="s">
        <v>286</v>
      </c>
      <c r="L1054" s="2" t="str">
        <f>"13511897"</f>
        <v>13511897</v>
      </c>
      <c r="M1054" s="2" t="s">
        <v>31</v>
      </c>
      <c r="N1054" s="18">
        <v>31777</v>
      </c>
      <c r="O1054" s="2" t="s">
        <v>706</v>
      </c>
    </row>
    <row r="1055" spans="1:15" s="2" customFormat="1" x14ac:dyDescent="0.25">
      <c r="A1055" s="2">
        <v>1055</v>
      </c>
      <c r="B1055" s="2">
        <v>2</v>
      </c>
      <c r="C1055" s="2">
        <v>76</v>
      </c>
      <c r="D1055" s="2">
        <v>1</v>
      </c>
      <c r="E1055" s="2">
        <v>5</v>
      </c>
      <c r="G1055" s="2">
        <v>1</v>
      </c>
      <c r="H1055" s="2">
        <v>39</v>
      </c>
      <c r="I1055" s="2">
        <v>13511898</v>
      </c>
      <c r="J1055" s="2" t="s">
        <v>286</v>
      </c>
      <c r="L1055" s="2" t="str">
        <f>"13511898"</f>
        <v>13511898</v>
      </c>
      <c r="M1055" s="2" t="s">
        <v>31</v>
      </c>
      <c r="N1055" s="18">
        <v>31778</v>
      </c>
      <c r="O1055" s="2" t="s">
        <v>706</v>
      </c>
    </row>
    <row r="1056" spans="1:15" s="2" customFormat="1" x14ac:dyDescent="0.25">
      <c r="A1056" s="2">
        <v>1056</v>
      </c>
      <c r="B1056" s="2">
        <v>2</v>
      </c>
      <c r="C1056" s="2">
        <v>76</v>
      </c>
      <c r="D1056" s="2">
        <v>1</v>
      </c>
      <c r="E1056" s="2">
        <v>5</v>
      </c>
      <c r="G1056" s="2">
        <v>1</v>
      </c>
      <c r="H1056" s="2">
        <v>39</v>
      </c>
      <c r="I1056" s="2">
        <v>13511899</v>
      </c>
      <c r="J1056" s="2" t="s">
        <v>286</v>
      </c>
      <c r="L1056" s="2" t="str">
        <f>"13511899"</f>
        <v>13511899</v>
      </c>
      <c r="M1056" s="2" t="s">
        <v>31</v>
      </c>
      <c r="N1056" s="18">
        <v>31779</v>
      </c>
      <c r="O1056" s="2" t="s">
        <v>706</v>
      </c>
    </row>
    <row r="1057" spans="1:15" s="2" customFormat="1" x14ac:dyDescent="0.25">
      <c r="A1057" s="2">
        <v>1057</v>
      </c>
      <c r="B1057" s="2">
        <v>2</v>
      </c>
      <c r="C1057" s="2">
        <v>76</v>
      </c>
      <c r="D1057" s="2">
        <v>1</v>
      </c>
      <c r="E1057" s="2">
        <v>5</v>
      </c>
      <c r="G1057" s="2">
        <v>1</v>
      </c>
      <c r="H1057" s="2">
        <v>39</v>
      </c>
      <c r="I1057" s="2">
        <v>13511900</v>
      </c>
      <c r="J1057" s="2" t="s">
        <v>286</v>
      </c>
      <c r="L1057" s="2" t="str">
        <f>"13511900"</f>
        <v>13511900</v>
      </c>
      <c r="M1057" s="2" t="s">
        <v>31</v>
      </c>
      <c r="N1057" s="18">
        <v>31780</v>
      </c>
      <c r="O1057" s="2" t="s">
        <v>706</v>
      </c>
    </row>
    <row r="1058" spans="1:15" s="2" customFormat="1" x14ac:dyDescent="0.25">
      <c r="A1058" s="2">
        <v>1058</v>
      </c>
      <c r="B1058" s="2">
        <v>2</v>
      </c>
      <c r="C1058" s="2">
        <v>76</v>
      </c>
      <c r="D1058" s="2">
        <v>1</v>
      </c>
      <c r="E1058" s="2">
        <v>5</v>
      </c>
      <c r="G1058" s="2">
        <v>1</v>
      </c>
      <c r="H1058" s="2">
        <v>39</v>
      </c>
      <c r="I1058" s="2">
        <v>13511901</v>
      </c>
      <c r="J1058" s="2" t="s">
        <v>286</v>
      </c>
      <c r="L1058" s="2" t="str">
        <f>"13511901"</f>
        <v>13511901</v>
      </c>
      <c r="M1058" s="2" t="s">
        <v>31</v>
      </c>
      <c r="N1058" s="18">
        <v>31781</v>
      </c>
      <c r="O1058" s="2" t="s">
        <v>706</v>
      </c>
    </row>
    <row r="1059" spans="1:15" s="2" customFormat="1" x14ac:dyDescent="0.25">
      <c r="A1059" s="2">
        <v>1059</v>
      </c>
      <c r="B1059" s="2">
        <v>2</v>
      </c>
      <c r="C1059" s="2">
        <v>76</v>
      </c>
      <c r="D1059" s="2">
        <v>1</v>
      </c>
      <c r="E1059" s="2">
        <v>5</v>
      </c>
      <c r="G1059" s="2">
        <v>1</v>
      </c>
      <c r="H1059" s="2">
        <v>39</v>
      </c>
      <c r="I1059" s="2">
        <v>13511878</v>
      </c>
      <c r="J1059" s="2" t="s">
        <v>286</v>
      </c>
      <c r="L1059" s="2" t="str">
        <f>"13511878"</f>
        <v>13511878</v>
      </c>
      <c r="M1059" s="2" t="s">
        <v>31</v>
      </c>
      <c r="N1059" s="18">
        <v>31782</v>
      </c>
      <c r="O1059" s="2" t="s">
        <v>706</v>
      </c>
    </row>
    <row r="1060" spans="1:15" s="2" customFormat="1" x14ac:dyDescent="0.25">
      <c r="A1060" s="2">
        <v>1060</v>
      </c>
      <c r="B1060" s="2">
        <v>2</v>
      </c>
      <c r="C1060" s="2">
        <v>76</v>
      </c>
      <c r="D1060" s="2">
        <v>1</v>
      </c>
      <c r="E1060" s="2">
        <v>5</v>
      </c>
      <c r="G1060" s="2">
        <v>1</v>
      </c>
      <c r="H1060" s="2">
        <v>39</v>
      </c>
      <c r="I1060" s="2">
        <v>13511902</v>
      </c>
      <c r="J1060" s="2" t="s">
        <v>286</v>
      </c>
      <c r="L1060" s="2" t="str">
        <f>"13511902"</f>
        <v>13511902</v>
      </c>
      <c r="M1060" s="2" t="s">
        <v>31</v>
      </c>
      <c r="N1060" s="18">
        <v>31783</v>
      </c>
      <c r="O1060" s="2" t="s">
        <v>706</v>
      </c>
    </row>
    <row r="1061" spans="1:15" s="2" customFormat="1" x14ac:dyDescent="0.25">
      <c r="A1061" s="2">
        <v>1061</v>
      </c>
      <c r="B1061" s="2">
        <v>2</v>
      </c>
      <c r="C1061" s="2">
        <v>76</v>
      </c>
      <c r="D1061" s="2">
        <v>1</v>
      </c>
      <c r="E1061" s="2">
        <v>5</v>
      </c>
      <c r="G1061" s="2">
        <v>1</v>
      </c>
      <c r="H1061" s="2">
        <v>39</v>
      </c>
      <c r="I1061" s="2">
        <v>13511903</v>
      </c>
      <c r="J1061" s="2" t="s">
        <v>286</v>
      </c>
      <c r="L1061" s="2" t="str">
        <f>"13511903"</f>
        <v>13511903</v>
      </c>
      <c r="M1061" s="2" t="s">
        <v>31</v>
      </c>
      <c r="N1061" s="18">
        <v>31784</v>
      </c>
      <c r="O1061" s="2" t="s">
        <v>706</v>
      </c>
    </row>
    <row r="1062" spans="1:15" s="2" customFormat="1" x14ac:dyDescent="0.25">
      <c r="A1062" s="2">
        <v>1062</v>
      </c>
      <c r="B1062" s="2">
        <v>2</v>
      </c>
      <c r="C1062" s="2">
        <v>76</v>
      </c>
      <c r="D1062" s="2">
        <v>1</v>
      </c>
      <c r="E1062" s="2">
        <v>5</v>
      </c>
      <c r="G1062" s="2">
        <v>1</v>
      </c>
      <c r="H1062" s="2">
        <v>39</v>
      </c>
      <c r="I1062" s="2">
        <v>13511904</v>
      </c>
      <c r="J1062" s="2" t="s">
        <v>286</v>
      </c>
      <c r="L1062" s="2" t="str">
        <f>"13511904"</f>
        <v>13511904</v>
      </c>
      <c r="M1062" s="2" t="s">
        <v>31</v>
      </c>
      <c r="N1062" s="18">
        <v>31785</v>
      </c>
      <c r="O1062" s="2" t="s">
        <v>706</v>
      </c>
    </row>
    <row r="1063" spans="1:15" s="2" customFormat="1" x14ac:dyDescent="0.25">
      <c r="A1063" s="2">
        <v>1063</v>
      </c>
      <c r="B1063" s="2">
        <v>2</v>
      </c>
      <c r="C1063" s="2">
        <v>76</v>
      </c>
      <c r="D1063" s="2">
        <v>1</v>
      </c>
      <c r="E1063" s="2">
        <v>5</v>
      </c>
      <c r="G1063" s="2">
        <v>1</v>
      </c>
      <c r="H1063" s="2">
        <v>39</v>
      </c>
      <c r="I1063" s="2">
        <v>13511905</v>
      </c>
      <c r="J1063" s="2" t="s">
        <v>286</v>
      </c>
      <c r="L1063" s="2" t="str">
        <f>"13511905"</f>
        <v>13511905</v>
      </c>
      <c r="M1063" s="2" t="s">
        <v>31</v>
      </c>
      <c r="N1063" s="18">
        <v>31786</v>
      </c>
      <c r="O1063" s="2" t="s">
        <v>706</v>
      </c>
    </row>
    <row r="1064" spans="1:15" s="2" customFormat="1" x14ac:dyDescent="0.25">
      <c r="A1064" s="2">
        <v>1064</v>
      </c>
      <c r="B1064" s="2">
        <v>2</v>
      </c>
      <c r="C1064" s="2">
        <v>76</v>
      </c>
      <c r="D1064" s="2">
        <v>1</v>
      </c>
      <c r="E1064" s="2">
        <v>5</v>
      </c>
      <c r="G1064" s="2">
        <v>1</v>
      </c>
      <c r="H1064" s="2">
        <v>39</v>
      </c>
      <c r="I1064" s="2">
        <v>13511906</v>
      </c>
      <c r="J1064" s="2" t="s">
        <v>286</v>
      </c>
      <c r="L1064" s="2" t="str">
        <f>"13511906"</f>
        <v>13511906</v>
      </c>
      <c r="M1064" s="2" t="s">
        <v>31</v>
      </c>
      <c r="N1064" s="18">
        <v>31787</v>
      </c>
      <c r="O1064" s="2" t="s">
        <v>706</v>
      </c>
    </row>
    <row r="1065" spans="1:15" s="2" customFormat="1" x14ac:dyDescent="0.25">
      <c r="A1065" s="2">
        <v>1065</v>
      </c>
      <c r="B1065" s="2">
        <v>2</v>
      </c>
      <c r="C1065" s="2">
        <v>76</v>
      </c>
      <c r="D1065" s="2">
        <v>1</v>
      </c>
      <c r="E1065" s="2">
        <v>5</v>
      </c>
      <c r="G1065" s="2">
        <v>1</v>
      </c>
      <c r="H1065" s="2">
        <v>39</v>
      </c>
      <c r="I1065" s="2">
        <v>13511907</v>
      </c>
      <c r="J1065" s="2" t="s">
        <v>286</v>
      </c>
      <c r="L1065" s="2" t="str">
        <f>"13511907"</f>
        <v>13511907</v>
      </c>
      <c r="M1065" s="2" t="s">
        <v>31</v>
      </c>
      <c r="N1065" s="18">
        <v>31788</v>
      </c>
      <c r="O1065" s="2" t="s">
        <v>706</v>
      </c>
    </row>
    <row r="1066" spans="1:15" s="2" customFormat="1" x14ac:dyDescent="0.25">
      <c r="A1066" s="2">
        <v>1066</v>
      </c>
      <c r="B1066" s="2">
        <v>2</v>
      </c>
      <c r="C1066" s="2">
        <v>76</v>
      </c>
      <c r="D1066" s="2">
        <v>1</v>
      </c>
      <c r="E1066" s="2">
        <v>5</v>
      </c>
      <c r="G1066" s="2">
        <v>1</v>
      </c>
      <c r="H1066" s="2">
        <v>39</v>
      </c>
      <c r="I1066" s="2">
        <v>13511908</v>
      </c>
      <c r="J1066" s="2" t="s">
        <v>286</v>
      </c>
      <c r="L1066" s="2" t="str">
        <f>"13511908"</f>
        <v>13511908</v>
      </c>
      <c r="M1066" s="2" t="s">
        <v>31</v>
      </c>
      <c r="N1066" s="18">
        <v>31789</v>
      </c>
      <c r="O1066" s="2" t="s">
        <v>706</v>
      </c>
    </row>
    <row r="1067" spans="1:15" s="2" customFormat="1" x14ac:dyDescent="0.25">
      <c r="A1067" s="2">
        <v>1067</v>
      </c>
      <c r="B1067" s="2">
        <v>2</v>
      </c>
      <c r="C1067" s="2">
        <v>76</v>
      </c>
      <c r="D1067" s="2">
        <v>1</v>
      </c>
      <c r="E1067" s="2">
        <v>5</v>
      </c>
      <c r="G1067" s="2">
        <v>1</v>
      </c>
      <c r="H1067" s="2">
        <v>39</v>
      </c>
      <c r="I1067" s="2">
        <v>13511909</v>
      </c>
      <c r="J1067" s="2" t="s">
        <v>286</v>
      </c>
      <c r="L1067" s="2" t="str">
        <f>"13511909"</f>
        <v>13511909</v>
      </c>
      <c r="M1067" s="2" t="s">
        <v>31</v>
      </c>
      <c r="N1067" s="18">
        <v>31790</v>
      </c>
      <c r="O1067" s="2" t="s">
        <v>706</v>
      </c>
    </row>
    <row r="1068" spans="1:15" s="2" customFormat="1" x14ac:dyDescent="0.25">
      <c r="A1068" s="2">
        <v>1068</v>
      </c>
      <c r="B1068" s="2">
        <v>2</v>
      </c>
      <c r="C1068" s="2">
        <v>76</v>
      </c>
      <c r="D1068" s="2">
        <v>1</v>
      </c>
      <c r="E1068" s="2">
        <v>5</v>
      </c>
      <c r="G1068" s="2">
        <v>1</v>
      </c>
      <c r="H1068" s="2">
        <v>39</v>
      </c>
      <c r="I1068" s="2">
        <v>13511910</v>
      </c>
      <c r="J1068" s="2" t="s">
        <v>286</v>
      </c>
      <c r="L1068" s="2" t="str">
        <f>"13511910"</f>
        <v>13511910</v>
      </c>
      <c r="M1068" s="2" t="s">
        <v>31</v>
      </c>
      <c r="N1068" s="18">
        <v>31791</v>
      </c>
      <c r="O1068" s="2" t="s">
        <v>706</v>
      </c>
    </row>
    <row r="1069" spans="1:15" s="2" customFormat="1" x14ac:dyDescent="0.25">
      <c r="A1069" s="2">
        <v>1069</v>
      </c>
      <c r="B1069" s="2">
        <v>2</v>
      </c>
      <c r="C1069" s="2">
        <v>76</v>
      </c>
      <c r="D1069" s="2">
        <v>1</v>
      </c>
      <c r="E1069" s="2">
        <v>5</v>
      </c>
      <c r="G1069" s="2">
        <v>1</v>
      </c>
      <c r="H1069" s="2">
        <v>39</v>
      </c>
      <c r="I1069" s="2">
        <v>13511911</v>
      </c>
      <c r="J1069" s="2" t="s">
        <v>286</v>
      </c>
      <c r="L1069" s="2" t="str">
        <f>"13511911"</f>
        <v>13511911</v>
      </c>
      <c r="M1069" s="2" t="s">
        <v>31</v>
      </c>
      <c r="N1069" s="18">
        <v>31792</v>
      </c>
      <c r="O1069" s="2" t="s">
        <v>706</v>
      </c>
    </row>
    <row r="1070" spans="1:15" s="2" customFormat="1" x14ac:dyDescent="0.25">
      <c r="A1070" s="2">
        <v>1070</v>
      </c>
      <c r="B1070" s="2">
        <v>2</v>
      </c>
      <c r="C1070" s="2">
        <v>76</v>
      </c>
      <c r="D1070" s="2">
        <v>1</v>
      </c>
      <c r="E1070" s="2">
        <v>5</v>
      </c>
      <c r="G1070" s="2">
        <v>1</v>
      </c>
      <c r="H1070" s="2">
        <v>39</v>
      </c>
      <c r="I1070" s="2">
        <v>13511912</v>
      </c>
      <c r="J1070" s="2" t="s">
        <v>286</v>
      </c>
      <c r="L1070" s="2" t="str">
        <f>"13511912"</f>
        <v>13511912</v>
      </c>
      <c r="M1070" s="2" t="s">
        <v>31</v>
      </c>
      <c r="N1070" s="18">
        <v>31793</v>
      </c>
      <c r="O1070" s="2" t="s">
        <v>706</v>
      </c>
    </row>
    <row r="1071" spans="1:15" s="2" customFormat="1" x14ac:dyDescent="0.25">
      <c r="A1071" s="2">
        <v>1071</v>
      </c>
      <c r="B1071" s="2">
        <v>2</v>
      </c>
      <c r="C1071" s="2">
        <v>76</v>
      </c>
      <c r="D1071" s="2">
        <v>1</v>
      </c>
      <c r="E1071" s="2">
        <v>5</v>
      </c>
      <c r="G1071" s="2">
        <v>1</v>
      </c>
      <c r="H1071" s="2">
        <v>39</v>
      </c>
      <c r="I1071" s="2">
        <v>13511913</v>
      </c>
      <c r="J1071" s="2" t="s">
        <v>286</v>
      </c>
      <c r="L1071" s="2" t="str">
        <f>"13511913"</f>
        <v>13511913</v>
      </c>
      <c r="M1071" s="2" t="s">
        <v>31</v>
      </c>
      <c r="N1071" s="18">
        <v>31794</v>
      </c>
      <c r="O1071" s="2" t="s">
        <v>706</v>
      </c>
    </row>
    <row r="1072" spans="1:15" s="2" customFormat="1" x14ac:dyDescent="0.25">
      <c r="A1072" s="2">
        <v>1072</v>
      </c>
      <c r="B1072" s="2">
        <v>2</v>
      </c>
      <c r="C1072" s="2">
        <v>76</v>
      </c>
      <c r="D1072" s="2">
        <v>1</v>
      </c>
      <c r="E1072" s="2">
        <v>5</v>
      </c>
      <c r="G1072" s="2">
        <v>1</v>
      </c>
      <c r="H1072" s="2">
        <v>39</v>
      </c>
      <c r="I1072" s="2">
        <v>13511914</v>
      </c>
      <c r="J1072" s="2" t="s">
        <v>286</v>
      </c>
      <c r="L1072" s="2" t="str">
        <f>"13511914"</f>
        <v>13511914</v>
      </c>
      <c r="M1072" s="2" t="s">
        <v>31</v>
      </c>
      <c r="N1072" s="18">
        <v>31795</v>
      </c>
      <c r="O1072" s="2" t="s">
        <v>706</v>
      </c>
    </row>
    <row r="1073" spans="1:15" s="2" customFormat="1" x14ac:dyDescent="0.25">
      <c r="A1073" s="2">
        <v>1073</v>
      </c>
      <c r="B1073" s="2">
        <v>2</v>
      </c>
      <c r="C1073" s="2">
        <v>76</v>
      </c>
      <c r="D1073" s="2">
        <v>1</v>
      </c>
      <c r="E1073" s="2">
        <v>5</v>
      </c>
      <c r="G1073" s="2">
        <v>1</v>
      </c>
      <c r="H1073" s="2">
        <v>39</v>
      </c>
      <c r="I1073" s="2">
        <v>13511915</v>
      </c>
      <c r="J1073" s="2" t="s">
        <v>286</v>
      </c>
      <c r="L1073" s="2" t="str">
        <f>"13511915"</f>
        <v>13511915</v>
      </c>
      <c r="M1073" s="2" t="s">
        <v>31</v>
      </c>
      <c r="N1073" s="18">
        <v>31796</v>
      </c>
      <c r="O1073" s="2" t="s">
        <v>706</v>
      </c>
    </row>
    <row r="1074" spans="1:15" s="2" customFormat="1" x14ac:dyDescent="0.25">
      <c r="A1074" s="2">
        <v>1074</v>
      </c>
      <c r="B1074" s="2">
        <v>2</v>
      </c>
      <c r="C1074" s="2">
        <v>76</v>
      </c>
      <c r="D1074" s="2">
        <v>1</v>
      </c>
      <c r="E1074" s="2">
        <v>5</v>
      </c>
      <c r="G1074" s="2">
        <v>1</v>
      </c>
      <c r="H1074" s="2">
        <v>39</v>
      </c>
      <c r="I1074" s="2">
        <v>13511916</v>
      </c>
      <c r="J1074" s="2" t="s">
        <v>286</v>
      </c>
      <c r="L1074" s="2" t="str">
        <f>"13511916"</f>
        <v>13511916</v>
      </c>
      <c r="M1074" s="2" t="s">
        <v>31</v>
      </c>
      <c r="N1074" s="18">
        <v>31797</v>
      </c>
      <c r="O1074" s="2" t="s">
        <v>706</v>
      </c>
    </row>
    <row r="1075" spans="1:15" s="2" customFormat="1" x14ac:dyDescent="0.25">
      <c r="A1075" s="2">
        <v>1075</v>
      </c>
      <c r="B1075" s="2">
        <v>2</v>
      </c>
      <c r="C1075" s="2">
        <v>76</v>
      </c>
      <c r="D1075" s="2">
        <v>1</v>
      </c>
      <c r="E1075" s="2">
        <v>5</v>
      </c>
      <c r="G1075" s="2">
        <v>1</v>
      </c>
      <c r="H1075" s="2">
        <v>39</v>
      </c>
      <c r="I1075" s="2">
        <v>13511917</v>
      </c>
      <c r="J1075" s="2" t="s">
        <v>286</v>
      </c>
      <c r="L1075" s="2" t="str">
        <f>"13511917"</f>
        <v>13511917</v>
      </c>
      <c r="M1075" s="2" t="s">
        <v>31</v>
      </c>
      <c r="N1075" s="18">
        <v>31798</v>
      </c>
      <c r="O1075" s="2" t="s">
        <v>706</v>
      </c>
    </row>
    <row r="1076" spans="1:15" s="2" customFormat="1" x14ac:dyDescent="0.25">
      <c r="A1076" s="2">
        <v>1076</v>
      </c>
      <c r="B1076" s="2">
        <v>2</v>
      </c>
      <c r="C1076" s="2">
        <v>76</v>
      </c>
      <c r="D1076" s="2">
        <v>1</v>
      </c>
      <c r="E1076" s="2">
        <v>5</v>
      </c>
      <c r="G1076" s="2">
        <v>1</v>
      </c>
      <c r="H1076" s="2">
        <v>39</v>
      </c>
      <c r="I1076" s="2">
        <v>13511918</v>
      </c>
      <c r="J1076" s="2" t="s">
        <v>285</v>
      </c>
      <c r="L1076" s="2" t="str">
        <f>"13511918"</f>
        <v>13511918</v>
      </c>
      <c r="M1076" s="2" t="s">
        <v>31</v>
      </c>
      <c r="N1076" s="18">
        <v>31799</v>
      </c>
      <c r="O1076" s="2" t="s">
        <v>708</v>
      </c>
    </row>
    <row r="1077" spans="1:15" s="2" customFormat="1" x14ac:dyDescent="0.25">
      <c r="A1077" s="2">
        <v>1077</v>
      </c>
      <c r="B1077" s="2">
        <v>2</v>
      </c>
      <c r="C1077" s="2">
        <v>76</v>
      </c>
      <c r="D1077" s="2">
        <v>1</v>
      </c>
      <c r="E1077" s="2">
        <v>5</v>
      </c>
      <c r="G1077" s="2">
        <v>1</v>
      </c>
      <c r="H1077" s="2">
        <v>39</v>
      </c>
      <c r="I1077" s="2">
        <v>13511919</v>
      </c>
      <c r="J1077" s="2" t="s">
        <v>285</v>
      </c>
      <c r="L1077" s="2" t="str">
        <f>"13511919"</f>
        <v>13511919</v>
      </c>
      <c r="M1077" s="2" t="s">
        <v>31</v>
      </c>
      <c r="N1077" s="18">
        <v>31800</v>
      </c>
      <c r="O1077" s="2" t="s">
        <v>707</v>
      </c>
    </row>
    <row r="1078" spans="1:15" s="2" customFormat="1" x14ac:dyDescent="0.25">
      <c r="A1078" s="2">
        <v>1078</v>
      </c>
      <c r="B1078" s="2">
        <v>2</v>
      </c>
      <c r="C1078" s="2">
        <v>76</v>
      </c>
      <c r="D1078" s="2">
        <v>1</v>
      </c>
      <c r="E1078" s="2">
        <v>5</v>
      </c>
      <c r="G1078" s="2">
        <v>1</v>
      </c>
      <c r="H1078" s="2">
        <v>39</v>
      </c>
      <c r="I1078" s="2">
        <v>13511920</v>
      </c>
      <c r="J1078" s="2" t="s">
        <v>285</v>
      </c>
      <c r="L1078" s="2" t="str">
        <f>"13511920"</f>
        <v>13511920</v>
      </c>
      <c r="M1078" s="2" t="s">
        <v>31</v>
      </c>
      <c r="N1078" s="18">
        <v>31801</v>
      </c>
      <c r="O1078" s="2" t="s">
        <v>707</v>
      </c>
    </row>
    <row r="1079" spans="1:15" s="2" customFormat="1" x14ac:dyDescent="0.25">
      <c r="A1079" s="2">
        <v>1079</v>
      </c>
      <c r="B1079" s="2">
        <v>2</v>
      </c>
      <c r="C1079" s="2">
        <v>76</v>
      </c>
      <c r="D1079" s="2">
        <v>1</v>
      </c>
      <c r="E1079" s="2">
        <v>5</v>
      </c>
      <c r="G1079" s="2">
        <v>1</v>
      </c>
      <c r="H1079" s="2">
        <v>39</v>
      </c>
      <c r="I1079" s="2">
        <v>13511921</v>
      </c>
      <c r="J1079" s="2" t="s">
        <v>285</v>
      </c>
      <c r="L1079" s="2" t="str">
        <f>"13511921"</f>
        <v>13511921</v>
      </c>
      <c r="M1079" s="2" t="s">
        <v>31</v>
      </c>
      <c r="N1079" s="18">
        <v>31802</v>
      </c>
      <c r="O1079" s="2" t="s">
        <v>707</v>
      </c>
    </row>
    <row r="1080" spans="1:15" s="2" customFormat="1" x14ac:dyDescent="0.25">
      <c r="A1080" s="2">
        <v>1080</v>
      </c>
      <c r="B1080" s="2">
        <v>2</v>
      </c>
      <c r="C1080" s="2">
        <v>76</v>
      </c>
      <c r="D1080" s="2">
        <v>1</v>
      </c>
      <c r="E1080" s="2">
        <v>5</v>
      </c>
      <c r="G1080" s="2">
        <v>1</v>
      </c>
      <c r="H1080" s="2">
        <v>39</v>
      </c>
      <c r="I1080" s="2">
        <v>13511922</v>
      </c>
      <c r="J1080" s="2" t="s">
        <v>285</v>
      </c>
      <c r="L1080" s="2" t="str">
        <f>"13511922"</f>
        <v>13511922</v>
      </c>
      <c r="M1080" s="2" t="s">
        <v>31</v>
      </c>
      <c r="N1080" s="18">
        <v>31803</v>
      </c>
      <c r="O1080" s="2" t="s">
        <v>707</v>
      </c>
    </row>
    <row r="1081" spans="1:15" s="2" customFormat="1" x14ac:dyDescent="0.25">
      <c r="A1081" s="2">
        <v>1081</v>
      </c>
      <c r="B1081" s="2">
        <v>2</v>
      </c>
      <c r="C1081" s="2">
        <v>76</v>
      </c>
      <c r="D1081" s="2">
        <v>1</v>
      </c>
      <c r="E1081" s="2">
        <v>5</v>
      </c>
      <c r="G1081" s="2">
        <v>1</v>
      </c>
      <c r="H1081" s="2">
        <v>39</v>
      </c>
      <c r="I1081" s="2">
        <v>13511923</v>
      </c>
      <c r="J1081" s="2" t="s">
        <v>285</v>
      </c>
      <c r="L1081" s="2" t="str">
        <f>"13511923"</f>
        <v>13511923</v>
      </c>
      <c r="M1081" s="2" t="s">
        <v>31</v>
      </c>
      <c r="N1081" s="18">
        <v>31804</v>
      </c>
      <c r="O1081" s="2" t="s">
        <v>707</v>
      </c>
    </row>
    <row r="1082" spans="1:15" s="2" customFormat="1" x14ac:dyDescent="0.25">
      <c r="A1082" s="2">
        <v>1082</v>
      </c>
      <c r="B1082" s="2">
        <v>2</v>
      </c>
      <c r="C1082" s="2">
        <v>76</v>
      </c>
      <c r="D1082" s="2">
        <v>1</v>
      </c>
      <c r="E1082" s="2">
        <v>5</v>
      </c>
      <c r="G1082" s="2">
        <v>1</v>
      </c>
      <c r="H1082" s="2">
        <v>39</v>
      </c>
      <c r="I1082" s="2">
        <v>13511924</v>
      </c>
      <c r="J1082" s="2" t="s">
        <v>285</v>
      </c>
      <c r="L1082" s="2" t="str">
        <f>"13511924"</f>
        <v>13511924</v>
      </c>
      <c r="M1082" s="2" t="s">
        <v>31</v>
      </c>
      <c r="N1082" s="18">
        <v>31805</v>
      </c>
      <c r="O1082" s="2" t="s">
        <v>707</v>
      </c>
    </row>
    <row r="1083" spans="1:15" s="2" customFormat="1" x14ac:dyDescent="0.25">
      <c r="A1083" s="2">
        <v>1083</v>
      </c>
      <c r="B1083" s="2">
        <v>2</v>
      </c>
      <c r="C1083" s="2">
        <v>76</v>
      </c>
      <c r="D1083" s="2">
        <v>1</v>
      </c>
      <c r="E1083" s="2">
        <v>5</v>
      </c>
      <c r="G1083" s="2">
        <v>1</v>
      </c>
      <c r="H1083" s="2">
        <v>39</v>
      </c>
      <c r="I1083" s="2">
        <v>13511925</v>
      </c>
      <c r="J1083" s="2" t="s">
        <v>285</v>
      </c>
      <c r="L1083" s="2" t="str">
        <f>"13511925"</f>
        <v>13511925</v>
      </c>
      <c r="M1083" s="2" t="s">
        <v>31</v>
      </c>
      <c r="N1083" s="18">
        <v>31806</v>
      </c>
      <c r="O1083" s="2" t="s">
        <v>707</v>
      </c>
    </row>
    <row r="1084" spans="1:15" s="2" customFormat="1" x14ac:dyDescent="0.25">
      <c r="A1084" s="2">
        <v>1084</v>
      </c>
      <c r="B1084" s="2">
        <v>2</v>
      </c>
      <c r="C1084" s="2">
        <v>76</v>
      </c>
      <c r="D1084" s="2">
        <v>1</v>
      </c>
      <c r="E1084" s="2">
        <v>5</v>
      </c>
      <c r="G1084" s="2">
        <v>1</v>
      </c>
      <c r="H1084" s="2">
        <v>39</v>
      </c>
      <c r="I1084" s="2">
        <v>13511926</v>
      </c>
      <c r="J1084" s="2" t="s">
        <v>285</v>
      </c>
      <c r="L1084" s="2" t="str">
        <f>"13511926"</f>
        <v>13511926</v>
      </c>
      <c r="M1084" s="2" t="s">
        <v>31</v>
      </c>
      <c r="N1084" s="18">
        <v>31807</v>
      </c>
      <c r="O1084" s="2" t="s">
        <v>707</v>
      </c>
    </row>
    <row r="1085" spans="1:15" s="2" customFormat="1" x14ac:dyDescent="0.25">
      <c r="A1085" s="2">
        <v>1085</v>
      </c>
      <c r="B1085" s="2">
        <v>2</v>
      </c>
      <c r="C1085" s="2">
        <v>76</v>
      </c>
      <c r="D1085" s="2">
        <v>1</v>
      </c>
      <c r="E1085" s="2">
        <v>5</v>
      </c>
      <c r="G1085" s="2">
        <v>1</v>
      </c>
      <c r="H1085" s="2">
        <v>39</v>
      </c>
      <c r="I1085" s="2">
        <v>13511927</v>
      </c>
      <c r="J1085" s="2" t="s">
        <v>285</v>
      </c>
      <c r="L1085" s="2" t="str">
        <f>"13511927"</f>
        <v>13511927</v>
      </c>
      <c r="M1085" s="2" t="s">
        <v>31</v>
      </c>
      <c r="N1085" s="18">
        <v>31808</v>
      </c>
      <c r="O1085" s="2" t="s">
        <v>707</v>
      </c>
    </row>
    <row r="1086" spans="1:15" s="2" customFormat="1" x14ac:dyDescent="0.25">
      <c r="A1086" s="2">
        <v>1086</v>
      </c>
      <c r="B1086" s="2">
        <v>2</v>
      </c>
      <c r="C1086" s="2">
        <v>76</v>
      </c>
      <c r="D1086" s="2">
        <v>1</v>
      </c>
      <c r="E1086" s="2">
        <v>5</v>
      </c>
      <c r="G1086" s="2">
        <v>1</v>
      </c>
      <c r="H1086" s="2">
        <v>39</v>
      </c>
      <c r="I1086" s="2">
        <v>13511928</v>
      </c>
      <c r="J1086" s="2" t="s">
        <v>285</v>
      </c>
      <c r="L1086" s="2" t="str">
        <f>"13511928"</f>
        <v>13511928</v>
      </c>
      <c r="M1086" s="2" t="s">
        <v>31</v>
      </c>
      <c r="N1086" s="18">
        <v>31809</v>
      </c>
      <c r="O1086" s="2" t="s">
        <v>707</v>
      </c>
    </row>
    <row r="1087" spans="1:15" s="2" customFormat="1" x14ac:dyDescent="0.25">
      <c r="A1087" s="2">
        <v>1087</v>
      </c>
      <c r="B1087" s="2">
        <v>2</v>
      </c>
      <c r="C1087" s="2">
        <v>76</v>
      </c>
      <c r="D1087" s="2">
        <v>1</v>
      </c>
      <c r="E1087" s="2">
        <v>5</v>
      </c>
      <c r="G1087" s="2">
        <v>1</v>
      </c>
      <c r="H1087" s="2">
        <v>39</v>
      </c>
      <c r="I1087" s="2">
        <v>13511929</v>
      </c>
      <c r="J1087" s="2" t="s">
        <v>285</v>
      </c>
      <c r="L1087" s="2" t="str">
        <f>"13511929"</f>
        <v>13511929</v>
      </c>
      <c r="M1087" s="2" t="s">
        <v>31</v>
      </c>
      <c r="N1087" s="18">
        <v>31810</v>
      </c>
      <c r="O1087" s="2" t="s">
        <v>707</v>
      </c>
    </row>
    <row r="1088" spans="1:15" s="2" customFormat="1" x14ac:dyDescent="0.25">
      <c r="A1088" s="2">
        <v>1088</v>
      </c>
      <c r="B1088" s="2">
        <v>2</v>
      </c>
      <c r="C1088" s="2">
        <v>76</v>
      </c>
      <c r="D1088" s="2">
        <v>1</v>
      </c>
      <c r="E1088" s="2">
        <v>5</v>
      </c>
      <c r="G1088" s="2">
        <v>1</v>
      </c>
      <c r="H1088" s="2">
        <v>39</v>
      </c>
      <c r="I1088" s="2">
        <v>13511930</v>
      </c>
      <c r="J1088" s="2" t="s">
        <v>285</v>
      </c>
      <c r="L1088" s="2" t="str">
        <f>"13511930"</f>
        <v>13511930</v>
      </c>
      <c r="M1088" s="2" t="s">
        <v>31</v>
      </c>
      <c r="N1088" s="18">
        <v>31811</v>
      </c>
      <c r="O1088" s="2" t="s">
        <v>707</v>
      </c>
    </row>
    <row r="1089" spans="1:15" s="2" customFormat="1" x14ac:dyDescent="0.25">
      <c r="A1089" s="2">
        <v>1089</v>
      </c>
      <c r="B1089" s="2">
        <v>2</v>
      </c>
      <c r="C1089" s="2">
        <v>76</v>
      </c>
      <c r="D1089" s="2">
        <v>1</v>
      </c>
      <c r="E1089" s="2">
        <v>5</v>
      </c>
      <c r="G1089" s="2">
        <v>1</v>
      </c>
      <c r="H1089" s="2">
        <v>39</v>
      </c>
      <c r="I1089" s="2">
        <v>13511931</v>
      </c>
      <c r="J1089" s="2" t="s">
        <v>285</v>
      </c>
      <c r="L1089" s="2" t="str">
        <f>"13511931"</f>
        <v>13511931</v>
      </c>
      <c r="M1089" s="2" t="s">
        <v>31</v>
      </c>
      <c r="N1089" s="18">
        <v>31812</v>
      </c>
      <c r="O1089" s="2" t="s">
        <v>707</v>
      </c>
    </row>
    <row r="1090" spans="1:15" s="2" customFormat="1" x14ac:dyDescent="0.25">
      <c r="A1090" s="2">
        <v>1090</v>
      </c>
      <c r="B1090" s="2">
        <v>2</v>
      </c>
      <c r="C1090" s="2">
        <v>76</v>
      </c>
      <c r="D1090" s="2">
        <v>1</v>
      </c>
      <c r="E1090" s="2">
        <v>5</v>
      </c>
      <c r="G1090" s="2">
        <v>1</v>
      </c>
      <c r="H1090" s="2">
        <v>39</v>
      </c>
      <c r="I1090" s="2">
        <v>13511932</v>
      </c>
      <c r="J1090" s="2" t="s">
        <v>285</v>
      </c>
      <c r="L1090" s="2" t="str">
        <f>"13511932"</f>
        <v>13511932</v>
      </c>
      <c r="M1090" s="2" t="s">
        <v>31</v>
      </c>
      <c r="N1090" s="18">
        <v>31813</v>
      </c>
      <c r="O1090" s="2" t="s">
        <v>707</v>
      </c>
    </row>
    <row r="1091" spans="1:15" s="2" customFormat="1" x14ac:dyDescent="0.25">
      <c r="A1091" s="2">
        <v>1091</v>
      </c>
      <c r="B1091" s="2">
        <v>2</v>
      </c>
      <c r="C1091" s="2">
        <v>76</v>
      </c>
      <c r="D1091" s="2">
        <v>1</v>
      </c>
      <c r="E1091" s="2">
        <v>5</v>
      </c>
      <c r="G1091" s="2">
        <v>1</v>
      </c>
      <c r="H1091" s="2">
        <v>39</v>
      </c>
      <c r="I1091" s="2">
        <v>13511934</v>
      </c>
      <c r="J1091" s="2" t="s">
        <v>285</v>
      </c>
      <c r="L1091" s="2" t="str">
        <f>"13511934"</f>
        <v>13511934</v>
      </c>
      <c r="M1091" s="2" t="s">
        <v>31</v>
      </c>
      <c r="N1091" s="18">
        <v>31814</v>
      </c>
      <c r="O1091" s="2" t="s">
        <v>707</v>
      </c>
    </row>
    <row r="1092" spans="1:15" s="2" customFormat="1" x14ac:dyDescent="0.25">
      <c r="A1092" s="2">
        <v>1092</v>
      </c>
      <c r="B1092" s="2">
        <v>2</v>
      </c>
      <c r="C1092" s="2">
        <v>76</v>
      </c>
      <c r="D1092" s="2">
        <v>1</v>
      </c>
      <c r="E1092" s="2">
        <v>5</v>
      </c>
      <c r="G1092" s="2">
        <v>1</v>
      </c>
      <c r="H1092" s="2">
        <v>39</v>
      </c>
      <c r="I1092" s="2">
        <v>13511935</v>
      </c>
      <c r="J1092" s="2" t="s">
        <v>285</v>
      </c>
      <c r="L1092" s="2" t="str">
        <f>"13511935"</f>
        <v>13511935</v>
      </c>
      <c r="M1092" s="2" t="s">
        <v>31</v>
      </c>
      <c r="N1092" s="18">
        <v>31815</v>
      </c>
      <c r="O1092" s="2" t="s">
        <v>707</v>
      </c>
    </row>
    <row r="1093" spans="1:15" s="2" customFormat="1" x14ac:dyDescent="0.25">
      <c r="A1093" s="2">
        <v>1093</v>
      </c>
      <c r="B1093" s="2">
        <v>2</v>
      </c>
      <c r="C1093" s="2">
        <v>76</v>
      </c>
      <c r="D1093" s="2">
        <v>1</v>
      </c>
      <c r="E1093" s="2">
        <v>5</v>
      </c>
      <c r="G1093" s="2">
        <v>1</v>
      </c>
      <c r="H1093" s="2">
        <v>39</v>
      </c>
      <c r="I1093" s="2">
        <v>13511936</v>
      </c>
      <c r="J1093" s="2" t="s">
        <v>285</v>
      </c>
      <c r="L1093" s="2" t="str">
        <f>"13511936"</f>
        <v>13511936</v>
      </c>
      <c r="M1093" s="2" t="s">
        <v>31</v>
      </c>
      <c r="N1093" s="18">
        <v>31816</v>
      </c>
      <c r="O1093" s="2" t="s">
        <v>707</v>
      </c>
    </row>
    <row r="1094" spans="1:15" s="2" customFormat="1" x14ac:dyDescent="0.25">
      <c r="A1094" s="2">
        <v>1094</v>
      </c>
      <c r="B1094" s="2">
        <v>2</v>
      </c>
      <c r="C1094" s="2">
        <v>76</v>
      </c>
      <c r="D1094" s="2">
        <v>1</v>
      </c>
      <c r="E1094" s="2">
        <v>5</v>
      </c>
      <c r="G1094" s="2">
        <v>1</v>
      </c>
      <c r="H1094" s="2">
        <v>39</v>
      </c>
      <c r="I1094" s="2">
        <v>13511937</v>
      </c>
      <c r="J1094" s="2" t="s">
        <v>285</v>
      </c>
      <c r="L1094" s="2" t="str">
        <f>"13511937"</f>
        <v>13511937</v>
      </c>
      <c r="M1094" s="2" t="s">
        <v>31</v>
      </c>
      <c r="N1094" s="18">
        <v>31817</v>
      </c>
      <c r="O1094" s="2" t="s">
        <v>707</v>
      </c>
    </row>
    <row r="1095" spans="1:15" s="2" customFormat="1" x14ac:dyDescent="0.25">
      <c r="A1095" s="2">
        <v>1095</v>
      </c>
      <c r="B1095" s="2">
        <v>1</v>
      </c>
      <c r="C1095" s="2">
        <v>42</v>
      </c>
      <c r="D1095" s="2">
        <v>1</v>
      </c>
      <c r="E1095" s="2">
        <v>20</v>
      </c>
      <c r="G1095" s="2">
        <v>1</v>
      </c>
      <c r="H1095" s="2">
        <v>4</v>
      </c>
      <c r="I1095" s="2">
        <v>19929790</v>
      </c>
      <c r="J1095" s="2" t="s">
        <v>196</v>
      </c>
      <c r="K1095" s="2" t="s">
        <v>709</v>
      </c>
      <c r="L1095" s="2" t="str">
        <f>"5CG6267DM4"</f>
        <v>5CG6267DM4</v>
      </c>
      <c r="M1095" s="2" t="s">
        <v>33</v>
      </c>
      <c r="N1095" s="18">
        <v>31818</v>
      </c>
      <c r="O1095" s="2" t="s">
        <v>710</v>
      </c>
    </row>
    <row r="1096" spans="1:15" s="2" customFormat="1" x14ac:dyDescent="0.25">
      <c r="A1096" s="2">
        <v>1096</v>
      </c>
      <c r="B1096" s="2">
        <v>2</v>
      </c>
      <c r="C1096" s="2">
        <v>76</v>
      </c>
      <c r="D1096" s="2">
        <v>1</v>
      </c>
      <c r="E1096" s="2">
        <v>5</v>
      </c>
      <c r="G1096" s="2">
        <v>1</v>
      </c>
      <c r="H1096" s="2">
        <v>39</v>
      </c>
      <c r="I1096" s="2">
        <v>13511892</v>
      </c>
      <c r="J1096" s="2" t="s">
        <v>286</v>
      </c>
      <c r="L1096" s="2" t="str">
        <f>"13511892"</f>
        <v>13511892</v>
      </c>
      <c r="M1096" s="2" t="s">
        <v>31</v>
      </c>
      <c r="N1096" s="18">
        <v>31819</v>
      </c>
      <c r="O1096" s="2" t="s">
        <v>706</v>
      </c>
    </row>
    <row r="1097" spans="1:15" s="2" customFormat="1" x14ac:dyDescent="0.25">
      <c r="A1097" s="2">
        <v>1097</v>
      </c>
      <c r="B1097" s="2">
        <v>1</v>
      </c>
      <c r="C1097" s="2">
        <v>67</v>
      </c>
      <c r="D1097" s="2">
        <v>1</v>
      </c>
      <c r="E1097" s="2">
        <v>5</v>
      </c>
      <c r="G1097" s="2">
        <v>1</v>
      </c>
      <c r="H1097" s="2">
        <v>4</v>
      </c>
      <c r="I1097" s="2">
        <v>19530570</v>
      </c>
      <c r="J1097" s="2" t="s">
        <v>269</v>
      </c>
      <c r="K1097" s="2" t="s">
        <v>711</v>
      </c>
      <c r="L1097" s="2" t="str">
        <f>"10013441504"</f>
        <v>10013441504</v>
      </c>
      <c r="M1097" s="2" t="s">
        <v>33</v>
      </c>
      <c r="N1097" s="18">
        <v>31820</v>
      </c>
      <c r="O1097" s="19">
        <v>3933</v>
      </c>
    </row>
    <row r="1098" spans="1:15" s="2" customFormat="1" x14ac:dyDescent="0.25">
      <c r="A1098" s="2">
        <v>1098</v>
      </c>
      <c r="B1098" s="2">
        <v>1</v>
      </c>
      <c r="C1098" s="2">
        <v>18</v>
      </c>
      <c r="D1098" s="2">
        <v>1</v>
      </c>
      <c r="E1098" s="2">
        <v>20</v>
      </c>
      <c r="G1098" s="2">
        <v>1</v>
      </c>
      <c r="H1098" s="2">
        <v>4</v>
      </c>
      <c r="I1098" s="2">
        <v>19530569</v>
      </c>
      <c r="J1098" s="2" t="s">
        <v>269</v>
      </c>
      <c r="K1098" s="2" t="s">
        <v>712</v>
      </c>
      <c r="L1098" s="2" t="str">
        <f>"866021609100027"</f>
        <v>866021609100027</v>
      </c>
      <c r="M1098" s="2" t="s">
        <v>33</v>
      </c>
      <c r="N1098" s="18">
        <v>31821</v>
      </c>
      <c r="O1098" s="19">
        <v>3933</v>
      </c>
    </row>
    <row r="1099" spans="1:15" s="2" customFormat="1" x14ac:dyDescent="0.25">
      <c r="A1099" s="2">
        <v>1099</v>
      </c>
      <c r="B1099" s="2">
        <v>1</v>
      </c>
      <c r="C1099" s="2">
        <v>40</v>
      </c>
      <c r="D1099" s="2">
        <v>1</v>
      </c>
      <c r="E1099" s="2">
        <v>20</v>
      </c>
      <c r="G1099" s="2">
        <v>1</v>
      </c>
      <c r="H1099" s="2">
        <v>4</v>
      </c>
      <c r="I1099" s="2">
        <v>19929787</v>
      </c>
      <c r="J1099" s="2" t="s">
        <v>220</v>
      </c>
      <c r="K1099" s="2" t="s">
        <v>713</v>
      </c>
      <c r="L1099" s="2" t="str">
        <f>"22MT9YCG40920EA5"</f>
        <v>22MT9YCG40920EA5</v>
      </c>
      <c r="M1099" s="2" t="s">
        <v>33</v>
      </c>
      <c r="N1099" s="18">
        <v>31822</v>
      </c>
      <c r="O1099" s="2" t="s">
        <v>714</v>
      </c>
    </row>
    <row r="1100" spans="1:15" s="2" customFormat="1" x14ac:dyDescent="0.25">
      <c r="A1100" s="2">
        <v>1100</v>
      </c>
      <c r="B1100" s="2">
        <v>1</v>
      </c>
      <c r="C1100" s="2">
        <v>40</v>
      </c>
      <c r="D1100" s="2">
        <v>1</v>
      </c>
      <c r="E1100" s="2">
        <v>20</v>
      </c>
      <c r="G1100" s="2">
        <v>1</v>
      </c>
      <c r="H1100" s="2">
        <v>4</v>
      </c>
      <c r="I1100" s="2">
        <v>19929788</v>
      </c>
      <c r="J1100" s="2" t="s">
        <v>220</v>
      </c>
      <c r="K1100" s="2" t="s">
        <v>713</v>
      </c>
      <c r="L1100" s="2" t="str">
        <f>"22MT9YCG40920EA3"</f>
        <v>22MT9YCG40920EA3</v>
      </c>
      <c r="M1100" s="2" t="s">
        <v>33</v>
      </c>
      <c r="N1100" s="18">
        <v>31823</v>
      </c>
      <c r="O1100" s="2" t="s">
        <v>714</v>
      </c>
    </row>
    <row r="1101" spans="1:15" s="2" customFormat="1" x14ac:dyDescent="0.25">
      <c r="A1101" s="2">
        <v>1101</v>
      </c>
      <c r="B1101" s="2">
        <v>1</v>
      </c>
      <c r="C1101" s="2">
        <v>42</v>
      </c>
      <c r="D1101" s="2">
        <v>1</v>
      </c>
      <c r="E1101" s="2">
        <v>20</v>
      </c>
      <c r="G1101" s="2">
        <v>1</v>
      </c>
      <c r="H1101" s="2">
        <v>4</v>
      </c>
      <c r="I1101" s="2">
        <v>19929789</v>
      </c>
      <c r="J1101" s="2" t="s">
        <v>196</v>
      </c>
      <c r="K1101" s="2" t="s">
        <v>709</v>
      </c>
      <c r="L1101" s="2" t="str">
        <f>"5CG6267F08"</f>
        <v>5CG6267F08</v>
      </c>
      <c r="M1101" s="2" t="s">
        <v>33</v>
      </c>
      <c r="N1101" s="18">
        <v>31824</v>
      </c>
      <c r="O1101" s="2" t="s">
        <v>710</v>
      </c>
    </row>
    <row r="1102" spans="1:15" s="2" customFormat="1" x14ac:dyDescent="0.25">
      <c r="A1102" s="2">
        <v>1102</v>
      </c>
      <c r="B1102" s="2">
        <v>1</v>
      </c>
      <c r="C1102" s="2">
        <v>34</v>
      </c>
      <c r="D1102" s="2">
        <v>1</v>
      </c>
      <c r="E1102" s="2">
        <v>6</v>
      </c>
      <c r="G1102" s="2">
        <v>1</v>
      </c>
      <c r="H1102" s="2">
        <v>4</v>
      </c>
      <c r="I1102" s="2">
        <v>19929791</v>
      </c>
      <c r="J1102" s="2" t="s">
        <v>249</v>
      </c>
      <c r="K1102" s="2" t="s">
        <v>715</v>
      </c>
      <c r="L1102" s="2" t="str">
        <f>"A36DG16758"</f>
        <v>A36DG16758</v>
      </c>
      <c r="M1102" s="2" t="s">
        <v>33</v>
      </c>
      <c r="N1102" s="18">
        <v>31825</v>
      </c>
      <c r="O1102" s="19">
        <v>2223</v>
      </c>
    </row>
    <row r="1103" spans="1:15" s="2" customFormat="1" x14ac:dyDescent="0.25">
      <c r="A1103" s="2">
        <v>1103</v>
      </c>
      <c r="B1103" s="2">
        <v>1</v>
      </c>
      <c r="C1103" s="2">
        <v>34</v>
      </c>
      <c r="D1103" s="2">
        <v>1</v>
      </c>
      <c r="E1103" s="2">
        <v>6</v>
      </c>
      <c r="G1103" s="2">
        <v>1</v>
      </c>
      <c r="H1103" s="2">
        <v>4</v>
      </c>
      <c r="I1103" s="2">
        <v>19929792</v>
      </c>
      <c r="J1103" s="2" t="s">
        <v>249</v>
      </c>
      <c r="K1103" s="2" t="s">
        <v>715</v>
      </c>
      <c r="L1103" s="2" t="str">
        <f>"A36D162708"</f>
        <v>A36D162708</v>
      </c>
      <c r="M1103" s="2" t="s">
        <v>33</v>
      </c>
      <c r="N1103" s="18">
        <v>31826</v>
      </c>
      <c r="O1103" s="19">
        <v>2223</v>
      </c>
    </row>
    <row r="1104" spans="1:15" s="2" customFormat="1" x14ac:dyDescent="0.25">
      <c r="A1104" s="2">
        <v>1104</v>
      </c>
      <c r="B1104" s="2">
        <v>1</v>
      </c>
      <c r="C1104" s="2">
        <v>40</v>
      </c>
      <c r="D1104" s="2">
        <v>1</v>
      </c>
      <c r="E1104" s="2">
        <v>20</v>
      </c>
      <c r="G1104" s="2">
        <v>1</v>
      </c>
      <c r="H1104" s="2">
        <v>4</v>
      </c>
      <c r="I1104" s="2">
        <v>19929786</v>
      </c>
      <c r="J1104" s="2" t="s">
        <v>220</v>
      </c>
      <c r="K1104" s="2" t="s">
        <v>713</v>
      </c>
      <c r="L1104" s="2" t="str">
        <f>"22MT9YCG40920EAA"</f>
        <v>22MT9YCG40920EAA</v>
      </c>
      <c r="M1104" s="2" t="s">
        <v>33</v>
      </c>
      <c r="N1104" s="18">
        <v>31827</v>
      </c>
      <c r="O1104" s="2" t="s">
        <v>714</v>
      </c>
    </row>
    <row r="1105" spans="1:15" s="2" customFormat="1" x14ac:dyDescent="0.25">
      <c r="A1105" s="2">
        <v>1105</v>
      </c>
      <c r="B1105" s="2">
        <v>2</v>
      </c>
      <c r="C1105" s="2">
        <v>61</v>
      </c>
      <c r="D1105" s="2">
        <v>1</v>
      </c>
      <c r="E1105" s="2">
        <v>5</v>
      </c>
      <c r="G1105" s="2">
        <v>1</v>
      </c>
      <c r="H1105" s="2">
        <v>39</v>
      </c>
      <c r="I1105" s="2">
        <v>25776336</v>
      </c>
      <c r="J1105" s="2" t="s">
        <v>286</v>
      </c>
      <c r="K1105" s="2" t="s">
        <v>364</v>
      </c>
      <c r="L1105" s="2" t="str">
        <f>"63445047"</f>
        <v>63445047</v>
      </c>
      <c r="M1105" s="2" t="s">
        <v>31</v>
      </c>
      <c r="N1105" s="18">
        <v>31828</v>
      </c>
      <c r="O1105" s="2" t="s">
        <v>716</v>
      </c>
    </row>
    <row r="1106" spans="1:15" s="2" customFormat="1" x14ac:dyDescent="0.25">
      <c r="A1106" s="2">
        <v>1106</v>
      </c>
      <c r="B1106" s="2">
        <v>2</v>
      </c>
      <c r="C1106" s="2">
        <v>61</v>
      </c>
      <c r="D1106" s="2">
        <v>1</v>
      </c>
      <c r="E1106" s="2">
        <v>5</v>
      </c>
      <c r="G1106" s="2">
        <v>1</v>
      </c>
      <c r="H1106" s="2">
        <v>39</v>
      </c>
      <c r="I1106" s="2">
        <v>25776338</v>
      </c>
      <c r="J1106" s="2" t="s">
        <v>286</v>
      </c>
      <c r="K1106" s="2" t="s">
        <v>364</v>
      </c>
      <c r="L1106" s="2" t="str">
        <f>"63445049"</f>
        <v>63445049</v>
      </c>
      <c r="M1106" s="2" t="s">
        <v>31</v>
      </c>
      <c r="N1106" s="18">
        <v>31829</v>
      </c>
      <c r="O1106" s="2" t="s">
        <v>716</v>
      </c>
    </row>
    <row r="1107" spans="1:15" s="2" customFormat="1" x14ac:dyDescent="0.25">
      <c r="A1107" s="2">
        <v>1107</v>
      </c>
      <c r="B1107" s="2">
        <v>2</v>
      </c>
      <c r="C1107" s="2">
        <v>61</v>
      </c>
      <c r="D1107" s="2">
        <v>1</v>
      </c>
      <c r="E1107" s="2">
        <v>5</v>
      </c>
      <c r="G1107" s="2">
        <v>1</v>
      </c>
      <c r="H1107" s="2">
        <v>39</v>
      </c>
      <c r="I1107" s="2">
        <v>25776334</v>
      </c>
      <c r="J1107" s="2" t="s">
        <v>286</v>
      </c>
      <c r="K1107" s="2" t="s">
        <v>364</v>
      </c>
      <c r="L1107" s="2" t="str">
        <f>"63445045"</f>
        <v>63445045</v>
      </c>
      <c r="M1107" s="2" t="s">
        <v>31</v>
      </c>
      <c r="N1107" s="18">
        <v>31830</v>
      </c>
      <c r="O1107" s="2" t="s">
        <v>716</v>
      </c>
    </row>
    <row r="1108" spans="1:15" s="2" customFormat="1" x14ac:dyDescent="0.25">
      <c r="A1108" s="2">
        <v>1108</v>
      </c>
      <c r="B1108" s="2">
        <v>2</v>
      </c>
      <c r="C1108" s="2">
        <v>61</v>
      </c>
      <c r="D1108" s="2">
        <v>1</v>
      </c>
      <c r="E1108" s="2">
        <v>5</v>
      </c>
      <c r="G1108" s="2">
        <v>1</v>
      </c>
      <c r="H1108" s="2">
        <v>39</v>
      </c>
      <c r="I1108" s="2">
        <v>25776335</v>
      </c>
      <c r="J1108" s="2" t="s">
        <v>286</v>
      </c>
      <c r="K1108" s="2" t="s">
        <v>364</v>
      </c>
      <c r="L1108" s="2" t="str">
        <f>"63445046"</f>
        <v>63445046</v>
      </c>
      <c r="M1108" s="2" t="s">
        <v>31</v>
      </c>
      <c r="N1108" s="18">
        <v>31831</v>
      </c>
      <c r="O1108" s="2" t="s">
        <v>716</v>
      </c>
    </row>
    <row r="1109" spans="1:15" s="2" customFormat="1" x14ac:dyDescent="0.25">
      <c r="A1109" s="2">
        <v>1109</v>
      </c>
      <c r="B1109" s="2">
        <v>1</v>
      </c>
      <c r="C1109" s="2">
        <v>29</v>
      </c>
      <c r="D1109" s="2">
        <v>1</v>
      </c>
      <c r="E1109" s="2">
        <v>5</v>
      </c>
      <c r="G1109" s="2">
        <v>1</v>
      </c>
      <c r="H1109" s="2">
        <v>4</v>
      </c>
      <c r="I1109" s="2">
        <v>21069538</v>
      </c>
      <c r="J1109" s="2" t="s">
        <v>270</v>
      </c>
      <c r="K1109" s="2" t="s">
        <v>717</v>
      </c>
      <c r="L1109" s="2" t="str">
        <f>"42600071 40302860"</f>
        <v>42600071 40302860</v>
      </c>
      <c r="M1109" s="2" t="s">
        <v>33</v>
      </c>
      <c r="N1109" s="18">
        <v>31832</v>
      </c>
      <c r="O1109" s="2" t="s">
        <v>718</v>
      </c>
    </row>
    <row r="1110" spans="1:15" s="2" customFormat="1" x14ac:dyDescent="0.25">
      <c r="A1110" s="2">
        <v>1110</v>
      </c>
      <c r="B1110" s="2">
        <v>1</v>
      </c>
      <c r="C1110" s="2">
        <v>29</v>
      </c>
      <c r="D1110" s="2">
        <v>1</v>
      </c>
      <c r="E1110" s="2">
        <v>5</v>
      </c>
      <c r="G1110" s="2">
        <v>1</v>
      </c>
      <c r="H1110" s="2">
        <v>4</v>
      </c>
      <c r="I1110" s="2">
        <v>21069537</v>
      </c>
      <c r="J1110" s="2" t="s">
        <v>270</v>
      </c>
      <c r="K1110" s="2" t="s">
        <v>719</v>
      </c>
      <c r="L1110" s="2" t="str">
        <f>"54003424 51000944"</f>
        <v>54003424 51000944</v>
      </c>
      <c r="M1110" s="2" t="s">
        <v>33</v>
      </c>
      <c r="N1110" s="18">
        <v>31833</v>
      </c>
      <c r="O1110" s="2" t="s">
        <v>718</v>
      </c>
    </row>
    <row r="1111" spans="1:15" s="2" customFormat="1" x14ac:dyDescent="0.25">
      <c r="A1111" s="2">
        <v>1111</v>
      </c>
      <c r="B1111" s="2">
        <v>2</v>
      </c>
      <c r="C1111" s="2">
        <v>61</v>
      </c>
      <c r="D1111" s="2">
        <v>1</v>
      </c>
      <c r="E1111" s="2">
        <v>5</v>
      </c>
      <c r="G1111" s="2">
        <v>1</v>
      </c>
      <c r="H1111" s="2">
        <v>39</v>
      </c>
      <c r="I1111" s="2">
        <v>25776337</v>
      </c>
      <c r="J1111" s="2" t="s">
        <v>286</v>
      </c>
      <c r="K1111" s="2" t="s">
        <v>364</v>
      </c>
      <c r="L1111" s="2" t="str">
        <f>"63445048"</f>
        <v>63445048</v>
      </c>
      <c r="M1111" s="2" t="s">
        <v>31</v>
      </c>
      <c r="N1111" s="18">
        <v>31834</v>
      </c>
      <c r="O1111" s="2" t="s">
        <v>716</v>
      </c>
    </row>
    <row r="1112" spans="1:15" s="2" customFormat="1" x14ac:dyDescent="0.25">
      <c r="A1112" s="2">
        <v>1112</v>
      </c>
      <c r="B1112" s="2">
        <v>2</v>
      </c>
      <c r="C1112" s="2">
        <v>61</v>
      </c>
      <c r="D1112" s="2">
        <v>1</v>
      </c>
      <c r="E1112" s="2">
        <v>5</v>
      </c>
      <c r="G1112" s="2">
        <v>1</v>
      </c>
      <c r="H1112" s="2">
        <v>39</v>
      </c>
      <c r="I1112" s="2">
        <v>25776339</v>
      </c>
      <c r="J1112" s="2" t="s">
        <v>286</v>
      </c>
      <c r="K1112" s="2" t="s">
        <v>364</v>
      </c>
      <c r="L1112" s="2" t="str">
        <f>"63445050"</f>
        <v>63445050</v>
      </c>
      <c r="M1112" s="2" t="s">
        <v>31</v>
      </c>
      <c r="N1112" s="18">
        <v>31835</v>
      </c>
      <c r="O1112" s="2" t="s">
        <v>716</v>
      </c>
    </row>
    <row r="1113" spans="1:15" s="2" customFormat="1" x14ac:dyDescent="0.25">
      <c r="A1113" s="2">
        <v>1113</v>
      </c>
      <c r="B1113" s="2">
        <v>2</v>
      </c>
      <c r="C1113" s="2">
        <v>61</v>
      </c>
      <c r="D1113" s="2">
        <v>1</v>
      </c>
      <c r="E1113" s="2">
        <v>5</v>
      </c>
      <c r="G1113" s="2">
        <v>1</v>
      </c>
      <c r="H1113" s="2">
        <v>39</v>
      </c>
      <c r="I1113" s="2">
        <v>25776340</v>
      </c>
      <c r="J1113" s="2" t="s">
        <v>286</v>
      </c>
      <c r="K1113" s="2" t="s">
        <v>364</v>
      </c>
      <c r="L1113" s="2" t="str">
        <f>"63445051"</f>
        <v>63445051</v>
      </c>
      <c r="M1113" s="2" t="s">
        <v>31</v>
      </c>
      <c r="N1113" s="18">
        <v>31836</v>
      </c>
      <c r="O1113" s="2" t="s">
        <v>716</v>
      </c>
    </row>
    <row r="1114" spans="1:15" s="2" customFormat="1" x14ac:dyDescent="0.25">
      <c r="A1114" s="2">
        <v>1114</v>
      </c>
      <c r="B1114" s="2">
        <v>2</v>
      </c>
      <c r="C1114" s="2">
        <v>61</v>
      </c>
      <c r="D1114" s="2">
        <v>1</v>
      </c>
      <c r="E1114" s="2">
        <v>5</v>
      </c>
      <c r="G1114" s="2">
        <v>1</v>
      </c>
      <c r="H1114" s="2">
        <v>39</v>
      </c>
      <c r="I1114" s="2">
        <v>25776341</v>
      </c>
      <c r="J1114" s="2" t="s">
        <v>286</v>
      </c>
      <c r="K1114" s="2" t="s">
        <v>364</v>
      </c>
      <c r="L1114" s="2" t="str">
        <f>"63445052"</f>
        <v>63445052</v>
      </c>
      <c r="M1114" s="2" t="s">
        <v>31</v>
      </c>
      <c r="N1114" s="18">
        <v>31837</v>
      </c>
      <c r="O1114" s="2" t="s">
        <v>716</v>
      </c>
    </row>
    <row r="1115" spans="1:15" s="2" customFormat="1" x14ac:dyDescent="0.25">
      <c r="A1115" s="2">
        <v>1115</v>
      </c>
      <c r="B1115" s="2">
        <v>2</v>
      </c>
      <c r="C1115" s="2">
        <v>61</v>
      </c>
      <c r="D1115" s="2">
        <v>1</v>
      </c>
      <c r="E1115" s="2">
        <v>5</v>
      </c>
      <c r="G1115" s="2">
        <v>1</v>
      </c>
      <c r="H1115" s="2">
        <v>39</v>
      </c>
      <c r="I1115" s="2">
        <v>25776342</v>
      </c>
      <c r="J1115" s="2" t="s">
        <v>286</v>
      </c>
      <c r="K1115" s="2" t="s">
        <v>364</v>
      </c>
      <c r="L1115" s="2" t="str">
        <f>"63445053"</f>
        <v>63445053</v>
      </c>
      <c r="M1115" s="2" t="s">
        <v>31</v>
      </c>
      <c r="N1115" s="18">
        <v>31838</v>
      </c>
      <c r="O1115" s="2" t="s">
        <v>716</v>
      </c>
    </row>
    <row r="1116" spans="1:15" s="2" customFormat="1" x14ac:dyDescent="0.25">
      <c r="A1116" s="2">
        <v>1116</v>
      </c>
      <c r="B1116" s="2">
        <v>2</v>
      </c>
      <c r="C1116" s="2">
        <v>61</v>
      </c>
      <c r="D1116" s="2">
        <v>1</v>
      </c>
      <c r="E1116" s="2">
        <v>5</v>
      </c>
      <c r="G1116" s="2">
        <v>1</v>
      </c>
      <c r="H1116" s="2">
        <v>39</v>
      </c>
      <c r="I1116" s="2">
        <v>25776343</v>
      </c>
      <c r="J1116" s="2" t="s">
        <v>286</v>
      </c>
      <c r="K1116" s="2" t="s">
        <v>364</v>
      </c>
      <c r="L1116" s="2" t="str">
        <f>"63445054"</f>
        <v>63445054</v>
      </c>
      <c r="M1116" s="2" t="s">
        <v>31</v>
      </c>
      <c r="N1116" s="18">
        <v>31839</v>
      </c>
      <c r="O1116" s="2" t="s">
        <v>716</v>
      </c>
    </row>
    <row r="1117" spans="1:15" s="2" customFormat="1" x14ac:dyDescent="0.25">
      <c r="A1117" s="2">
        <v>1117</v>
      </c>
      <c r="B1117" s="2">
        <v>2</v>
      </c>
      <c r="C1117" s="2">
        <v>61</v>
      </c>
      <c r="D1117" s="2">
        <v>1</v>
      </c>
      <c r="E1117" s="2">
        <v>5</v>
      </c>
      <c r="G1117" s="2">
        <v>1</v>
      </c>
      <c r="H1117" s="2">
        <v>39</v>
      </c>
      <c r="I1117" s="2">
        <v>25776344</v>
      </c>
      <c r="J1117" s="2" t="s">
        <v>286</v>
      </c>
      <c r="K1117" s="2" t="s">
        <v>364</v>
      </c>
      <c r="L1117" s="2" t="str">
        <f>"63445055"</f>
        <v>63445055</v>
      </c>
      <c r="M1117" s="2" t="s">
        <v>31</v>
      </c>
      <c r="N1117" s="18">
        <v>31840</v>
      </c>
      <c r="O1117" s="2" t="s">
        <v>716</v>
      </c>
    </row>
    <row r="1118" spans="1:15" s="2" customFormat="1" x14ac:dyDescent="0.25">
      <c r="A1118" s="2">
        <v>1118</v>
      </c>
      <c r="B1118" s="2">
        <v>2</v>
      </c>
      <c r="C1118" s="2">
        <v>61</v>
      </c>
      <c r="D1118" s="2">
        <v>1</v>
      </c>
      <c r="E1118" s="2">
        <v>5</v>
      </c>
      <c r="G1118" s="2">
        <v>1</v>
      </c>
      <c r="H1118" s="2">
        <v>39</v>
      </c>
      <c r="I1118" s="2">
        <v>25776345</v>
      </c>
      <c r="J1118" s="2" t="s">
        <v>286</v>
      </c>
      <c r="K1118" s="2" t="s">
        <v>364</v>
      </c>
      <c r="L1118" s="2" t="str">
        <f>"63445056"</f>
        <v>63445056</v>
      </c>
      <c r="M1118" s="2" t="s">
        <v>31</v>
      </c>
      <c r="N1118" s="18">
        <v>31841</v>
      </c>
      <c r="O1118" s="2" t="s">
        <v>716</v>
      </c>
    </row>
    <row r="1119" spans="1:15" s="2" customFormat="1" x14ac:dyDescent="0.25">
      <c r="A1119" s="2">
        <v>1119</v>
      </c>
      <c r="B1119" s="2">
        <v>2</v>
      </c>
      <c r="C1119" s="2">
        <v>61</v>
      </c>
      <c r="D1119" s="2">
        <v>1</v>
      </c>
      <c r="E1119" s="2">
        <v>5</v>
      </c>
      <c r="G1119" s="2">
        <v>1</v>
      </c>
      <c r="H1119" s="2">
        <v>39</v>
      </c>
      <c r="I1119" s="2">
        <v>25776346</v>
      </c>
      <c r="J1119" s="2" t="s">
        <v>286</v>
      </c>
      <c r="K1119" s="2" t="s">
        <v>364</v>
      </c>
      <c r="L1119" s="2" t="str">
        <f>"63445057"</f>
        <v>63445057</v>
      </c>
      <c r="M1119" s="2" t="s">
        <v>31</v>
      </c>
      <c r="N1119" s="18">
        <v>31842</v>
      </c>
      <c r="O1119" s="2" t="s">
        <v>716</v>
      </c>
    </row>
    <row r="1120" spans="1:15" s="2" customFormat="1" x14ac:dyDescent="0.25">
      <c r="A1120" s="2">
        <v>1120</v>
      </c>
      <c r="B1120" s="2">
        <v>2</v>
      </c>
      <c r="C1120" s="2">
        <v>61</v>
      </c>
      <c r="D1120" s="2">
        <v>1</v>
      </c>
      <c r="E1120" s="2">
        <v>5</v>
      </c>
      <c r="G1120" s="2">
        <v>1</v>
      </c>
      <c r="H1120" s="2">
        <v>39</v>
      </c>
      <c r="I1120" s="2">
        <v>25776347</v>
      </c>
      <c r="J1120" s="2" t="s">
        <v>286</v>
      </c>
      <c r="K1120" s="2" t="s">
        <v>364</v>
      </c>
      <c r="L1120" s="2" t="str">
        <f>"63445058"</f>
        <v>63445058</v>
      </c>
      <c r="M1120" s="2" t="s">
        <v>31</v>
      </c>
      <c r="N1120" s="18">
        <v>31843</v>
      </c>
      <c r="O1120" s="2" t="s">
        <v>716</v>
      </c>
    </row>
    <row r="1121" spans="1:15" s="2" customFormat="1" x14ac:dyDescent="0.25">
      <c r="A1121" s="2">
        <v>1121</v>
      </c>
      <c r="B1121" s="2">
        <v>2</v>
      </c>
      <c r="C1121" s="2">
        <v>61</v>
      </c>
      <c r="D1121" s="2">
        <v>1</v>
      </c>
      <c r="E1121" s="2">
        <v>5</v>
      </c>
      <c r="G1121" s="2">
        <v>1</v>
      </c>
      <c r="H1121" s="2">
        <v>39</v>
      </c>
      <c r="I1121" s="2">
        <v>25776348</v>
      </c>
      <c r="J1121" s="2" t="s">
        <v>286</v>
      </c>
      <c r="K1121" s="2" t="s">
        <v>364</v>
      </c>
      <c r="L1121" s="2" t="str">
        <f>"63445059"</f>
        <v>63445059</v>
      </c>
      <c r="M1121" s="2" t="s">
        <v>31</v>
      </c>
      <c r="N1121" s="18">
        <v>31844</v>
      </c>
      <c r="O1121" s="2" t="s">
        <v>716</v>
      </c>
    </row>
    <row r="1122" spans="1:15" s="2" customFormat="1" x14ac:dyDescent="0.25">
      <c r="A1122" s="2">
        <v>1122</v>
      </c>
      <c r="B1122" s="2">
        <v>2</v>
      </c>
      <c r="C1122" s="2">
        <v>61</v>
      </c>
      <c r="D1122" s="2">
        <v>1</v>
      </c>
      <c r="E1122" s="2">
        <v>5</v>
      </c>
      <c r="G1122" s="2">
        <v>1</v>
      </c>
      <c r="H1122" s="2">
        <v>39</v>
      </c>
      <c r="I1122" s="2">
        <v>25776349</v>
      </c>
      <c r="J1122" s="2" t="s">
        <v>286</v>
      </c>
      <c r="K1122" s="2" t="s">
        <v>364</v>
      </c>
      <c r="L1122" s="2" t="str">
        <f>"63445060"</f>
        <v>63445060</v>
      </c>
      <c r="M1122" s="2" t="s">
        <v>31</v>
      </c>
      <c r="N1122" s="18">
        <v>31845</v>
      </c>
      <c r="O1122" s="2" t="s">
        <v>716</v>
      </c>
    </row>
    <row r="1123" spans="1:15" s="2" customFormat="1" x14ac:dyDescent="0.25">
      <c r="A1123" s="2">
        <v>1123</v>
      </c>
      <c r="B1123" s="2">
        <v>2</v>
      </c>
      <c r="C1123" s="2">
        <v>61</v>
      </c>
      <c r="D1123" s="2">
        <v>1</v>
      </c>
      <c r="E1123" s="2">
        <v>5</v>
      </c>
      <c r="G1123" s="2">
        <v>1</v>
      </c>
      <c r="H1123" s="2">
        <v>39</v>
      </c>
      <c r="I1123" s="2">
        <v>25776350</v>
      </c>
      <c r="J1123" s="2" t="s">
        <v>286</v>
      </c>
      <c r="K1123" s="2" t="s">
        <v>364</v>
      </c>
      <c r="L1123" s="2" t="str">
        <f>"63445061"</f>
        <v>63445061</v>
      </c>
      <c r="M1123" s="2" t="s">
        <v>31</v>
      </c>
      <c r="N1123" s="18">
        <v>31846</v>
      </c>
      <c r="O1123" s="2" t="s">
        <v>716</v>
      </c>
    </row>
    <row r="1124" spans="1:15" s="2" customFormat="1" x14ac:dyDescent="0.25">
      <c r="A1124" s="2">
        <v>1124</v>
      </c>
      <c r="B1124" s="2">
        <v>2</v>
      </c>
      <c r="C1124" s="2">
        <v>61</v>
      </c>
      <c r="D1124" s="2">
        <v>1</v>
      </c>
      <c r="E1124" s="2">
        <v>5</v>
      </c>
      <c r="G1124" s="2">
        <v>1</v>
      </c>
      <c r="H1124" s="2">
        <v>39</v>
      </c>
      <c r="I1124" s="2">
        <v>25776351</v>
      </c>
      <c r="J1124" s="2" t="s">
        <v>286</v>
      </c>
      <c r="K1124" s="2" t="s">
        <v>364</v>
      </c>
      <c r="L1124" s="2" t="str">
        <f>"63445062"</f>
        <v>63445062</v>
      </c>
      <c r="M1124" s="2" t="s">
        <v>31</v>
      </c>
      <c r="N1124" s="18">
        <v>31847</v>
      </c>
      <c r="O1124" s="2" t="s">
        <v>716</v>
      </c>
    </row>
    <row r="1125" spans="1:15" s="2" customFormat="1" x14ac:dyDescent="0.25">
      <c r="A1125" s="2">
        <v>1125</v>
      </c>
      <c r="B1125" s="2">
        <v>2</v>
      </c>
      <c r="C1125" s="2">
        <v>61</v>
      </c>
      <c r="D1125" s="2">
        <v>1</v>
      </c>
      <c r="E1125" s="2">
        <v>5</v>
      </c>
      <c r="G1125" s="2">
        <v>1</v>
      </c>
      <c r="H1125" s="2">
        <v>39</v>
      </c>
      <c r="I1125" s="2">
        <v>25776293</v>
      </c>
      <c r="J1125" s="2" t="s">
        <v>286</v>
      </c>
      <c r="K1125" s="2" t="s">
        <v>364</v>
      </c>
      <c r="L1125" s="2" t="str">
        <f>"63445004"</f>
        <v>63445004</v>
      </c>
      <c r="M1125" s="2" t="s">
        <v>31</v>
      </c>
      <c r="N1125" s="18">
        <v>31848</v>
      </c>
      <c r="O1125" s="2" t="s">
        <v>716</v>
      </c>
    </row>
    <row r="1126" spans="1:15" s="2" customFormat="1" x14ac:dyDescent="0.25">
      <c r="A1126" s="2">
        <v>1126</v>
      </c>
      <c r="B1126" s="2">
        <v>2</v>
      </c>
      <c r="C1126" s="2">
        <v>61</v>
      </c>
      <c r="D1126" s="2">
        <v>1</v>
      </c>
      <c r="E1126" s="2">
        <v>5</v>
      </c>
      <c r="G1126" s="2">
        <v>1</v>
      </c>
      <c r="H1126" s="2">
        <v>39</v>
      </c>
      <c r="I1126" s="2">
        <v>25776290</v>
      </c>
      <c r="J1126" s="2" t="s">
        <v>286</v>
      </c>
      <c r="K1126" s="2" t="s">
        <v>364</v>
      </c>
      <c r="L1126" s="2" t="str">
        <f>"63445001"</f>
        <v>63445001</v>
      </c>
      <c r="M1126" s="2" t="s">
        <v>31</v>
      </c>
      <c r="N1126" s="18">
        <v>31849</v>
      </c>
      <c r="O1126" s="2" t="s">
        <v>720</v>
      </c>
    </row>
    <row r="1127" spans="1:15" s="2" customFormat="1" x14ac:dyDescent="0.25">
      <c r="A1127" s="2">
        <v>1127</v>
      </c>
      <c r="B1127" s="2">
        <v>2</v>
      </c>
      <c r="C1127" s="2">
        <v>61</v>
      </c>
      <c r="D1127" s="2">
        <v>1</v>
      </c>
      <c r="E1127" s="2">
        <v>5</v>
      </c>
      <c r="G1127" s="2">
        <v>1</v>
      </c>
      <c r="H1127" s="2">
        <v>39</v>
      </c>
      <c r="I1127" s="2">
        <v>25776291</v>
      </c>
      <c r="J1127" s="2" t="s">
        <v>286</v>
      </c>
      <c r="K1127" s="2" t="s">
        <v>364</v>
      </c>
      <c r="L1127" s="2" t="str">
        <f>"63445002"</f>
        <v>63445002</v>
      </c>
      <c r="M1127" s="2" t="s">
        <v>31</v>
      </c>
      <c r="N1127" s="18">
        <v>31850</v>
      </c>
      <c r="O1127" s="2" t="s">
        <v>716</v>
      </c>
    </row>
    <row r="1128" spans="1:15" s="2" customFormat="1" x14ac:dyDescent="0.25">
      <c r="A1128" s="2">
        <v>1128</v>
      </c>
      <c r="B1128" s="2">
        <v>2</v>
      </c>
      <c r="C1128" s="2">
        <v>61</v>
      </c>
      <c r="D1128" s="2">
        <v>1</v>
      </c>
      <c r="E1128" s="2">
        <v>5</v>
      </c>
      <c r="G1128" s="2">
        <v>1</v>
      </c>
      <c r="H1128" s="2">
        <v>39</v>
      </c>
      <c r="I1128" s="2">
        <v>25776292</v>
      </c>
      <c r="J1128" s="2" t="s">
        <v>286</v>
      </c>
      <c r="K1128" s="2" t="s">
        <v>364</v>
      </c>
      <c r="L1128" s="2" t="str">
        <f>"63445003"</f>
        <v>63445003</v>
      </c>
      <c r="M1128" s="2" t="s">
        <v>31</v>
      </c>
      <c r="N1128" s="18">
        <v>31851</v>
      </c>
      <c r="O1128" s="2" t="s">
        <v>716</v>
      </c>
    </row>
    <row r="1129" spans="1:15" s="2" customFormat="1" x14ac:dyDescent="0.25">
      <c r="A1129" s="2">
        <v>1129</v>
      </c>
      <c r="B1129" s="2">
        <v>2</v>
      </c>
      <c r="C1129" s="2">
        <v>61</v>
      </c>
      <c r="D1129" s="2">
        <v>1</v>
      </c>
      <c r="E1129" s="2">
        <v>5</v>
      </c>
      <c r="G1129" s="2">
        <v>1</v>
      </c>
      <c r="H1129" s="2">
        <v>39</v>
      </c>
      <c r="I1129" s="2">
        <v>25776294</v>
      </c>
      <c r="J1129" s="2" t="s">
        <v>286</v>
      </c>
      <c r="K1129" s="2" t="s">
        <v>364</v>
      </c>
      <c r="L1129" s="2" t="str">
        <f>"63445005"</f>
        <v>63445005</v>
      </c>
      <c r="M1129" s="2" t="s">
        <v>31</v>
      </c>
      <c r="N1129" s="18">
        <v>31852</v>
      </c>
      <c r="O1129" s="2" t="s">
        <v>716</v>
      </c>
    </row>
    <row r="1130" spans="1:15" s="2" customFormat="1" x14ac:dyDescent="0.25">
      <c r="A1130" s="2">
        <v>1130</v>
      </c>
      <c r="B1130" s="2">
        <v>2</v>
      </c>
      <c r="C1130" s="2">
        <v>61</v>
      </c>
      <c r="D1130" s="2">
        <v>1</v>
      </c>
      <c r="E1130" s="2">
        <v>5</v>
      </c>
      <c r="G1130" s="2">
        <v>1</v>
      </c>
      <c r="H1130" s="2">
        <v>39</v>
      </c>
      <c r="I1130" s="2">
        <v>25776298</v>
      </c>
      <c r="J1130" s="2" t="s">
        <v>286</v>
      </c>
      <c r="K1130" s="2" t="s">
        <v>364</v>
      </c>
      <c r="L1130" s="2" t="str">
        <f>"63445009"</f>
        <v>63445009</v>
      </c>
      <c r="M1130" s="2" t="s">
        <v>31</v>
      </c>
      <c r="N1130" s="18">
        <v>31853</v>
      </c>
      <c r="O1130" s="2" t="s">
        <v>716</v>
      </c>
    </row>
    <row r="1131" spans="1:15" s="2" customFormat="1" x14ac:dyDescent="0.25">
      <c r="A1131" s="2">
        <v>1131</v>
      </c>
      <c r="B1131" s="2">
        <v>2</v>
      </c>
      <c r="C1131" s="2">
        <v>61</v>
      </c>
      <c r="D1131" s="2">
        <v>1</v>
      </c>
      <c r="E1131" s="2">
        <v>5</v>
      </c>
      <c r="G1131" s="2">
        <v>1</v>
      </c>
      <c r="H1131" s="2">
        <v>39</v>
      </c>
      <c r="I1131" s="2">
        <v>25776295</v>
      </c>
      <c r="J1131" s="2" t="s">
        <v>286</v>
      </c>
      <c r="K1131" s="2" t="s">
        <v>364</v>
      </c>
      <c r="L1131" s="2" t="str">
        <f>"63445006"</f>
        <v>63445006</v>
      </c>
      <c r="M1131" s="2" t="s">
        <v>31</v>
      </c>
      <c r="N1131" s="18">
        <v>31854</v>
      </c>
      <c r="O1131" s="2" t="s">
        <v>716</v>
      </c>
    </row>
    <row r="1132" spans="1:15" s="2" customFormat="1" x14ac:dyDescent="0.25">
      <c r="A1132" s="2">
        <v>1132</v>
      </c>
      <c r="B1132" s="2">
        <v>2</v>
      </c>
      <c r="C1132" s="2">
        <v>61</v>
      </c>
      <c r="D1132" s="2">
        <v>1</v>
      </c>
      <c r="E1132" s="2">
        <v>5</v>
      </c>
      <c r="G1132" s="2">
        <v>1</v>
      </c>
      <c r="H1132" s="2">
        <v>39</v>
      </c>
      <c r="I1132" s="2">
        <v>25776296</v>
      </c>
      <c r="J1132" s="2" t="s">
        <v>286</v>
      </c>
      <c r="K1132" s="2" t="s">
        <v>364</v>
      </c>
      <c r="L1132" s="2" t="str">
        <f>"63445007"</f>
        <v>63445007</v>
      </c>
      <c r="M1132" s="2" t="s">
        <v>31</v>
      </c>
      <c r="N1132" s="18">
        <v>31855</v>
      </c>
      <c r="O1132" s="2" t="s">
        <v>716</v>
      </c>
    </row>
    <row r="1133" spans="1:15" s="2" customFormat="1" x14ac:dyDescent="0.25">
      <c r="A1133" s="2">
        <v>1133</v>
      </c>
      <c r="B1133" s="2">
        <v>2</v>
      </c>
      <c r="C1133" s="2">
        <v>61</v>
      </c>
      <c r="D1133" s="2">
        <v>1</v>
      </c>
      <c r="E1133" s="2">
        <v>5</v>
      </c>
      <c r="G1133" s="2">
        <v>1</v>
      </c>
      <c r="H1133" s="2">
        <v>39</v>
      </c>
      <c r="I1133" s="2">
        <v>25776297</v>
      </c>
      <c r="J1133" s="2" t="s">
        <v>286</v>
      </c>
      <c r="K1133" s="2" t="s">
        <v>364</v>
      </c>
      <c r="L1133" s="2" t="str">
        <f>"63445008"</f>
        <v>63445008</v>
      </c>
      <c r="M1133" s="2" t="s">
        <v>31</v>
      </c>
      <c r="N1133" s="18">
        <v>31856</v>
      </c>
      <c r="O1133" s="2" t="s">
        <v>716</v>
      </c>
    </row>
    <row r="1134" spans="1:15" s="2" customFormat="1" x14ac:dyDescent="0.25">
      <c r="A1134" s="2">
        <v>1134</v>
      </c>
      <c r="B1134" s="2">
        <v>2</v>
      </c>
      <c r="C1134" s="2">
        <v>61</v>
      </c>
      <c r="D1134" s="2">
        <v>1</v>
      </c>
      <c r="E1134" s="2">
        <v>5</v>
      </c>
      <c r="G1134" s="2">
        <v>1</v>
      </c>
      <c r="H1134" s="2">
        <v>39</v>
      </c>
      <c r="I1134" s="2">
        <v>25776299</v>
      </c>
      <c r="J1134" s="2" t="s">
        <v>286</v>
      </c>
      <c r="K1134" s="2" t="s">
        <v>364</v>
      </c>
      <c r="L1134" s="2" t="str">
        <f>"63445010"</f>
        <v>63445010</v>
      </c>
      <c r="M1134" s="2" t="s">
        <v>31</v>
      </c>
      <c r="N1134" s="18">
        <v>31857</v>
      </c>
      <c r="O1134" s="2" t="s">
        <v>716</v>
      </c>
    </row>
    <row r="1135" spans="1:15" s="2" customFormat="1" x14ac:dyDescent="0.25">
      <c r="A1135" s="2">
        <v>1135</v>
      </c>
      <c r="B1135" s="2">
        <v>2</v>
      </c>
      <c r="C1135" s="2">
        <v>61</v>
      </c>
      <c r="D1135" s="2">
        <v>1</v>
      </c>
      <c r="E1135" s="2">
        <v>5</v>
      </c>
      <c r="G1135" s="2">
        <v>1</v>
      </c>
      <c r="H1135" s="2">
        <v>39</v>
      </c>
      <c r="I1135" s="2">
        <v>25776300</v>
      </c>
      <c r="J1135" s="2" t="s">
        <v>286</v>
      </c>
      <c r="K1135" s="2" t="s">
        <v>364</v>
      </c>
      <c r="L1135" s="2" t="str">
        <f>"63445011"</f>
        <v>63445011</v>
      </c>
      <c r="M1135" s="2" t="s">
        <v>31</v>
      </c>
      <c r="N1135" s="18">
        <v>31858</v>
      </c>
      <c r="O1135" s="2" t="s">
        <v>716</v>
      </c>
    </row>
    <row r="1136" spans="1:15" s="2" customFormat="1" x14ac:dyDescent="0.25">
      <c r="A1136" s="2">
        <v>1136</v>
      </c>
      <c r="B1136" s="2">
        <v>2</v>
      </c>
      <c r="C1136" s="2">
        <v>61</v>
      </c>
      <c r="D1136" s="2">
        <v>1</v>
      </c>
      <c r="E1136" s="2">
        <v>5</v>
      </c>
      <c r="G1136" s="2">
        <v>1</v>
      </c>
      <c r="H1136" s="2">
        <v>39</v>
      </c>
      <c r="I1136" s="2">
        <v>25776352</v>
      </c>
      <c r="J1136" s="2" t="s">
        <v>286</v>
      </c>
      <c r="K1136" s="2" t="s">
        <v>364</v>
      </c>
      <c r="L1136" s="2" t="str">
        <f>"63445063"</f>
        <v>63445063</v>
      </c>
      <c r="M1136" s="2" t="s">
        <v>31</v>
      </c>
      <c r="N1136" s="18">
        <v>31859</v>
      </c>
      <c r="O1136" s="2" t="s">
        <v>716</v>
      </c>
    </row>
    <row r="1137" spans="1:15" s="2" customFormat="1" x14ac:dyDescent="0.25">
      <c r="A1137" s="2">
        <v>1137</v>
      </c>
      <c r="B1137" s="2">
        <v>2</v>
      </c>
      <c r="C1137" s="2">
        <v>61</v>
      </c>
      <c r="D1137" s="2">
        <v>1</v>
      </c>
      <c r="E1137" s="2">
        <v>5</v>
      </c>
      <c r="G1137" s="2">
        <v>1</v>
      </c>
      <c r="H1137" s="2">
        <v>39</v>
      </c>
      <c r="I1137" s="2">
        <v>25776353</v>
      </c>
      <c r="J1137" s="2" t="s">
        <v>286</v>
      </c>
      <c r="K1137" s="2" t="s">
        <v>364</v>
      </c>
      <c r="L1137" s="2" t="str">
        <f>"63445064"</f>
        <v>63445064</v>
      </c>
      <c r="M1137" s="2" t="s">
        <v>31</v>
      </c>
      <c r="N1137" s="18">
        <v>31860</v>
      </c>
      <c r="O1137" s="2" t="s">
        <v>716</v>
      </c>
    </row>
    <row r="1138" spans="1:15" s="2" customFormat="1" x14ac:dyDescent="0.25">
      <c r="A1138" s="2">
        <v>1138</v>
      </c>
      <c r="B1138" s="2">
        <v>2</v>
      </c>
      <c r="C1138" s="2">
        <v>61</v>
      </c>
      <c r="D1138" s="2">
        <v>1</v>
      </c>
      <c r="E1138" s="2">
        <v>5</v>
      </c>
      <c r="G1138" s="2">
        <v>1</v>
      </c>
      <c r="H1138" s="2">
        <v>39</v>
      </c>
      <c r="I1138" s="2">
        <v>25776354</v>
      </c>
      <c r="J1138" s="2" t="s">
        <v>286</v>
      </c>
      <c r="K1138" s="2" t="s">
        <v>364</v>
      </c>
      <c r="L1138" s="2" t="str">
        <f>"63445065"</f>
        <v>63445065</v>
      </c>
      <c r="M1138" s="2" t="s">
        <v>31</v>
      </c>
      <c r="N1138" s="18">
        <v>31861</v>
      </c>
      <c r="O1138" s="2" t="s">
        <v>716</v>
      </c>
    </row>
    <row r="1139" spans="1:15" s="2" customFormat="1" x14ac:dyDescent="0.25">
      <c r="A1139" s="2">
        <v>1139</v>
      </c>
      <c r="B1139" s="2">
        <v>2</v>
      </c>
      <c r="C1139" s="2">
        <v>61</v>
      </c>
      <c r="D1139" s="2">
        <v>1</v>
      </c>
      <c r="E1139" s="2">
        <v>5</v>
      </c>
      <c r="G1139" s="2">
        <v>1</v>
      </c>
      <c r="H1139" s="2">
        <v>39</v>
      </c>
      <c r="I1139" s="2">
        <v>25776355</v>
      </c>
      <c r="J1139" s="2" t="s">
        <v>286</v>
      </c>
      <c r="K1139" s="2" t="s">
        <v>364</v>
      </c>
      <c r="L1139" s="2" t="str">
        <f>"63445066"</f>
        <v>63445066</v>
      </c>
      <c r="M1139" s="2" t="s">
        <v>31</v>
      </c>
      <c r="N1139" s="18">
        <v>31862</v>
      </c>
      <c r="O1139" s="2" t="s">
        <v>716</v>
      </c>
    </row>
    <row r="1140" spans="1:15" s="2" customFormat="1" x14ac:dyDescent="0.25">
      <c r="A1140" s="2">
        <v>1140</v>
      </c>
      <c r="B1140" s="2">
        <v>2</v>
      </c>
      <c r="C1140" s="2">
        <v>61</v>
      </c>
      <c r="D1140" s="2">
        <v>1</v>
      </c>
      <c r="E1140" s="2">
        <v>5</v>
      </c>
      <c r="G1140" s="2">
        <v>1</v>
      </c>
      <c r="H1140" s="2">
        <v>39</v>
      </c>
      <c r="I1140" s="2">
        <v>25776356</v>
      </c>
      <c r="J1140" s="2" t="s">
        <v>286</v>
      </c>
      <c r="K1140" s="2" t="s">
        <v>364</v>
      </c>
      <c r="L1140" s="2" t="str">
        <f>"63445067"</f>
        <v>63445067</v>
      </c>
      <c r="M1140" s="2" t="s">
        <v>31</v>
      </c>
      <c r="N1140" s="18">
        <v>31863</v>
      </c>
      <c r="O1140" s="2" t="s">
        <v>716</v>
      </c>
    </row>
    <row r="1141" spans="1:15" s="2" customFormat="1" x14ac:dyDescent="0.25">
      <c r="A1141" s="2">
        <v>1141</v>
      </c>
      <c r="B1141" s="2">
        <v>2</v>
      </c>
      <c r="C1141" s="2">
        <v>61</v>
      </c>
      <c r="D1141" s="2">
        <v>1</v>
      </c>
      <c r="E1141" s="2">
        <v>5</v>
      </c>
      <c r="G1141" s="2">
        <v>1</v>
      </c>
      <c r="H1141" s="2">
        <v>39</v>
      </c>
      <c r="I1141" s="2">
        <v>25776301</v>
      </c>
      <c r="J1141" s="2" t="s">
        <v>286</v>
      </c>
      <c r="K1141" s="2" t="s">
        <v>364</v>
      </c>
      <c r="L1141" s="2" t="str">
        <f>"63445012"</f>
        <v>63445012</v>
      </c>
      <c r="M1141" s="2" t="s">
        <v>31</v>
      </c>
      <c r="N1141" s="18">
        <v>31864</v>
      </c>
      <c r="O1141" s="2" t="s">
        <v>716</v>
      </c>
    </row>
    <row r="1142" spans="1:15" s="2" customFormat="1" x14ac:dyDescent="0.25">
      <c r="A1142" s="2">
        <v>1142</v>
      </c>
      <c r="B1142" s="2">
        <v>2</v>
      </c>
      <c r="C1142" s="2">
        <v>61</v>
      </c>
      <c r="D1142" s="2">
        <v>1</v>
      </c>
      <c r="E1142" s="2">
        <v>5</v>
      </c>
      <c r="G1142" s="2">
        <v>1</v>
      </c>
      <c r="H1142" s="2">
        <v>39</v>
      </c>
      <c r="I1142" s="2">
        <v>25776302</v>
      </c>
      <c r="J1142" s="2" t="s">
        <v>286</v>
      </c>
      <c r="K1142" s="2" t="s">
        <v>364</v>
      </c>
      <c r="L1142" s="2" t="str">
        <f>"63445013"</f>
        <v>63445013</v>
      </c>
      <c r="M1142" s="2" t="s">
        <v>31</v>
      </c>
      <c r="N1142" s="18">
        <v>31865</v>
      </c>
      <c r="O1142" s="2" t="s">
        <v>716</v>
      </c>
    </row>
    <row r="1143" spans="1:15" s="2" customFormat="1" x14ac:dyDescent="0.25">
      <c r="A1143" s="2">
        <v>1143</v>
      </c>
      <c r="B1143" s="2">
        <v>2</v>
      </c>
      <c r="C1143" s="2">
        <v>61</v>
      </c>
      <c r="D1143" s="2">
        <v>1</v>
      </c>
      <c r="E1143" s="2">
        <v>5</v>
      </c>
      <c r="G1143" s="2">
        <v>1</v>
      </c>
      <c r="H1143" s="2">
        <v>39</v>
      </c>
      <c r="I1143" s="2">
        <v>25776303</v>
      </c>
      <c r="J1143" s="2" t="s">
        <v>286</v>
      </c>
      <c r="K1143" s="2" t="s">
        <v>364</v>
      </c>
      <c r="L1143" s="2" t="str">
        <f>"63445014"</f>
        <v>63445014</v>
      </c>
      <c r="M1143" s="2" t="s">
        <v>31</v>
      </c>
      <c r="N1143" s="18">
        <v>31866</v>
      </c>
      <c r="O1143" s="2" t="s">
        <v>716</v>
      </c>
    </row>
    <row r="1144" spans="1:15" s="2" customFormat="1" x14ac:dyDescent="0.25">
      <c r="A1144" s="2">
        <v>1144</v>
      </c>
      <c r="B1144" s="2">
        <v>2</v>
      </c>
      <c r="C1144" s="2">
        <v>61</v>
      </c>
      <c r="D1144" s="2">
        <v>1</v>
      </c>
      <c r="E1144" s="2">
        <v>5</v>
      </c>
      <c r="G1144" s="2">
        <v>1</v>
      </c>
      <c r="H1144" s="2">
        <v>39</v>
      </c>
      <c r="I1144" s="2">
        <v>25776304</v>
      </c>
      <c r="J1144" s="2" t="s">
        <v>286</v>
      </c>
      <c r="K1144" s="2" t="s">
        <v>364</v>
      </c>
      <c r="L1144" s="2" t="str">
        <f>"63445015"</f>
        <v>63445015</v>
      </c>
      <c r="M1144" s="2" t="s">
        <v>31</v>
      </c>
      <c r="N1144" s="18">
        <v>31867</v>
      </c>
      <c r="O1144" s="2" t="s">
        <v>716</v>
      </c>
    </row>
    <row r="1145" spans="1:15" s="2" customFormat="1" x14ac:dyDescent="0.25">
      <c r="A1145" s="2">
        <v>1145</v>
      </c>
      <c r="B1145" s="2">
        <v>2</v>
      </c>
      <c r="C1145" s="2">
        <v>61</v>
      </c>
      <c r="D1145" s="2">
        <v>1</v>
      </c>
      <c r="E1145" s="2">
        <v>5</v>
      </c>
      <c r="G1145" s="2">
        <v>1</v>
      </c>
      <c r="H1145" s="2">
        <v>39</v>
      </c>
      <c r="I1145" s="2">
        <v>25776305</v>
      </c>
      <c r="J1145" s="2" t="s">
        <v>286</v>
      </c>
      <c r="K1145" s="2" t="s">
        <v>364</v>
      </c>
      <c r="L1145" s="2" t="str">
        <f>"63445016"</f>
        <v>63445016</v>
      </c>
      <c r="M1145" s="2" t="s">
        <v>31</v>
      </c>
      <c r="N1145" s="18">
        <v>31868</v>
      </c>
      <c r="O1145" s="2" t="s">
        <v>716</v>
      </c>
    </row>
    <row r="1146" spans="1:15" s="2" customFormat="1" x14ac:dyDescent="0.25">
      <c r="A1146" s="2">
        <v>1146</v>
      </c>
      <c r="B1146" s="2">
        <v>2</v>
      </c>
      <c r="C1146" s="2">
        <v>61</v>
      </c>
      <c r="D1146" s="2">
        <v>1</v>
      </c>
      <c r="E1146" s="2">
        <v>5</v>
      </c>
      <c r="G1146" s="2">
        <v>1</v>
      </c>
      <c r="H1146" s="2">
        <v>39</v>
      </c>
      <c r="I1146" s="2">
        <v>25776306</v>
      </c>
      <c r="J1146" s="2" t="s">
        <v>286</v>
      </c>
      <c r="K1146" s="2" t="s">
        <v>364</v>
      </c>
      <c r="L1146" s="2" t="str">
        <f>"63445017"</f>
        <v>63445017</v>
      </c>
      <c r="M1146" s="2" t="s">
        <v>31</v>
      </c>
      <c r="N1146" s="18">
        <v>31869</v>
      </c>
      <c r="O1146" s="2" t="s">
        <v>716</v>
      </c>
    </row>
    <row r="1147" spans="1:15" s="2" customFormat="1" x14ac:dyDescent="0.25">
      <c r="A1147" s="2">
        <v>1147</v>
      </c>
      <c r="B1147" s="2">
        <v>2</v>
      </c>
      <c r="C1147" s="2">
        <v>61</v>
      </c>
      <c r="D1147" s="2">
        <v>1</v>
      </c>
      <c r="E1147" s="2">
        <v>5</v>
      </c>
      <c r="G1147" s="2">
        <v>1</v>
      </c>
      <c r="H1147" s="2">
        <v>39</v>
      </c>
      <c r="I1147" s="2">
        <v>25776307</v>
      </c>
      <c r="J1147" s="2" t="s">
        <v>286</v>
      </c>
      <c r="K1147" s="2" t="s">
        <v>364</v>
      </c>
      <c r="L1147" s="2" t="str">
        <f>"63445018"</f>
        <v>63445018</v>
      </c>
      <c r="M1147" s="2" t="s">
        <v>31</v>
      </c>
      <c r="N1147" s="18">
        <v>31870</v>
      </c>
      <c r="O1147" s="2" t="s">
        <v>716</v>
      </c>
    </row>
    <row r="1148" spans="1:15" s="2" customFormat="1" x14ac:dyDescent="0.25">
      <c r="A1148" s="2">
        <v>1148</v>
      </c>
      <c r="B1148" s="2">
        <v>2</v>
      </c>
      <c r="C1148" s="2">
        <v>61</v>
      </c>
      <c r="D1148" s="2">
        <v>1</v>
      </c>
      <c r="E1148" s="2">
        <v>5</v>
      </c>
      <c r="G1148" s="2">
        <v>1</v>
      </c>
      <c r="H1148" s="2">
        <v>39</v>
      </c>
      <c r="I1148" s="2">
        <v>25776308</v>
      </c>
      <c r="J1148" s="2" t="s">
        <v>286</v>
      </c>
      <c r="K1148" s="2" t="s">
        <v>364</v>
      </c>
      <c r="L1148" s="2" t="str">
        <f>"63445019"</f>
        <v>63445019</v>
      </c>
      <c r="M1148" s="2" t="s">
        <v>31</v>
      </c>
      <c r="N1148" s="18">
        <v>31871</v>
      </c>
      <c r="O1148" s="2" t="s">
        <v>716</v>
      </c>
    </row>
    <row r="1149" spans="1:15" s="2" customFormat="1" x14ac:dyDescent="0.25">
      <c r="A1149" s="2">
        <v>1149</v>
      </c>
      <c r="B1149" s="2">
        <v>2</v>
      </c>
      <c r="C1149" s="2">
        <v>61</v>
      </c>
      <c r="D1149" s="2">
        <v>1</v>
      </c>
      <c r="E1149" s="2">
        <v>5</v>
      </c>
      <c r="G1149" s="2">
        <v>1</v>
      </c>
      <c r="H1149" s="2">
        <v>39</v>
      </c>
      <c r="I1149" s="2">
        <v>25776309</v>
      </c>
      <c r="J1149" s="2" t="s">
        <v>286</v>
      </c>
      <c r="K1149" s="2" t="s">
        <v>364</v>
      </c>
      <c r="L1149" s="2" t="str">
        <f>"63445020"</f>
        <v>63445020</v>
      </c>
      <c r="M1149" s="2" t="s">
        <v>31</v>
      </c>
      <c r="N1149" s="18">
        <v>31872</v>
      </c>
      <c r="O1149" s="2" t="s">
        <v>716</v>
      </c>
    </row>
    <row r="1150" spans="1:15" s="2" customFormat="1" x14ac:dyDescent="0.25">
      <c r="A1150" s="2">
        <v>1150</v>
      </c>
      <c r="B1150" s="2">
        <v>2</v>
      </c>
      <c r="C1150" s="2">
        <v>61</v>
      </c>
      <c r="D1150" s="2">
        <v>1</v>
      </c>
      <c r="E1150" s="2">
        <v>5</v>
      </c>
      <c r="G1150" s="2">
        <v>1</v>
      </c>
      <c r="H1150" s="2">
        <v>39</v>
      </c>
      <c r="I1150" s="2">
        <v>25776310</v>
      </c>
      <c r="J1150" s="2" t="s">
        <v>286</v>
      </c>
      <c r="K1150" s="2" t="s">
        <v>364</v>
      </c>
      <c r="L1150" s="2" t="str">
        <f>"63445021"</f>
        <v>63445021</v>
      </c>
      <c r="M1150" s="2" t="s">
        <v>31</v>
      </c>
      <c r="N1150" s="18">
        <v>31873</v>
      </c>
      <c r="O1150" s="2" t="s">
        <v>716</v>
      </c>
    </row>
    <row r="1151" spans="1:15" s="2" customFormat="1" x14ac:dyDescent="0.25">
      <c r="A1151" s="2">
        <v>1151</v>
      </c>
      <c r="B1151" s="2">
        <v>2</v>
      </c>
      <c r="C1151" s="2">
        <v>61</v>
      </c>
      <c r="D1151" s="2">
        <v>1</v>
      </c>
      <c r="E1151" s="2">
        <v>5</v>
      </c>
      <c r="G1151" s="2">
        <v>1</v>
      </c>
      <c r="H1151" s="2">
        <v>39</v>
      </c>
      <c r="I1151" s="2">
        <v>25776311</v>
      </c>
      <c r="J1151" s="2" t="s">
        <v>286</v>
      </c>
      <c r="K1151" s="2" t="s">
        <v>364</v>
      </c>
      <c r="L1151" s="2" t="str">
        <f>"63445022"</f>
        <v>63445022</v>
      </c>
      <c r="M1151" s="2" t="s">
        <v>31</v>
      </c>
      <c r="N1151" s="18">
        <v>31874</v>
      </c>
      <c r="O1151" s="2" t="s">
        <v>716</v>
      </c>
    </row>
    <row r="1152" spans="1:15" s="2" customFormat="1" x14ac:dyDescent="0.25">
      <c r="A1152" s="2">
        <v>1152</v>
      </c>
      <c r="B1152" s="2">
        <v>2</v>
      </c>
      <c r="C1152" s="2">
        <v>61</v>
      </c>
      <c r="D1152" s="2">
        <v>1</v>
      </c>
      <c r="E1152" s="2">
        <v>5</v>
      </c>
      <c r="G1152" s="2">
        <v>1</v>
      </c>
      <c r="H1152" s="2">
        <v>39</v>
      </c>
      <c r="I1152" s="2">
        <v>25776312</v>
      </c>
      <c r="J1152" s="2" t="s">
        <v>286</v>
      </c>
      <c r="K1152" s="2" t="s">
        <v>364</v>
      </c>
      <c r="L1152" s="2" t="str">
        <f>"63445023"</f>
        <v>63445023</v>
      </c>
      <c r="M1152" s="2" t="s">
        <v>31</v>
      </c>
      <c r="N1152" s="18">
        <v>31875</v>
      </c>
      <c r="O1152" s="2" t="s">
        <v>716</v>
      </c>
    </row>
    <row r="1153" spans="1:15" s="2" customFormat="1" x14ac:dyDescent="0.25">
      <c r="A1153" s="2">
        <v>1153</v>
      </c>
      <c r="B1153" s="2">
        <v>2</v>
      </c>
      <c r="C1153" s="2">
        <v>61</v>
      </c>
      <c r="D1153" s="2">
        <v>1</v>
      </c>
      <c r="E1153" s="2">
        <v>5</v>
      </c>
      <c r="G1153" s="2">
        <v>1</v>
      </c>
      <c r="H1153" s="2">
        <v>39</v>
      </c>
      <c r="I1153" s="2">
        <v>25776313</v>
      </c>
      <c r="J1153" s="2" t="s">
        <v>286</v>
      </c>
      <c r="K1153" s="2" t="s">
        <v>364</v>
      </c>
      <c r="L1153" s="2" t="str">
        <f>"63445024"</f>
        <v>63445024</v>
      </c>
      <c r="M1153" s="2" t="s">
        <v>31</v>
      </c>
      <c r="N1153" s="18">
        <v>31876</v>
      </c>
      <c r="O1153" s="2" t="s">
        <v>716</v>
      </c>
    </row>
    <row r="1154" spans="1:15" s="2" customFormat="1" x14ac:dyDescent="0.25">
      <c r="A1154" s="2">
        <v>1154</v>
      </c>
      <c r="B1154" s="2">
        <v>2</v>
      </c>
      <c r="C1154" s="2">
        <v>61</v>
      </c>
      <c r="D1154" s="2">
        <v>1</v>
      </c>
      <c r="E1154" s="2">
        <v>5</v>
      </c>
      <c r="G1154" s="2">
        <v>1</v>
      </c>
      <c r="H1154" s="2">
        <v>39</v>
      </c>
      <c r="I1154" s="2">
        <v>25776314</v>
      </c>
      <c r="J1154" s="2" t="s">
        <v>286</v>
      </c>
      <c r="K1154" s="2" t="s">
        <v>364</v>
      </c>
      <c r="L1154" s="2" t="str">
        <f>"63445025"</f>
        <v>63445025</v>
      </c>
      <c r="M1154" s="2" t="s">
        <v>31</v>
      </c>
      <c r="N1154" s="18">
        <v>31877</v>
      </c>
      <c r="O1154" s="2" t="s">
        <v>716</v>
      </c>
    </row>
    <row r="1155" spans="1:15" s="2" customFormat="1" x14ac:dyDescent="0.25">
      <c r="A1155" s="2">
        <v>1155</v>
      </c>
      <c r="B1155" s="2">
        <v>2</v>
      </c>
      <c r="C1155" s="2">
        <v>61</v>
      </c>
      <c r="D1155" s="2">
        <v>1</v>
      </c>
      <c r="E1155" s="2">
        <v>5</v>
      </c>
      <c r="G1155" s="2">
        <v>1</v>
      </c>
      <c r="H1155" s="2">
        <v>39</v>
      </c>
      <c r="I1155" s="2">
        <v>25776315</v>
      </c>
      <c r="J1155" s="2" t="s">
        <v>286</v>
      </c>
      <c r="K1155" s="2" t="s">
        <v>364</v>
      </c>
      <c r="L1155" s="2" t="str">
        <f>"63445026"</f>
        <v>63445026</v>
      </c>
      <c r="M1155" s="2" t="s">
        <v>31</v>
      </c>
      <c r="N1155" s="18">
        <v>31878</v>
      </c>
      <c r="O1155" s="2" t="s">
        <v>716</v>
      </c>
    </row>
    <row r="1156" spans="1:15" s="2" customFormat="1" x14ac:dyDescent="0.25">
      <c r="A1156" s="2">
        <v>1156</v>
      </c>
      <c r="B1156" s="2">
        <v>2</v>
      </c>
      <c r="C1156" s="2">
        <v>61</v>
      </c>
      <c r="D1156" s="2">
        <v>1</v>
      </c>
      <c r="E1156" s="2">
        <v>5</v>
      </c>
      <c r="G1156" s="2">
        <v>1</v>
      </c>
      <c r="H1156" s="2">
        <v>39</v>
      </c>
      <c r="I1156" s="2">
        <v>25776316</v>
      </c>
      <c r="J1156" s="2" t="s">
        <v>286</v>
      </c>
      <c r="K1156" s="2" t="s">
        <v>364</v>
      </c>
      <c r="L1156" s="2" t="str">
        <f>"63445027"</f>
        <v>63445027</v>
      </c>
      <c r="M1156" s="2" t="s">
        <v>31</v>
      </c>
      <c r="N1156" s="18">
        <v>31879</v>
      </c>
      <c r="O1156" s="2" t="s">
        <v>716</v>
      </c>
    </row>
    <row r="1157" spans="1:15" s="2" customFormat="1" x14ac:dyDescent="0.25">
      <c r="A1157" s="2">
        <v>1157</v>
      </c>
      <c r="B1157" s="2">
        <v>2</v>
      </c>
      <c r="C1157" s="2">
        <v>61</v>
      </c>
      <c r="D1157" s="2">
        <v>1</v>
      </c>
      <c r="E1157" s="2">
        <v>5</v>
      </c>
      <c r="G1157" s="2">
        <v>1</v>
      </c>
      <c r="H1157" s="2">
        <v>39</v>
      </c>
      <c r="I1157" s="2">
        <v>25776317</v>
      </c>
      <c r="J1157" s="2" t="s">
        <v>286</v>
      </c>
      <c r="K1157" s="2" t="s">
        <v>364</v>
      </c>
      <c r="L1157" s="2" t="str">
        <f>"63445028"</f>
        <v>63445028</v>
      </c>
      <c r="M1157" s="2" t="s">
        <v>31</v>
      </c>
      <c r="N1157" s="18">
        <v>31880</v>
      </c>
      <c r="O1157" s="2" t="s">
        <v>716</v>
      </c>
    </row>
    <row r="1158" spans="1:15" s="2" customFormat="1" x14ac:dyDescent="0.25">
      <c r="A1158" s="2">
        <v>1158</v>
      </c>
      <c r="B1158" s="2">
        <v>2</v>
      </c>
      <c r="C1158" s="2">
        <v>61</v>
      </c>
      <c r="D1158" s="2">
        <v>1</v>
      </c>
      <c r="E1158" s="2">
        <v>5</v>
      </c>
      <c r="G1158" s="2">
        <v>1</v>
      </c>
      <c r="H1158" s="2">
        <v>39</v>
      </c>
      <c r="I1158" s="2">
        <v>25776318</v>
      </c>
      <c r="J1158" s="2" t="s">
        <v>286</v>
      </c>
      <c r="K1158" s="2" t="s">
        <v>364</v>
      </c>
      <c r="L1158" s="2" t="str">
        <f>"63445029"</f>
        <v>63445029</v>
      </c>
      <c r="M1158" s="2" t="s">
        <v>31</v>
      </c>
      <c r="N1158" s="18">
        <v>31881</v>
      </c>
      <c r="O1158" s="2" t="s">
        <v>716</v>
      </c>
    </row>
    <row r="1159" spans="1:15" s="2" customFormat="1" x14ac:dyDescent="0.25">
      <c r="A1159" s="2">
        <v>1159</v>
      </c>
      <c r="B1159" s="2">
        <v>2</v>
      </c>
      <c r="C1159" s="2">
        <v>61</v>
      </c>
      <c r="D1159" s="2">
        <v>1</v>
      </c>
      <c r="E1159" s="2">
        <v>5</v>
      </c>
      <c r="G1159" s="2">
        <v>1</v>
      </c>
      <c r="H1159" s="2">
        <v>39</v>
      </c>
      <c r="I1159" s="2">
        <v>25776319</v>
      </c>
      <c r="J1159" s="2" t="s">
        <v>286</v>
      </c>
      <c r="K1159" s="2" t="s">
        <v>364</v>
      </c>
      <c r="L1159" s="2" t="str">
        <f>"63445030"</f>
        <v>63445030</v>
      </c>
      <c r="M1159" s="2" t="s">
        <v>31</v>
      </c>
      <c r="N1159" s="18">
        <v>31882</v>
      </c>
      <c r="O1159" s="2" t="s">
        <v>716</v>
      </c>
    </row>
    <row r="1160" spans="1:15" s="2" customFormat="1" x14ac:dyDescent="0.25">
      <c r="A1160" s="2">
        <v>1160</v>
      </c>
      <c r="B1160" s="2">
        <v>2</v>
      </c>
      <c r="C1160" s="2">
        <v>61</v>
      </c>
      <c r="D1160" s="2">
        <v>1</v>
      </c>
      <c r="E1160" s="2">
        <v>5</v>
      </c>
      <c r="G1160" s="2">
        <v>1</v>
      </c>
      <c r="H1160" s="2">
        <v>39</v>
      </c>
      <c r="I1160" s="2">
        <v>25776320</v>
      </c>
      <c r="J1160" s="2" t="s">
        <v>286</v>
      </c>
      <c r="K1160" s="2" t="s">
        <v>364</v>
      </c>
      <c r="L1160" s="2" t="str">
        <f>"63445031"</f>
        <v>63445031</v>
      </c>
      <c r="M1160" s="2" t="s">
        <v>31</v>
      </c>
      <c r="N1160" s="18">
        <v>31883</v>
      </c>
      <c r="O1160" s="2" t="s">
        <v>716</v>
      </c>
    </row>
    <row r="1161" spans="1:15" s="2" customFormat="1" x14ac:dyDescent="0.25">
      <c r="A1161" s="2">
        <v>1161</v>
      </c>
      <c r="B1161" s="2">
        <v>2</v>
      </c>
      <c r="C1161" s="2">
        <v>61</v>
      </c>
      <c r="D1161" s="2">
        <v>1</v>
      </c>
      <c r="E1161" s="2">
        <v>5</v>
      </c>
      <c r="G1161" s="2">
        <v>1</v>
      </c>
      <c r="H1161" s="2">
        <v>39</v>
      </c>
      <c r="I1161" s="2">
        <v>25776321</v>
      </c>
      <c r="J1161" s="2" t="s">
        <v>286</v>
      </c>
      <c r="K1161" s="2" t="s">
        <v>364</v>
      </c>
      <c r="L1161" s="2" t="str">
        <f>"63445032"</f>
        <v>63445032</v>
      </c>
      <c r="M1161" s="2" t="s">
        <v>31</v>
      </c>
      <c r="N1161" s="18">
        <v>31884</v>
      </c>
      <c r="O1161" s="2" t="s">
        <v>716</v>
      </c>
    </row>
    <row r="1162" spans="1:15" s="2" customFormat="1" x14ac:dyDescent="0.25">
      <c r="A1162" s="2">
        <v>1162</v>
      </c>
      <c r="B1162" s="2">
        <v>2</v>
      </c>
      <c r="C1162" s="2">
        <v>61</v>
      </c>
      <c r="D1162" s="2">
        <v>1</v>
      </c>
      <c r="E1162" s="2">
        <v>5</v>
      </c>
      <c r="G1162" s="2">
        <v>1</v>
      </c>
      <c r="H1162" s="2">
        <v>39</v>
      </c>
      <c r="I1162" s="2">
        <v>25776322</v>
      </c>
      <c r="J1162" s="2" t="s">
        <v>286</v>
      </c>
      <c r="K1162" s="2" t="s">
        <v>364</v>
      </c>
      <c r="L1162" s="2" t="str">
        <f>"63445033"</f>
        <v>63445033</v>
      </c>
      <c r="M1162" s="2" t="s">
        <v>31</v>
      </c>
      <c r="N1162" s="18">
        <v>31885</v>
      </c>
      <c r="O1162" s="2" t="s">
        <v>716</v>
      </c>
    </row>
    <row r="1163" spans="1:15" s="2" customFormat="1" x14ac:dyDescent="0.25">
      <c r="A1163" s="2">
        <v>1163</v>
      </c>
      <c r="B1163" s="2">
        <v>2</v>
      </c>
      <c r="C1163" s="2">
        <v>61</v>
      </c>
      <c r="D1163" s="2">
        <v>1</v>
      </c>
      <c r="E1163" s="2">
        <v>5</v>
      </c>
      <c r="G1163" s="2">
        <v>1</v>
      </c>
      <c r="H1163" s="2">
        <v>39</v>
      </c>
      <c r="I1163" s="2">
        <v>25776323</v>
      </c>
      <c r="J1163" s="2" t="s">
        <v>286</v>
      </c>
      <c r="K1163" s="2" t="s">
        <v>364</v>
      </c>
      <c r="L1163" s="2" t="str">
        <f>"63445034"</f>
        <v>63445034</v>
      </c>
      <c r="M1163" s="2" t="s">
        <v>31</v>
      </c>
      <c r="N1163" s="18">
        <v>31886</v>
      </c>
      <c r="O1163" s="2" t="s">
        <v>716</v>
      </c>
    </row>
    <row r="1164" spans="1:15" s="2" customFormat="1" x14ac:dyDescent="0.25">
      <c r="A1164" s="2">
        <v>1164</v>
      </c>
      <c r="B1164" s="2">
        <v>2</v>
      </c>
      <c r="C1164" s="2">
        <v>61</v>
      </c>
      <c r="D1164" s="2">
        <v>1</v>
      </c>
      <c r="E1164" s="2">
        <v>5</v>
      </c>
      <c r="G1164" s="2">
        <v>1</v>
      </c>
      <c r="H1164" s="2">
        <v>39</v>
      </c>
      <c r="I1164" s="2">
        <v>25776324</v>
      </c>
      <c r="J1164" s="2" t="s">
        <v>286</v>
      </c>
      <c r="K1164" s="2" t="s">
        <v>364</v>
      </c>
      <c r="L1164" s="2" t="str">
        <f>"63445035"</f>
        <v>63445035</v>
      </c>
      <c r="M1164" s="2" t="s">
        <v>31</v>
      </c>
      <c r="N1164" s="18">
        <v>31887</v>
      </c>
      <c r="O1164" s="2" t="s">
        <v>716</v>
      </c>
    </row>
    <row r="1165" spans="1:15" s="2" customFormat="1" x14ac:dyDescent="0.25">
      <c r="A1165" s="2">
        <v>1165</v>
      </c>
      <c r="B1165" s="2">
        <v>2</v>
      </c>
      <c r="C1165" s="2">
        <v>61</v>
      </c>
      <c r="D1165" s="2">
        <v>1</v>
      </c>
      <c r="E1165" s="2">
        <v>5</v>
      </c>
      <c r="G1165" s="2">
        <v>1</v>
      </c>
      <c r="H1165" s="2">
        <v>39</v>
      </c>
      <c r="I1165" s="2">
        <v>25776325</v>
      </c>
      <c r="J1165" s="2" t="s">
        <v>286</v>
      </c>
      <c r="K1165" s="2" t="s">
        <v>364</v>
      </c>
      <c r="L1165" s="2" t="str">
        <f>"63445036"</f>
        <v>63445036</v>
      </c>
      <c r="M1165" s="2" t="s">
        <v>31</v>
      </c>
      <c r="N1165" s="18">
        <v>31888</v>
      </c>
      <c r="O1165" s="2" t="s">
        <v>716</v>
      </c>
    </row>
    <row r="1166" spans="1:15" s="2" customFormat="1" x14ac:dyDescent="0.25">
      <c r="A1166" s="2">
        <v>1166</v>
      </c>
      <c r="B1166" s="2">
        <v>2</v>
      </c>
      <c r="C1166" s="2">
        <v>61</v>
      </c>
      <c r="D1166" s="2">
        <v>1</v>
      </c>
      <c r="E1166" s="2">
        <v>5</v>
      </c>
      <c r="G1166" s="2">
        <v>1</v>
      </c>
      <c r="H1166" s="2">
        <v>39</v>
      </c>
      <c r="I1166" s="2">
        <v>25776326</v>
      </c>
      <c r="J1166" s="2" t="s">
        <v>286</v>
      </c>
      <c r="K1166" s="2" t="s">
        <v>364</v>
      </c>
      <c r="L1166" s="2" t="str">
        <f>"63445037"</f>
        <v>63445037</v>
      </c>
      <c r="M1166" s="2" t="s">
        <v>31</v>
      </c>
      <c r="N1166" s="18">
        <v>31889</v>
      </c>
      <c r="O1166" s="2" t="s">
        <v>716</v>
      </c>
    </row>
    <row r="1167" spans="1:15" s="2" customFormat="1" x14ac:dyDescent="0.25">
      <c r="A1167" s="2">
        <v>1167</v>
      </c>
      <c r="B1167" s="2">
        <v>2</v>
      </c>
      <c r="C1167" s="2">
        <v>61</v>
      </c>
      <c r="D1167" s="2">
        <v>1</v>
      </c>
      <c r="E1167" s="2">
        <v>5</v>
      </c>
      <c r="G1167" s="2">
        <v>1</v>
      </c>
      <c r="H1167" s="2">
        <v>39</v>
      </c>
      <c r="I1167" s="2">
        <v>25776327</v>
      </c>
      <c r="J1167" s="2" t="s">
        <v>286</v>
      </c>
      <c r="K1167" s="2" t="s">
        <v>364</v>
      </c>
      <c r="L1167" s="2" t="str">
        <f>"63445038"</f>
        <v>63445038</v>
      </c>
      <c r="M1167" s="2" t="s">
        <v>31</v>
      </c>
      <c r="N1167" s="18">
        <v>31890</v>
      </c>
      <c r="O1167" s="2" t="s">
        <v>716</v>
      </c>
    </row>
    <row r="1168" spans="1:15" s="2" customFormat="1" x14ac:dyDescent="0.25">
      <c r="A1168" s="2">
        <v>1168</v>
      </c>
      <c r="B1168" s="2">
        <v>2</v>
      </c>
      <c r="C1168" s="2">
        <v>61</v>
      </c>
      <c r="D1168" s="2">
        <v>1</v>
      </c>
      <c r="E1168" s="2">
        <v>5</v>
      </c>
      <c r="G1168" s="2">
        <v>1</v>
      </c>
      <c r="H1168" s="2">
        <v>39</v>
      </c>
      <c r="I1168" s="2">
        <v>25776328</v>
      </c>
      <c r="J1168" s="2" t="s">
        <v>286</v>
      </c>
      <c r="K1168" s="2" t="s">
        <v>364</v>
      </c>
      <c r="L1168" s="2" t="str">
        <f>"63445039"</f>
        <v>63445039</v>
      </c>
      <c r="M1168" s="2" t="s">
        <v>31</v>
      </c>
      <c r="N1168" s="18">
        <v>31891</v>
      </c>
      <c r="O1168" s="2" t="s">
        <v>716</v>
      </c>
    </row>
    <row r="1169" spans="1:15" s="2" customFormat="1" x14ac:dyDescent="0.25">
      <c r="A1169" s="2">
        <v>1169</v>
      </c>
      <c r="B1169" s="2">
        <v>2</v>
      </c>
      <c r="C1169" s="2">
        <v>61</v>
      </c>
      <c r="D1169" s="2">
        <v>1</v>
      </c>
      <c r="E1169" s="2">
        <v>5</v>
      </c>
      <c r="G1169" s="2">
        <v>1</v>
      </c>
      <c r="H1169" s="2">
        <v>39</v>
      </c>
      <c r="I1169" s="2">
        <v>25776329</v>
      </c>
      <c r="J1169" s="2" t="s">
        <v>286</v>
      </c>
      <c r="K1169" s="2" t="s">
        <v>364</v>
      </c>
      <c r="L1169" s="2" t="str">
        <f>"63445040"</f>
        <v>63445040</v>
      </c>
      <c r="M1169" s="2" t="s">
        <v>31</v>
      </c>
      <c r="N1169" s="18">
        <v>31892</v>
      </c>
      <c r="O1169" s="2" t="s">
        <v>716</v>
      </c>
    </row>
    <row r="1170" spans="1:15" s="2" customFormat="1" x14ac:dyDescent="0.25">
      <c r="A1170" s="2">
        <v>1170</v>
      </c>
      <c r="B1170" s="2">
        <v>2</v>
      </c>
      <c r="C1170" s="2">
        <v>61</v>
      </c>
      <c r="D1170" s="2">
        <v>1</v>
      </c>
      <c r="E1170" s="2">
        <v>5</v>
      </c>
      <c r="G1170" s="2">
        <v>1</v>
      </c>
      <c r="H1170" s="2">
        <v>39</v>
      </c>
      <c r="I1170" s="2">
        <v>25776330</v>
      </c>
      <c r="J1170" s="2" t="s">
        <v>286</v>
      </c>
      <c r="K1170" s="2" t="s">
        <v>364</v>
      </c>
      <c r="L1170" s="2" t="str">
        <f>"63445041"</f>
        <v>63445041</v>
      </c>
      <c r="M1170" s="2" t="s">
        <v>31</v>
      </c>
      <c r="N1170" s="18">
        <v>31893</v>
      </c>
      <c r="O1170" s="2" t="s">
        <v>716</v>
      </c>
    </row>
    <row r="1171" spans="1:15" s="2" customFormat="1" x14ac:dyDescent="0.25">
      <c r="A1171" s="2">
        <v>1171</v>
      </c>
      <c r="B1171" s="2">
        <v>2</v>
      </c>
      <c r="C1171" s="2">
        <v>61</v>
      </c>
      <c r="D1171" s="2">
        <v>1</v>
      </c>
      <c r="E1171" s="2">
        <v>5</v>
      </c>
      <c r="G1171" s="2">
        <v>1</v>
      </c>
      <c r="H1171" s="2">
        <v>39</v>
      </c>
      <c r="I1171" s="2">
        <v>25776331</v>
      </c>
      <c r="J1171" s="2" t="s">
        <v>286</v>
      </c>
      <c r="K1171" s="2" t="s">
        <v>364</v>
      </c>
      <c r="L1171" s="2" t="str">
        <f>"63445042"</f>
        <v>63445042</v>
      </c>
      <c r="M1171" s="2" t="s">
        <v>31</v>
      </c>
      <c r="N1171" s="18">
        <v>31894</v>
      </c>
      <c r="O1171" s="2" t="s">
        <v>716</v>
      </c>
    </row>
    <row r="1172" spans="1:15" s="2" customFormat="1" x14ac:dyDescent="0.25">
      <c r="A1172" s="2">
        <v>1172</v>
      </c>
      <c r="B1172" s="2">
        <v>2</v>
      </c>
      <c r="C1172" s="2">
        <v>61</v>
      </c>
      <c r="D1172" s="2">
        <v>1</v>
      </c>
      <c r="E1172" s="2">
        <v>5</v>
      </c>
      <c r="G1172" s="2">
        <v>1</v>
      </c>
      <c r="H1172" s="2">
        <v>39</v>
      </c>
      <c r="I1172" s="2">
        <v>25776332</v>
      </c>
      <c r="J1172" s="2" t="s">
        <v>286</v>
      </c>
      <c r="K1172" s="2" t="s">
        <v>364</v>
      </c>
      <c r="L1172" s="2" t="str">
        <f>"63445043"</f>
        <v>63445043</v>
      </c>
      <c r="M1172" s="2" t="s">
        <v>31</v>
      </c>
      <c r="N1172" s="18">
        <v>31895</v>
      </c>
      <c r="O1172" s="2" t="s">
        <v>716</v>
      </c>
    </row>
    <row r="1173" spans="1:15" s="2" customFormat="1" x14ac:dyDescent="0.25">
      <c r="A1173" s="2">
        <v>1173</v>
      </c>
      <c r="B1173" s="2">
        <v>2</v>
      </c>
      <c r="C1173" s="2">
        <v>61</v>
      </c>
      <c r="D1173" s="2">
        <v>1</v>
      </c>
      <c r="E1173" s="2">
        <v>5</v>
      </c>
      <c r="G1173" s="2">
        <v>1</v>
      </c>
      <c r="H1173" s="2">
        <v>39</v>
      </c>
      <c r="I1173" s="2">
        <v>25776333</v>
      </c>
      <c r="J1173" s="2" t="s">
        <v>286</v>
      </c>
      <c r="K1173" s="2" t="s">
        <v>364</v>
      </c>
      <c r="L1173" s="2" t="str">
        <f>"63445044"</f>
        <v>63445044</v>
      </c>
      <c r="M1173" s="2" t="s">
        <v>31</v>
      </c>
      <c r="N1173" s="18">
        <v>31896</v>
      </c>
      <c r="O1173" s="2" t="s">
        <v>716</v>
      </c>
    </row>
    <row r="1174" spans="1:15" s="2" customFormat="1" x14ac:dyDescent="0.25">
      <c r="A1174" s="2">
        <v>1174</v>
      </c>
      <c r="B1174" s="2">
        <v>2</v>
      </c>
      <c r="C1174" s="2">
        <v>61</v>
      </c>
      <c r="D1174" s="2">
        <v>1</v>
      </c>
      <c r="E1174" s="2">
        <v>5</v>
      </c>
      <c r="G1174" s="2">
        <v>1</v>
      </c>
      <c r="H1174" s="2">
        <v>39</v>
      </c>
      <c r="I1174" s="2">
        <v>25776375</v>
      </c>
      <c r="J1174" s="2" t="s">
        <v>286</v>
      </c>
      <c r="K1174" s="2" t="s">
        <v>364</v>
      </c>
      <c r="L1174" s="2" t="str">
        <f>"63445086"</f>
        <v>63445086</v>
      </c>
      <c r="M1174" s="2" t="s">
        <v>31</v>
      </c>
      <c r="N1174" s="18">
        <v>31897</v>
      </c>
      <c r="O1174" s="2" t="s">
        <v>716</v>
      </c>
    </row>
    <row r="1175" spans="1:15" s="2" customFormat="1" x14ac:dyDescent="0.25">
      <c r="A1175" s="2">
        <v>1175</v>
      </c>
      <c r="B1175" s="2">
        <v>2</v>
      </c>
      <c r="C1175" s="2">
        <v>61</v>
      </c>
      <c r="D1175" s="2">
        <v>1</v>
      </c>
      <c r="E1175" s="2">
        <v>5</v>
      </c>
      <c r="G1175" s="2">
        <v>1</v>
      </c>
      <c r="H1175" s="2">
        <v>39</v>
      </c>
      <c r="I1175" s="2">
        <v>25776372</v>
      </c>
      <c r="J1175" s="2" t="s">
        <v>286</v>
      </c>
      <c r="K1175" s="2" t="s">
        <v>364</v>
      </c>
      <c r="L1175" s="2" t="str">
        <f>"63445083"</f>
        <v>63445083</v>
      </c>
      <c r="M1175" s="2" t="s">
        <v>31</v>
      </c>
      <c r="N1175" s="18">
        <v>31898</v>
      </c>
      <c r="O1175" s="2" t="s">
        <v>716</v>
      </c>
    </row>
    <row r="1176" spans="1:15" s="2" customFormat="1" x14ac:dyDescent="0.25">
      <c r="A1176" s="2">
        <v>1176</v>
      </c>
      <c r="B1176" s="2">
        <v>2</v>
      </c>
      <c r="C1176" s="2">
        <v>61</v>
      </c>
      <c r="D1176" s="2">
        <v>1</v>
      </c>
      <c r="E1176" s="2">
        <v>5</v>
      </c>
      <c r="G1176" s="2">
        <v>1</v>
      </c>
      <c r="H1176" s="2">
        <v>39</v>
      </c>
      <c r="I1176" s="2">
        <v>25776373</v>
      </c>
      <c r="J1176" s="2" t="s">
        <v>286</v>
      </c>
      <c r="K1176" s="2" t="s">
        <v>364</v>
      </c>
      <c r="L1176" s="2" t="str">
        <f>"63445084"</f>
        <v>63445084</v>
      </c>
      <c r="M1176" s="2" t="s">
        <v>31</v>
      </c>
      <c r="N1176" s="18">
        <v>31899</v>
      </c>
      <c r="O1176" s="2" t="s">
        <v>716</v>
      </c>
    </row>
    <row r="1177" spans="1:15" s="2" customFormat="1" x14ac:dyDescent="0.25">
      <c r="A1177" s="2">
        <v>1177</v>
      </c>
      <c r="B1177" s="2">
        <v>2</v>
      </c>
      <c r="C1177" s="2">
        <v>61</v>
      </c>
      <c r="D1177" s="2">
        <v>1</v>
      </c>
      <c r="E1177" s="2">
        <v>5</v>
      </c>
      <c r="G1177" s="2">
        <v>1</v>
      </c>
      <c r="H1177" s="2">
        <v>39</v>
      </c>
      <c r="I1177" s="2">
        <v>25776374</v>
      </c>
      <c r="J1177" s="2" t="s">
        <v>286</v>
      </c>
      <c r="K1177" s="2" t="s">
        <v>364</v>
      </c>
      <c r="L1177" s="2" t="str">
        <f>"63445085"</f>
        <v>63445085</v>
      </c>
      <c r="M1177" s="2" t="s">
        <v>31</v>
      </c>
      <c r="N1177" s="18">
        <v>31900</v>
      </c>
      <c r="O1177" s="2" t="s">
        <v>716</v>
      </c>
    </row>
    <row r="1178" spans="1:15" s="2" customFormat="1" x14ac:dyDescent="0.25">
      <c r="A1178" s="2">
        <v>1178</v>
      </c>
      <c r="B1178" s="2">
        <v>2</v>
      </c>
      <c r="C1178" s="2">
        <v>61</v>
      </c>
      <c r="D1178" s="2">
        <v>1</v>
      </c>
      <c r="E1178" s="2">
        <v>5</v>
      </c>
      <c r="G1178" s="2">
        <v>1</v>
      </c>
      <c r="H1178" s="2">
        <v>39</v>
      </c>
      <c r="I1178" s="2">
        <v>25776376</v>
      </c>
      <c r="J1178" s="2" t="s">
        <v>286</v>
      </c>
      <c r="K1178" s="2" t="s">
        <v>364</v>
      </c>
      <c r="L1178" s="2" t="str">
        <f>"63445087"</f>
        <v>63445087</v>
      </c>
      <c r="M1178" s="2" t="s">
        <v>31</v>
      </c>
      <c r="N1178" s="18">
        <v>31901</v>
      </c>
      <c r="O1178" s="2" t="s">
        <v>716</v>
      </c>
    </row>
    <row r="1179" spans="1:15" s="2" customFormat="1" x14ac:dyDescent="0.25">
      <c r="A1179" s="2">
        <v>1179</v>
      </c>
      <c r="B1179" s="2">
        <v>2</v>
      </c>
      <c r="C1179" s="2">
        <v>61</v>
      </c>
      <c r="D1179" s="2">
        <v>1</v>
      </c>
      <c r="E1179" s="2">
        <v>5</v>
      </c>
      <c r="G1179" s="2">
        <v>1</v>
      </c>
      <c r="H1179" s="2">
        <v>39</v>
      </c>
      <c r="I1179" s="2">
        <v>25776377</v>
      </c>
      <c r="J1179" s="2" t="s">
        <v>286</v>
      </c>
      <c r="K1179" s="2" t="s">
        <v>364</v>
      </c>
      <c r="L1179" s="2" t="str">
        <f>"63445088"</f>
        <v>63445088</v>
      </c>
      <c r="M1179" s="2" t="s">
        <v>31</v>
      </c>
      <c r="N1179" s="18">
        <v>31902</v>
      </c>
      <c r="O1179" s="2" t="s">
        <v>716</v>
      </c>
    </row>
    <row r="1180" spans="1:15" s="2" customFormat="1" x14ac:dyDescent="0.25">
      <c r="A1180" s="2">
        <v>1180</v>
      </c>
      <c r="B1180" s="2">
        <v>2</v>
      </c>
      <c r="C1180" s="2">
        <v>61</v>
      </c>
      <c r="D1180" s="2">
        <v>1</v>
      </c>
      <c r="E1180" s="2">
        <v>5</v>
      </c>
      <c r="G1180" s="2">
        <v>1</v>
      </c>
      <c r="H1180" s="2">
        <v>39</v>
      </c>
      <c r="I1180" s="2">
        <v>25776378</v>
      </c>
      <c r="J1180" s="2" t="s">
        <v>286</v>
      </c>
      <c r="K1180" s="2" t="s">
        <v>364</v>
      </c>
      <c r="L1180" s="2" t="str">
        <f>"63445089"</f>
        <v>63445089</v>
      </c>
      <c r="M1180" s="2" t="s">
        <v>31</v>
      </c>
      <c r="N1180" s="18">
        <v>31903</v>
      </c>
      <c r="O1180" s="2" t="s">
        <v>716</v>
      </c>
    </row>
    <row r="1181" spans="1:15" s="2" customFormat="1" x14ac:dyDescent="0.25">
      <c r="A1181" s="2">
        <v>1181</v>
      </c>
      <c r="B1181" s="2">
        <v>2</v>
      </c>
      <c r="C1181" s="2">
        <v>61</v>
      </c>
      <c r="D1181" s="2">
        <v>1</v>
      </c>
      <c r="E1181" s="2">
        <v>5</v>
      </c>
      <c r="G1181" s="2">
        <v>1</v>
      </c>
      <c r="H1181" s="2">
        <v>39</v>
      </c>
      <c r="I1181" s="2">
        <v>25776379</v>
      </c>
      <c r="J1181" s="2" t="s">
        <v>286</v>
      </c>
      <c r="K1181" s="2" t="s">
        <v>364</v>
      </c>
      <c r="L1181" s="2" t="str">
        <f>"63445090"</f>
        <v>63445090</v>
      </c>
      <c r="M1181" s="2" t="s">
        <v>31</v>
      </c>
      <c r="N1181" s="18">
        <v>31904</v>
      </c>
      <c r="O1181" s="2" t="s">
        <v>716</v>
      </c>
    </row>
    <row r="1182" spans="1:15" s="2" customFormat="1" x14ac:dyDescent="0.25">
      <c r="A1182" s="2">
        <v>1182</v>
      </c>
      <c r="B1182" s="2">
        <v>2</v>
      </c>
      <c r="C1182" s="2">
        <v>61</v>
      </c>
      <c r="D1182" s="2">
        <v>1</v>
      </c>
      <c r="E1182" s="2">
        <v>5</v>
      </c>
      <c r="G1182" s="2">
        <v>1</v>
      </c>
      <c r="H1182" s="2">
        <v>39</v>
      </c>
      <c r="I1182" s="2">
        <v>25776380</v>
      </c>
      <c r="J1182" s="2" t="s">
        <v>286</v>
      </c>
      <c r="K1182" s="2" t="s">
        <v>364</v>
      </c>
      <c r="L1182" s="2" t="str">
        <f>"63445091"</f>
        <v>63445091</v>
      </c>
      <c r="M1182" s="2" t="s">
        <v>31</v>
      </c>
      <c r="N1182" s="18">
        <v>31905</v>
      </c>
      <c r="O1182" s="2" t="s">
        <v>716</v>
      </c>
    </row>
    <row r="1183" spans="1:15" s="2" customFormat="1" x14ac:dyDescent="0.25">
      <c r="A1183" s="2">
        <v>1183</v>
      </c>
      <c r="B1183" s="2">
        <v>2</v>
      </c>
      <c r="C1183" s="2">
        <v>61</v>
      </c>
      <c r="D1183" s="2">
        <v>1</v>
      </c>
      <c r="E1183" s="2">
        <v>5</v>
      </c>
      <c r="G1183" s="2">
        <v>1</v>
      </c>
      <c r="H1183" s="2">
        <v>39</v>
      </c>
      <c r="I1183" s="2">
        <v>25776381</v>
      </c>
      <c r="J1183" s="2" t="s">
        <v>286</v>
      </c>
      <c r="K1183" s="2" t="s">
        <v>364</v>
      </c>
      <c r="L1183" s="2" t="str">
        <f>"63445092"</f>
        <v>63445092</v>
      </c>
      <c r="M1183" s="2" t="s">
        <v>31</v>
      </c>
      <c r="N1183" s="18">
        <v>31906</v>
      </c>
      <c r="O1183" s="2" t="s">
        <v>716</v>
      </c>
    </row>
    <row r="1184" spans="1:15" s="2" customFormat="1" x14ac:dyDescent="0.25">
      <c r="A1184" s="2">
        <v>1184</v>
      </c>
      <c r="B1184" s="2">
        <v>2</v>
      </c>
      <c r="C1184" s="2">
        <v>61</v>
      </c>
      <c r="D1184" s="2">
        <v>1</v>
      </c>
      <c r="E1184" s="2">
        <v>5</v>
      </c>
      <c r="G1184" s="2">
        <v>1</v>
      </c>
      <c r="H1184" s="2">
        <v>39</v>
      </c>
      <c r="I1184" s="2">
        <v>25776382</v>
      </c>
      <c r="J1184" s="2" t="s">
        <v>286</v>
      </c>
      <c r="K1184" s="2" t="s">
        <v>364</v>
      </c>
      <c r="L1184" s="2" t="str">
        <f>"63445093"</f>
        <v>63445093</v>
      </c>
      <c r="M1184" s="2" t="s">
        <v>31</v>
      </c>
      <c r="N1184" s="18">
        <v>31907</v>
      </c>
      <c r="O1184" s="2" t="s">
        <v>716</v>
      </c>
    </row>
    <row r="1185" spans="1:15" s="2" customFormat="1" x14ac:dyDescent="0.25">
      <c r="A1185" s="2">
        <v>1185</v>
      </c>
      <c r="B1185" s="2">
        <v>2</v>
      </c>
      <c r="C1185" s="2">
        <v>61</v>
      </c>
      <c r="D1185" s="2">
        <v>1</v>
      </c>
      <c r="E1185" s="2">
        <v>5</v>
      </c>
      <c r="G1185" s="2">
        <v>1</v>
      </c>
      <c r="H1185" s="2">
        <v>39</v>
      </c>
      <c r="I1185" s="2">
        <v>25776383</v>
      </c>
      <c r="J1185" s="2" t="s">
        <v>286</v>
      </c>
      <c r="K1185" s="2" t="s">
        <v>364</v>
      </c>
      <c r="L1185" s="2" t="str">
        <f>"63445094"</f>
        <v>63445094</v>
      </c>
      <c r="M1185" s="2" t="s">
        <v>31</v>
      </c>
      <c r="N1185" s="18">
        <v>31908</v>
      </c>
      <c r="O1185" s="2" t="s">
        <v>716</v>
      </c>
    </row>
    <row r="1186" spans="1:15" s="2" customFormat="1" x14ac:dyDescent="0.25">
      <c r="A1186" s="2">
        <v>1186</v>
      </c>
      <c r="B1186" s="2">
        <v>2</v>
      </c>
      <c r="C1186" s="2">
        <v>61</v>
      </c>
      <c r="D1186" s="2">
        <v>1</v>
      </c>
      <c r="E1186" s="2">
        <v>5</v>
      </c>
      <c r="G1186" s="2">
        <v>1</v>
      </c>
      <c r="H1186" s="2">
        <v>39</v>
      </c>
      <c r="I1186" s="2">
        <v>25776384</v>
      </c>
      <c r="J1186" s="2" t="s">
        <v>286</v>
      </c>
      <c r="K1186" s="2" t="s">
        <v>364</v>
      </c>
      <c r="L1186" s="2" t="str">
        <f>"63445095"</f>
        <v>63445095</v>
      </c>
      <c r="M1186" s="2" t="s">
        <v>31</v>
      </c>
      <c r="N1186" s="18">
        <v>31909</v>
      </c>
      <c r="O1186" s="2" t="s">
        <v>716</v>
      </c>
    </row>
    <row r="1187" spans="1:15" s="2" customFormat="1" x14ac:dyDescent="0.25">
      <c r="A1187" s="2">
        <v>1187</v>
      </c>
      <c r="B1187" s="2">
        <v>2</v>
      </c>
      <c r="C1187" s="2">
        <v>61</v>
      </c>
      <c r="D1187" s="2">
        <v>1</v>
      </c>
      <c r="E1187" s="2">
        <v>5</v>
      </c>
      <c r="G1187" s="2">
        <v>1</v>
      </c>
      <c r="H1187" s="2">
        <v>39</v>
      </c>
      <c r="I1187" s="2">
        <v>25776385</v>
      </c>
      <c r="J1187" s="2" t="s">
        <v>286</v>
      </c>
      <c r="K1187" s="2" t="s">
        <v>364</v>
      </c>
      <c r="L1187" s="2" t="str">
        <f>"63445096"</f>
        <v>63445096</v>
      </c>
      <c r="M1187" s="2" t="s">
        <v>31</v>
      </c>
      <c r="N1187" s="18">
        <v>31910</v>
      </c>
      <c r="O1187" s="2" t="s">
        <v>716</v>
      </c>
    </row>
    <row r="1188" spans="1:15" s="2" customFormat="1" x14ac:dyDescent="0.25">
      <c r="A1188" s="2">
        <v>1188</v>
      </c>
      <c r="B1188" s="2">
        <v>2</v>
      </c>
      <c r="C1188" s="2">
        <v>61</v>
      </c>
      <c r="D1188" s="2">
        <v>1</v>
      </c>
      <c r="E1188" s="2">
        <v>5</v>
      </c>
      <c r="G1188" s="2">
        <v>1</v>
      </c>
      <c r="H1188" s="2">
        <v>39</v>
      </c>
      <c r="I1188" s="2">
        <v>25776386</v>
      </c>
      <c r="J1188" s="2" t="s">
        <v>286</v>
      </c>
      <c r="K1188" s="2" t="s">
        <v>364</v>
      </c>
      <c r="L1188" s="2" t="str">
        <f>"63445097"</f>
        <v>63445097</v>
      </c>
      <c r="M1188" s="2" t="s">
        <v>31</v>
      </c>
      <c r="N1188" s="18">
        <v>31911</v>
      </c>
      <c r="O1188" s="2" t="s">
        <v>716</v>
      </c>
    </row>
    <row r="1189" spans="1:15" s="2" customFormat="1" x14ac:dyDescent="0.25">
      <c r="A1189" s="2">
        <v>1189</v>
      </c>
      <c r="B1189" s="2">
        <v>2</v>
      </c>
      <c r="C1189" s="2">
        <v>61</v>
      </c>
      <c r="D1189" s="2">
        <v>1</v>
      </c>
      <c r="E1189" s="2">
        <v>5</v>
      </c>
      <c r="G1189" s="2">
        <v>1</v>
      </c>
      <c r="H1189" s="2">
        <v>39</v>
      </c>
      <c r="I1189" s="2">
        <v>25776387</v>
      </c>
      <c r="J1189" s="2" t="s">
        <v>286</v>
      </c>
      <c r="K1189" s="2" t="s">
        <v>364</v>
      </c>
      <c r="L1189" s="2" t="str">
        <f>"63445098"</f>
        <v>63445098</v>
      </c>
      <c r="M1189" s="2" t="s">
        <v>31</v>
      </c>
      <c r="N1189" s="18">
        <v>31912</v>
      </c>
      <c r="O1189" s="2" t="s">
        <v>716</v>
      </c>
    </row>
    <row r="1190" spans="1:15" s="2" customFormat="1" x14ac:dyDescent="0.25">
      <c r="A1190" s="2">
        <v>1190</v>
      </c>
      <c r="B1190" s="2">
        <v>2</v>
      </c>
      <c r="C1190" s="2">
        <v>61</v>
      </c>
      <c r="D1190" s="2">
        <v>1</v>
      </c>
      <c r="E1190" s="2">
        <v>5</v>
      </c>
      <c r="G1190" s="2">
        <v>1</v>
      </c>
      <c r="H1190" s="2">
        <v>39</v>
      </c>
      <c r="I1190" s="2">
        <v>25776388</v>
      </c>
      <c r="J1190" s="2" t="s">
        <v>286</v>
      </c>
      <c r="K1190" s="2" t="s">
        <v>364</v>
      </c>
      <c r="L1190" s="2" t="str">
        <f>"63445099"</f>
        <v>63445099</v>
      </c>
      <c r="M1190" s="2" t="s">
        <v>31</v>
      </c>
      <c r="N1190" s="18">
        <v>31913</v>
      </c>
      <c r="O1190" s="2" t="s">
        <v>716</v>
      </c>
    </row>
    <row r="1191" spans="1:15" s="2" customFormat="1" x14ac:dyDescent="0.25">
      <c r="A1191" s="2">
        <v>1191</v>
      </c>
      <c r="B1191" s="2">
        <v>2</v>
      </c>
      <c r="C1191" s="2">
        <v>61</v>
      </c>
      <c r="D1191" s="2">
        <v>1</v>
      </c>
      <c r="E1191" s="2">
        <v>5</v>
      </c>
      <c r="G1191" s="2">
        <v>1</v>
      </c>
      <c r="H1191" s="2">
        <v>39</v>
      </c>
      <c r="I1191" s="2">
        <v>25776389</v>
      </c>
      <c r="J1191" s="2" t="s">
        <v>286</v>
      </c>
      <c r="K1191" s="2" t="s">
        <v>364</v>
      </c>
      <c r="L1191" s="2" t="str">
        <f>"63445100"</f>
        <v>63445100</v>
      </c>
      <c r="M1191" s="2" t="s">
        <v>31</v>
      </c>
      <c r="N1191" s="18">
        <v>31914</v>
      </c>
      <c r="O1191" s="2" t="s">
        <v>716</v>
      </c>
    </row>
    <row r="1192" spans="1:15" s="2" customFormat="1" x14ac:dyDescent="0.25">
      <c r="A1192" s="2">
        <v>1192</v>
      </c>
      <c r="B1192" s="2">
        <v>2</v>
      </c>
      <c r="C1192" s="2">
        <v>61</v>
      </c>
      <c r="D1192" s="2">
        <v>1</v>
      </c>
      <c r="E1192" s="2">
        <v>7</v>
      </c>
      <c r="G1192" s="2">
        <v>1</v>
      </c>
      <c r="H1192" s="2">
        <v>39</v>
      </c>
      <c r="I1192" s="2">
        <v>25776390</v>
      </c>
      <c r="J1192" s="2" t="s">
        <v>287</v>
      </c>
      <c r="K1192" s="2" t="s">
        <v>721</v>
      </c>
      <c r="L1192" s="2" t="str">
        <f>"63445101"</f>
        <v>63445101</v>
      </c>
      <c r="M1192" s="2" t="s">
        <v>31</v>
      </c>
      <c r="N1192" s="18">
        <v>31915</v>
      </c>
      <c r="O1192" s="2" t="s">
        <v>722</v>
      </c>
    </row>
    <row r="1193" spans="1:15" s="2" customFormat="1" x14ac:dyDescent="0.25">
      <c r="A1193" s="2">
        <v>1193</v>
      </c>
      <c r="B1193" s="2">
        <v>2</v>
      </c>
      <c r="C1193" s="2">
        <v>61</v>
      </c>
      <c r="D1193" s="2">
        <v>1</v>
      </c>
      <c r="E1193" s="2">
        <v>7</v>
      </c>
      <c r="G1193" s="2">
        <v>1</v>
      </c>
      <c r="H1193" s="2">
        <v>39</v>
      </c>
      <c r="I1193" s="2">
        <v>25776391</v>
      </c>
      <c r="J1193" s="2" t="s">
        <v>287</v>
      </c>
      <c r="K1193" s="2" t="s">
        <v>721</v>
      </c>
      <c r="L1193" s="2" t="str">
        <f>"63445102"</f>
        <v>63445102</v>
      </c>
      <c r="M1193" s="2" t="s">
        <v>31</v>
      </c>
      <c r="N1193" s="18">
        <v>31916</v>
      </c>
      <c r="O1193" s="2" t="s">
        <v>722</v>
      </c>
    </row>
    <row r="1194" spans="1:15" s="2" customFormat="1" x14ac:dyDescent="0.25">
      <c r="A1194" s="2">
        <v>1194</v>
      </c>
      <c r="B1194" s="2">
        <v>2</v>
      </c>
      <c r="C1194" s="2">
        <v>61</v>
      </c>
      <c r="D1194" s="2">
        <v>1</v>
      </c>
      <c r="E1194" s="2">
        <v>7</v>
      </c>
      <c r="G1194" s="2">
        <v>1</v>
      </c>
      <c r="H1194" s="2">
        <v>39</v>
      </c>
      <c r="I1194" s="2">
        <v>25776392</v>
      </c>
      <c r="J1194" s="2" t="s">
        <v>287</v>
      </c>
      <c r="K1194" s="2" t="s">
        <v>721</v>
      </c>
      <c r="L1194" s="2" t="str">
        <f>"63445103"</f>
        <v>63445103</v>
      </c>
      <c r="M1194" s="2" t="s">
        <v>31</v>
      </c>
      <c r="N1194" s="18">
        <v>31917</v>
      </c>
      <c r="O1194" s="2" t="s">
        <v>722</v>
      </c>
    </row>
    <row r="1195" spans="1:15" s="2" customFormat="1" x14ac:dyDescent="0.25">
      <c r="A1195" s="2">
        <v>1195</v>
      </c>
      <c r="B1195" s="2">
        <v>2</v>
      </c>
      <c r="C1195" s="2">
        <v>61</v>
      </c>
      <c r="D1195" s="2">
        <v>1</v>
      </c>
      <c r="E1195" s="2">
        <v>7</v>
      </c>
      <c r="G1195" s="2">
        <v>1</v>
      </c>
      <c r="H1195" s="2">
        <v>39</v>
      </c>
      <c r="I1195" s="2">
        <v>25776393</v>
      </c>
      <c r="J1195" s="2" t="s">
        <v>287</v>
      </c>
      <c r="K1195" s="2" t="s">
        <v>721</v>
      </c>
      <c r="L1195" s="2" t="str">
        <f>"63445104"</f>
        <v>63445104</v>
      </c>
      <c r="M1195" s="2" t="s">
        <v>31</v>
      </c>
      <c r="N1195" s="18">
        <v>31918</v>
      </c>
      <c r="O1195" s="2" t="s">
        <v>722</v>
      </c>
    </row>
    <row r="1196" spans="1:15" s="2" customFormat="1" x14ac:dyDescent="0.25">
      <c r="A1196" s="2">
        <v>1196</v>
      </c>
      <c r="B1196" s="2">
        <v>2</v>
      </c>
      <c r="C1196" s="2">
        <v>61</v>
      </c>
      <c r="D1196" s="2">
        <v>1</v>
      </c>
      <c r="E1196" s="2">
        <v>7</v>
      </c>
      <c r="G1196" s="2">
        <v>1</v>
      </c>
      <c r="H1196" s="2">
        <v>39</v>
      </c>
      <c r="I1196" s="2">
        <v>25776394</v>
      </c>
      <c r="J1196" s="2" t="s">
        <v>287</v>
      </c>
      <c r="K1196" s="2" t="s">
        <v>721</v>
      </c>
      <c r="L1196" s="2" t="str">
        <f>"63445105"</f>
        <v>63445105</v>
      </c>
      <c r="M1196" s="2" t="s">
        <v>31</v>
      </c>
      <c r="N1196" s="18">
        <v>31919</v>
      </c>
      <c r="O1196" s="2" t="s">
        <v>722</v>
      </c>
    </row>
    <row r="1197" spans="1:15" s="2" customFormat="1" x14ac:dyDescent="0.25">
      <c r="A1197" s="2">
        <v>1197</v>
      </c>
      <c r="B1197" s="2">
        <v>2</v>
      </c>
      <c r="C1197" s="2">
        <v>61</v>
      </c>
      <c r="D1197" s="2">
        <v>1</v>
      </c>
      <c r="E1197" s="2">
        <v>7</v>
      </c>
      <c r="G1197" s="2">
        <v>1</v>
      </c>
      <c r="H1197" s="2">
        <v>39</v>
      </c>
      <c r="I1197" s="2">
        <v>25776395</v>
      </c>
      <c r="J1197" s="2" t="s">
        <v>287</v>
      </c>
      <c r="K1197" s="2" t="s">
        <v>721</v>
      </c>
      <c r="L1197" s="2" t="str">
        <f>"63445106"</f>
        <v>63445106</v>
      </c>
      <c r="M1197" s="2" t="s">
        <v>31</v>
      </c>
      <c r="N1197" s="18">
        <v>31920</v>
      </c>
      <c r="O1197" s="2" t="s">
        <v>722</v>
      </c>
    </row>
    <row r="1198" spans="1:15" s="2" customFormat="1" x14ac:dyDescent="0.25">
      <c r="A1198" s="2">
        <v>1198</v>
      </c>
      <c r="B1198" s="2">
        <v>2</v>
      </c>
      <c r="C1198" s="2">
        <v>61</v>
      </c>
      <c r="D1198" s="2">
        <v>1</v>
      </c>
      <c r="E1198" s="2">
        <v>7</v>
      </c>
      <c r="G1198" s="2">
        <v>1</v>
      </c>
      <c r="H1198" s="2">
        <v>39</v>
      </c>
      <c r="I1198" s="2">
        <v>25776396</v>
      </c>
      <c r="J1198" s="2" t="s">
        <v>287</v>
      </c>
      <c r="K1198" s="2" t="s">
        <v>721</v>
      </c>
      <c r="L1198" s="2" t="str">
        <f>"63445107"</f>
        <v>63445107</v>
      </c>
      <c r="M1198" s="2" t="s">
        <v>31</v>
      </c>
      <c r="N1198" s="18">
        <v>31921</v>
      </c>
      <c r="O1198" s="2" t="s">
        <v>722</v>
      </c>
    </row>
    <row r="1199" spans="1:15" s="2" customFormat="1" x14ac:dyDescent="0.25">
      <c r="A1199" s="2">
        <v>1199</v>
      </c>
      <c r="B1199" s="2">
        <v>2</v>
      </c>
      <c r="C1199" s="2">
        <v>61</v>
      </c>
      <c r="D1199" s="2">
        <v>1</v>
      </c>
      <c r="E1199" s="2">
        <v>5</v>
      </c>
      <c r="G1199" s="2">
        <v>1</v>
      </c>
      <c r="H1199" s="2">
        <v>39</v>
      </c>
      <c r="I1199" s="2">
        <v>25776357</v>
      </c>
      <c r="J1199" s="2" t="s">
        <v>286</v>
      </c>
      <c r="K1199" s="2" t="s">
        <v>364</v>
      </c>
      <c r="L1199" s="2" t="str">
        <f>"63445068"</f>
        <v>63445068</v>
      </c>
      <c r="M1199" s="2" t="s">
        <v>31</v>
      </c>
      <c r="N1199" s="18">
        <v>31922</v>
      </c>
      <c r="O1199" s="2" t="s">
        <v>716</v>
      </c>
    </row>
    <row r="1200" spans="1:15" s="2" customFormat="1" x14ac:dyDescent="0.25">
      <c r="A1200" s="2">
        <v>1200</v>
      </c>
      <c r="B1200" s="2">
        <v>2</v>
      </c>
      <c r="C1200" s="2">
        <v>61</v>
      </c>
      <c r="D1200" s="2">
        <v>1</v>
      </c>
      <c r="E1200" s="2">
        <v>5</v>
      </c>
      <c r="G1200" s="2">
        <v>1</v>
      </c>
      <c r="H1200" s="2">
        <v>39</v>
      </c>
      <c r="I1200" s="2">
        <v>25776358</v>
      </c>
      <c r="J1200" s="2" t="s">
        <v>286</v>
      </c>
      <c r="K1200" s="2" t="s">
        <v>364</v>
      </c>
      <c r="L1200" s="2" t="str">
        <f>"63445069"</f>
        <v>63445069</v>
      </c>
      <c r="M1200" s="2" t="s">
        <v>31</v>
      </c>
      <c r="N1200" s="18">
        <v>31923</v>
      </c>
      <c r="O1200" s="2" t="s">
        <v>716</v>
      </c>
    </row>
    <row r="1201" spans="1:15" s="2" customFormat="1" x14ac:dyDescent="0.25">
      <c r="A1201" s="2">
        <v>1201</v>
      </c>
      <c r="B1201" s="2">
        <v>2</v>
      </c>
      <c r="C1201" s="2">
        <v>61</v>
      </c>
      <c r="D1201" s="2">
        <v>1</v>
      </c>
      <c r="E1201" s="2">
        <v>5</v>
      </c>
      <c r="G1201" s="2">
        <v>1</v>
      </c>
      <c r="H1201" s="2">
        <v>39</v>
      </c>
      <c r="I1201" s="2">
        <v>25776359</v>
      </c>
      <c r="J1201" s="2" t="s">
        <v>286</v>
      </c>
      <c r="K1201" s="2" t="s">
        <v>364</v>
      </c>
      <c r="L1201" s="2" t="str">
        <f>"63445070"</f>
        <v>63445070</v>
      </c>
      <c r="M1201" s="2" t="s">
        <v>31</v>
      </c>
      <c r="N1201" s="18">
        <v>31924</v>
      </c>
      <c r="O1201" s="2" t="s">
        <v>716</v>
      </c>
    </row>
    <row r="1202" spans="1:15" s="2" customFormat="1" x14ac:dyDescent="0.25">
      <c r="A1202" s="2">
        <v>1202</v>
      </c>
      <c r="B1202" s="2">
        <v>2</v>
      </c>
      <c r="C1202" s="2">
        <v>61</v>
      </c>
      <c r="D1202" s="2">
        <v>1</v>
      </c>
      <c r="E1202" s="2">
        <v>5</v>
      </c>
      <c r="G1202" s="2">
        <v>1</v>
      </c>
      <c r="H1202" s="2">
        <v>39</v>
      </c>
      <c r="I1202" s="2">
        <v>25776360</v>
      </c>
      <c r="J1202" s="2" t="s">
        <v>286</v>
      </c>
      <c r="K1202" s="2" t="s">
        <v>364</v>
      </c>
      <c r="L1202" s="2" t="str">
        <f>"63445071"</f>
        <v>63445071</v>
      </c>
      <c r="M1202" s="2" t="s">
        <v>31</v>
      </c>
      <c r="N1202" s="18">
        <v>31925</v>
      </c>
      <c r="O1202" s="2" t="s">
        <v>716</v>
      </c>
    </row>
    <row r="1203" spans="1:15" s="2" customFormat="1" x14ac:dyDescent="0.25">
      <c r="A1203" s="2">
        <v>1203</v>
      </c>
      <c r="B1203" s="2">
        <v>2</v>
      </c>
      <c r="C1203" s="2">
        <v>61</v>
      </c>
      <c r="D1203" s="2">
        <v>1</v>
      </c>
      <c r="E1203" s="2">
        <v>5</v>
      </c>
      <c r="G1203" s="2">
        <v>1</v>
      </c>
      <c r="H1203" s="2">
        <v>39</v>
      </c>
      <c r="I1203" s="2">
        <v>25776361</v>
      </c>
      <c r="J1203" s="2" t="s">
        <v>286</v>
      </c>
      <c r="K1203" s="2" t="s">
        <v>364</v>
      </c>
      <c r="L1203" s="2" t="str">
        <f>"63445072"</f>
        <v>63445072</v>
      </c>
      <c r="M1203" s="2" t="s">
        <v>31</v>
      </c>
      <c r="N1203" s="18">
        <v>31926</v>
      </c>
      <c r="O1203" s="2" t="s">
        <v>716</v>
      </c>
    </row>
    <row r="1204" spans="1:15" s="2" customFormat="1" x14ac:dyDescent="0.25">
      <c r="A1204" s="2">
        <v>1204</v>
      </c>
      <c r="B1204" s="2">
        <v>2</v>
      </c>
      <c r="C1204" s="2">
        <v>61</v>
      </c>
      <c r="D1204" s="2">
        <v>1</v>
      </c>
      <c r="E1204" s="2">
        <v>5</v>
      </c>
      <c r="G1204" s="2">
        <v>1</v>
      </c>
      <c r="H1204" s="2">
        <v>39</v>
      </c>
      <c r="I1204" s="2">
        <v>25776362</v>
      </c>
      <c r="J1204" s="2" t="s">
        <v>286</v>
      </c>
      <c r="K1204" s="2" t="s">
        <v>364</v>
      </c>
      <c r="L1204" s="2" t="str">
        <f>"63445073"</f>
        <v>63445073</v>
      </c>
      <c r="M1204" s="2" t="s">
        <v>31</v>
      </c>
      <c r="N1204" s="18">
        <v>31927</v>
      </c>
      <c r="O1204" s="2" t="s">
        <v>716</v>
      </c>
    </row>
    <row r="1205" spans="1:15" s="2" customFormat="1" x14ac:dyDescent="0.25">
      <c r="A1205" s="2">
        <v>1205</v>
      </c>
      <c r="B1205" s="2">
        <v>2</v>
      </c>
      <c r="C1205" s="2">
        <v>61</v>
      </c>
      <c r="D1205" s="2">
        <v>1</v>
      </c>
      <c r="E1205" s="2">
        <v>5</v>
      </c>
      <c r="G1205" s="2">
        <v>1</v>
      </c>
      <c r="H1205" s="2">
        <v>39</v>
      </c>
      <c r="I1205" s="2">
        <v>25776363</v>
      </c>
      <c r="J1205" s="2" t="s">
        <v>286</v>
      </c>
      <c r="K1205" s="2" t="s">
        <v>364</v>
      </c>
      <c r="L1205" s="2" t="str">
        <f>"63445074"</f>
        <v>63445074</v>
      </c>
      <c r="M1205" s="2" t="s">
        <v>31</v>
      </c>
      <c r="N1205" s="18">
        <v>31928</v>
      </c>
      <c r="O1205" s="2" t="s">
        <v>716</v>
      </c>
    </row>
    <row r="1206" spans="1:15" s="2" customFormat="1" x14ac:dyDescent="0.25">
      <c r="A1206" s="2">
        <v>1206</v>
      </c>
      <c r="B1206" s="2">
        <v>2</v>
      </c>
      <c r="C1206" s="2">
        <v>61</v>
      </c>
      <c r="D1206" s="2">
        <v>1</v>
      </c>
      <c r="E1206" s="2">
        <v>5</v>
      </c>
      <c r="G1206" s="2">
        <v>1</v>
      </c>
      <c r="H1206" s="2">
        <v>39</v>
      </c>
      <c r="I1206" s="2">
        <v>25776364</v>
      </c>
      <c r="J1206" s="2" t="s">
        <v>286</v>
      </c>
      <c r="K1206" s="2" t="s">
        <v>364</v>
      </c>
      <c r="L1206" s="2" t="str">
        <f>"63445075"</f>
        <v>63445075</v>
      </c>
      <c r="M1206" s="2" t="s">
        <v>31</v>
      </c>
      <c r="N1206" s="18">
        <v>31929</v>
      </c>
      <c r="O1206" s="2" t="s">
        <v>716</v>
      </c>
    </row>
    <row r="1207" spans="1:15" s="2" customFormat="1" x14ac:dyDescent="0.25">
      <c r="A1207" s="2">
        <v>1207</v>
      </c>
      <c r="B1207" s="2">
        <v>2</v>
      </c>
      <c r="C1207" s="2">
        <v>61</v>
      </c>
      <c r="D1207" s="2">
        <v>1</v>
      </c>
      <c r="E1207" s="2">
        <v>5</v>
      </c>
      <c r="G1207" s="2">
        <v>1</v>
      </c>
      <c r="H1207" s="2">
        <v>39</v>
      </c>
      <c r="I1207" s="2">
        <v>25776365</v>
      </c>
      <c r="J1207" s="2" t="s">
        <v>286</v>
      </c>
      <c r="K1207" s="2" t="s">
        <v>364</v>
      </c>
      <c r="L1207" s="2" t="str">
        <f>"63445076"</f>
        <v>63445076</v>
      </c>
      <c r="M1207" s="2" t="s">
        <v>31</v>
      </c>
      <c r="N1207" s="18">
        <v>31930</v>
      </c>
      <c r="O1207" s="2" t="s">
        <v>716</v>
      </c>
    </row>
    <row r="1208" spans="1:15" s="2" customFormat="1" x14ac:dyDescent="0.25">
      <c r="A1208" s="2">
        <v>1208</v>
      </c>
      <c r="B1208" s="2">
        <v>2</v>
      </c>
      <c r="C1208" s="2">
        <v>61</v>
      </c>
      <c r="D1208" s="2">
        <v>1</v>
      </c>
      <c r="E1208" s="2">
        <v>5</v>
      </c>
      <c r="G1208" s="2">
        <v>1</v>
      </c>
      <c r="H1208" s="2">
        <v>39</v>
      </c>
      <c r="I1208" s="2">
        <v>25776366</v>
      </c>
      <c r="J1208" s="2" t="s">
        <v>286</v>
      </c>
      <c r="K1208" s="2" t="s">
        <v>364</v>
      </c>
      <c r="L1208" s="2" t="str">
        <f>"63445077"</f>
        <v>63445077</v>
      </c>
      <c r="M1208" s="2" t="s">
        <v>31</v>
      </c>
      <c r="N1208" s="18">
        <v>31931</v>
      </c>
      <c r="O1208" s="2" t="s">
        <v>716</v>
      </c>
    </row>
    <row r="1209" spans="1:15" s="2" customFormat="1" x14ac:dyDescent="0.25">
      <c r="A1209" s="2">
        <v>1209</v>
      </c>
      <c r="B1209" s="2">
        <v>2</v>
      </c>
      <c r="C1209" s="2">
        <v>61</v>
      </c>
      <c r="D1209" s="2">
        <v>1</v>
      </c>
      <c r="E1209" s="2">
        <v>5</v>
      </c>
      <c r="G1209" s="2">
        <v>1</v>
      </c>
      <c r="H1209" s="2">
        <v>39</v>
      </c>
      <c r="I1209" s="2">
        <v>25776367</v>
      </c>
      <c r="J1209" s="2" t="s">
        <v>286</v>
      </c>
      <c r="K1209" s="2" t="s">
        <v>364</v>
      </c>
      <c r="L1209" s="2" t="str">
        <f>"63445078"</f>
        <v>63445078</v>
      </c>
      <c r="M1209" s="2" t="s">
        <v>31</v>
      </c>
      <c r="N1209" s="18">
        <v>31932</v>
      </c>
      <c r="O1209" s="2" t="s">
        <v>716</v>
      </c>
    </row>
    <row r="1210" spans="1:15" s="2" customFormat="1" x14ac:dyDescent="0.25">
      <c r="A1210" s="2">
        <v>1210</v>
      </c>
      <c r="B1210" s="2">
        <v>2</v>
      </c>
      <c r="C1210" s="2">
        <v>61</v>
      </c>
      <c r="D1210" s="2">
        <v>1</v>
      </c>
      <c r="E1210" s="2">
        <v>5</v>
      </c>
      <c r="G1210" s="2">
        <v>1</v>
      </c>
      <c r="H1210" s="2">
        <v>39</v>
      </c>
      <c r="I1210" s="2">
        <v>25776368</v>
      </c>
      <c r="J1210" s="2" t="s">
        <v>286</v>
      </c>
      <c r="K1210" s="2" t="s">
        <v>364</v>
      </c>
      <c r="L1210" s="2" t="str">
        <f>"63445079"</f>
        <v>63445079</v>
      </c>
      <c r="M1210" s="2" t="s">
        <v>31</v>
      </c>
      <c r="N1210" s="18">
        <v>31933</v>
      </c>
      <c r="O1210" s="2" t="s">
        <v>716</v>
      </c>
    </row>
    <row r="1211" spans="1:15" s="2" customFormat="1" x14ac:dyDescent="0.25">
      <c r="A1211" s="2">
        <v>1211</v>
      </c>
      <c r="B1211" s="2">
        <v>2</v>
      </c>
      <c r="C1211" s="2">
        <v>61</v>
      </c>
      <c r="D1211" s="2">
        <v>1</v>
      </c>
      <c r="E1211" s="2">
        <v>5</v>
      </c>
      <c r="G1211" s="2">
        <v>1</v>
      </c>
      <c r="H1211" s="2">
        <v>39</v>
      </c>
      <c r="I1211" s="2">
        <v>25776369</v>
      </c>
      <c r="J1211" s="2" t="s">
        <v>286</v>
      </c>
      <c r="K1211" s="2" t="s">
        <v>364</v>
      </c>
      <c r="L1211" s="2" t="str">
        <f>"63445080"</f>
        <v>63445080</v>
      </c>
      <c r="M1211" s="2" t="s">
        <v>31</v>
      </c>
      <c r="N1211" s="18">
        <v>31934</v>
      </c>
      <c r="O1211" s="2" t="s">
        <v>716</v>
      </c>
    </row>
    <row r="1212" spans="1:15" s="2" customFormat="1" x14ac:dyDescent="0.25">
      <c r="A1212" s="2">
        <v>1212</v>
      </c>
      <c r="B1212" s="2">
        <v>2</v>
      </c>
      <c r="C1212" s="2">
        <v>61</v>
      </c>
      <c r="D1212" s="2">
        <v>1</v>
      </c>
      <c r="E1212" s="2">
        <v>5</v>
      </c>
      <c r="G1212" s="2">
        <v>1</v>
      </c>
      <c r="H1212" s="2">
        <v>39</v>
      </c>
      <c r="I1212" s="2">
        <v>25776370</v>
      </c>
      <c r="J1212" s="2" t="s">
        <v>286</v>
      </c>
      <c r="K1212" s="2" t="s">
        <v>364</v>
      </c>
      <c r="L1212" s="2" t="str">
        <f>"63445081"</f>
        <v>63445081</v>
      </c>
      <c r="M1212" s="2" t="s">
        <v>31</v>
      </c>
      <c r="N1212" s="18">
        <v>31935</v>
      </c>
      <c r="O1212" s="2" t="s">
        <v>716</v>
      </c>
    </row>
    <row r="1213" spans="1:15" s="2" customFormat="1" x14ac:dyDescent="0.25">
      <c r="A1213" s="2">
        <v>1213</v>
      </c>
      <c r="B1213" s="2">
        <v>2</v>
      </c>
      <c r="C1213" s="2">
        <v>61</v>
      </c>
      <c r="D1213" s="2">
        <v>1</v>
      </c>
      <c r="E1213" s="2">
        <v>5</v>
      </c>
      <c r="G1213" s="2">
        <v>1</v>
      </c>
      <c r="H1213" s="2">
        <v>39</v>
      </c>
      <c r="I1213" s="2">
        <v>25776371</v>
      </c>
      <c r="J1213" s="2" t="s">
        <v>286</v>
      </c>
      <c r="K1213" s="2" t="s">
        <v>364</v>
      </c>
      <c r="L1213" s="2" t="str">
        <f>"63445082"</f>
        <v>63445082</v>
      </c>
      <c r="M1213" s="2" t="s">
        <v>31</v>
      </c>
      <c r="N1213" s="18">
        <v>31936</v>
      </c>
      <c r="O1213" s="2" t="s">
        <v>716</v>
      </c>
    </row>
    <row r="1214" spans="1:15" s="2" customFormat="1" x14ac:dyDescent="0.25">
      <c r="A1214" s="2">
        <v>1214</v>
      </c>
      <c r="B1214" s="2">
        <v>2</v>
      </c>
      <c r="C1214" s="2">
        <v>76</v>
      </c>
      <c r="D1214" s="2">
        <v>1</v>
      </c>
      <c r="E1214" s="2">
        <v>13</v>
      </c>
      <c r="G1214" s="2">
        <v>1</v>
      </c>
      <c r="H1214" s="2">
        <v>39</v>
      </c>
      <c r="I1214" s="2">
        <v>26296107</v>
      </c>
      <c r="J1214" s="2" t="s">
        <v>283</v>
      </c>
      <c r="K1214" s="2" t="s">
        <v>350</v>
      </c>
      <c r="L1214" s="2" t="str">
        <f>"141010303"</f>
        <v>141010303</v>
      </c>
      <c r="M1214" s="2" t="s">
        <v>31</v>
      </c>
      <c r="N1214" s="18">
        <v>31937</v>
      </c>
      <c r="O1214" s="2" t="s">
        <v>723</v>
      </c>
    </row>
    <row r="1215" spans="1:15" s="2" customFormat="1" x14ac:dyDescent="0.25">
      <c r="A1215" s="2">
        <v>1215</v>
      </c>
      <c r="B1215" s="2">
        <v>2</v>
      </c>
      <c r="C1215" s="2">
        <v>76</v>
      </c>
      <c r="D1215" s="2">
        <v>1</v>
      </c>
      <c r="E1215" s="2">
        <v>13</v>
      </c>
      <c r="G1215" s="2">
        <v>1</v>
      </c>
      <c r="H1215" s="2">
        <v>39</v>
      </c>
      <c r="I1215" s="2">
        <v>26296108</v>
      </c>
      <c r="J1215" s="2" t="s">
        <v>283</v>
      </c>
      <c r="K1215" s="2" t="s">
        <v>350</v>
      </c>
      <c r="L1215" s="2" t="str">
        <f>"141010304"</f>
        <v>141010304</v>
      </c>
      <c r="M1215" s="2" t="s">
        <v>31</v>
      </c>
      <c r="N1215" s="18">
        <v>31938</v>
      </c>
      <c r="O1215" s="2" t="s">
        <v>723</v>
      </c>
    </row>
    <row r="1216" spans="1:15" s="2" customFormat="1" x14ac:dyDescent="0.25">
      <c r="A1216" s="2">
        <v>1216</v>
      </c>
      <c r="B1216" s="2">
        <v>2</v>
      </c>
      <c r="C1216" s="2">
        <v>76</v>
      </c>
      <c r="D1216" s="2">
        <v>1</v>
      </c>
      <c r="E1216" s="2">
        <v>13</v>
      </c>
      <c r="G1216" s="2">
        <v>1</v>
      </c>
      <c r="H1216" s="2">
        <v>39</v>
      </c>
      <c r="I1216" s="2">
        <v>26296105</v>
      </c>
      <c r="J1216" s="2" t="s">
        <v>283</v>
      </c>
      <c r="K1216" s="2" t="s">
        <v>350</v>
      </c>
      <c r="L1216" s="2" t="str">
        <f>"141010301"</f>
        <v>141010301</v>
      </c>
      <c r="M1216" s="2" t="s">
        <v>31</v>
      </c>
      <c r="N1216" s="18">
        <v>31939</v>
      </c>
      <c r="O1216" s="2" t="s">
        <v>724</v>
      </c>
    </row>
    <row r="1217" spans="1:15" s="2" customFormat="1" x14ac:dyDescent="0.25">
      <c r="A1217" s="2">
        <v>1217</v>
      </c>
      <c r="B1217" s="2">
        <v>2</v>
      </c>
      <c r="C1217" s="2">
        <v>76</v>
      </c>
      <c r="D1217" s="2">
        <v>1</v>
      </c>
      <c r="E1217" s="2">
        <v>13</v>
      </c>
      <c r="G1217" s="2">
        <v>1</v>
      </c>
      <c r="H1217" s="2">
        <v>39</v>
      </c>
      <c r="I1217" s="2">
        <v>26296106</v>
      </c>
      <c r="J1217" s="2" t="s">
        <v>283</v>
      </c>
      <c r="K1217" s="2" t="s">
        <v>350</v>
      </c>
      <c r="L1217" s="2" t="str">
        <f>"141010302"</f>
        <v>141010302</v>
      </c>
      <c r="M1217" s="2" t="s">
        <v>31</v>
      </c>
      <c r="N1217" s="18">
        <v>31940</v>
      </c>
      <c r="O1217" s="2" t="s">
        <v>723</v>
      </c>
    </row>
    <row r="1218" spans="1:15" s="2" customFormat="1" x14ac:dyDescent="0.25">
      <c r="A1218" s="2">
        <v>1218</v>
      </c>
      <c r="B1218" s="2">
        <v>2</v>
      </c>
      <c r="C1218" s="2">
        <v>76</v>
      </c>
      <c r="D1218" s="2">
        <v>1</v>
      </c>
      <c r="E1218" s="2">
        <v>13</v>
      </c>
      <c r="G1218" s="2">
        <v>1</v>
      </c>
      <c r="H1218" s="2">
        <v>39</v>
      </c>
      <c r="I1218" s="2">
        <v>26296109</v>
      </c>
      <c r="J1218" s="2" t="s">
        <v>283</v>
      </c>
      <c r="K1218" s="2" t="s">
        <v>350</v>
      </c>
      <c r="L1218" s="2" t="str">
        <f>"141010305"</f>
        <v>141010305</v>
      </c>
      <c r="M1218" s="2" t="s">
        <v>31</v>
      </c>
      <c r="N1218" s="18">
        <v>31941</v>
      </c>
      <c r="O1218" s="2" t="s">
        <v>723</v>
      </c>
    </row>
    <row r="1219" spans="1:15" s="2" customFormat="1" x14ac:dyDescent="0.25">
      <c r="A1219" s="2">
        <v>1219</v>
      </c>
      <c r="B1219" s="2">
        <v>2</v>
      </c>
      <c r="C1219" s="2">
        <v>76</v>
      </c>
      <c r="D1219" s="2">
        <v>1</v>
      </c>
      <c r="E1219" s="2">
        <v>13</v>
      </c>
      <c r="G1219" s="2">
        <v>1</v>
      </c>
      <c r="H1219" s="2">
        <v>39</v>
      </c>
      <c r="I1219" s="2">
        <v>26296110</v>
      </c>
      <c r="J1219" s="2" t="s">
        <v>283</v>
      </c>
      <c r="K1219" s="2" t="s">
        <v>350</v>
      </c>
      <c r="L1219" s="2" t="str">
        <f>"141010306"</f>
        <v>141010306</v>
      </c>
      <c r="M1219" s="2" t="s">
        <v>31</v>
      </c>
      <c r="N1219" s="18">
        <v>31942</v>
      </c>
      <c r="O1219" s="2" t="s">
        <v>723</v>
      </c>
    </row>
    <row r="1220" spans="1:15" s="2" customFormat="1" x14ac:dyDescent="0.25">
      <c r="A1220" s="2">
        <v>1220</v>
      </c>
      <c r="B1220" s="2">
        <v>2</v>
      </c>
      <c r="C1220" s="2">
        <v>76</v>
      </c>
      <c r="D1220" s="2">
        <v>1</v>
      </c>
      <c r="E1220" s="2">
        <v>13</v>
      </c>
      <c r="G1220" s="2">
        <v>1</v>
      </c>
      <c r="H1220" s="2">
        <v>39</v>
      </c>
      <c r="I1220" s="2">
        <v>26296111</v>
      </c>
      <c r="J1220" s="2" t="s">
        <v>283</v>
      </c>
      <c r="K1220" s="2" t="s">
        <v>350</v>
      </c>
      <c r="L1220" s="2" t="str">
        <f>"141010307"</f>
        <v>141010307</v>
      </c>
      <c r="M1220" s="2" t="s">
        <v>31</v>
      </c>
      <c r="N1220" s="18">
        <v>31943</v>
      </c>
      <c r="O1220" s="2" t="s">
        <v>723</v>
      </c>
    </row>
    <row r="1221" spans="1:15" s="2" customFormat="1" x14ac:dyDescent="0.25">
      <c r="A1221" s="2">
        <v>1221</v>
      </c>
      <c r="B1221" s="2">
        <v>2</v>
      </c>
      <c r="C1221" s="2">
        <v>76</v>
      </c>
      <c r="D1221" s="2">
        <v>1</v>
      </c>
      <c r="E1221" s="2">
        <v>13</v>
      </c>
      <c r="G1221" s="2">
        <v>1</v>
      </c>
      <c r="H1221" s="2">
        <v>39</v>
      </c>
      <c r="I1221" s="2">
        <v>26296112</v>
      </c>
      <c r="J1221" s="2" t="s">
        <v>283</v>
      </c>
      <c r="K1221" s="2" t="s">
        <v>350</v>
      </c>
      <c r="L1221" s="2" t="str">
        <f>"141010308"</f>
        <v>141010308</v>
      </c>
      <c r="M1221" s="2" t="s">
        <v>31</v>
      </c>
      <c r="N1221" s="18">
        <v>31944</v>
      </c>
      <c r="O1221" s="2" t="s">
        <v>723</v>
      </c>
    </row>
    <row r="1222" spans="1:15" s="2" customFormat="1" x14ac:dyDescent="0.25">
      <c r="A1222" s="2">
        <v>1222</v>
      </c>
      <c r="B1222" s="2">
        <v>2</v>
      </c>
      <c r="C1222" s="2">
        <v>76</v>
      </c>
      <c r="D1222" s="2">
        <v>1</v>
      </c>
      <c r="E1222" s="2">
        <v>13</v>
      </c>
      <c r="G1222" s="2">
        <v>1</v>
      </c>
      <c r="H1222" s="2">
        <v>39</v>
      </c>
      <c r="I1222" s="2">
        <v>26296113</v>
      </c>
      <c r="J1222" s="2" t="s">
        <v>283</v>
      </c>
      <c r="K1222" s="2" t="s">
        <v>350</v>
      </c>
      <c r="L1222" s="2" t="str">
        <f>"141010309"</f>
        <v>141010309</v>
      </c>
      <c r="M1222" s="2" t="s">
        <v>31</v>
      </c>
      <c r="N1222" s="18">
        <v>31945</v>
      </c>
      <c r="O1222" s="2" t="s">
        <v>723</v>
      </c>
    </row>
    <row r="1223" spans="1:15" s="2" customFormat="1" x14ac:dyDescent="0.25">
      <c r="A1223" s="2">
        <v>1223</v>
      </c>
      <c r="B1223" s="2">
        <v>2</v>
      </c>
      <c r="C1223" s="2">
        <v>76</v>
      </c>
      <c r="D1223" s="2">
        <v>1</v>
      </c>
      <c r="E1223" s="2">
        <v>13</v>
      </c>
      <c r="G1223" s="2">
        <v>1</v>
      </c>
      <c r="H1223" s="2">
        <v>39</v>
      </c>
      <c r="I1223" s="2">
        <v>26296114</v>
      </c>
      <c r="J1223" s="2" t="s">
        <v>283</v>
      </c>
      <c r="K1223" s="2" t="s">
        <v>350</v>
      </c>
      <c r="L1223" s="2" t="str">
        <f>"141010310"</f>
        <v>141010310</v>
      </c>
      <c r="M1223" s="2" t="s">
        <v>31</v>
      </c>
      <c r="N1223" s="18">
        <v>31946</v>
      </c>
      <c r="O1223" s="2" t="s">
        <v>723</v>
      </c>
    </row>
    <row r="1224" spans="1:15" s="2" customFormat="1" x14ac:dyDescent="0.25">
      <c r="A1224" s="2">
        <v>1224</v>
      </c>
      <c r="B1224" s="2">
        <v>2</v>
      </c>
      <c r="C1224" s="2">
        <v>76</v>
      </c>
      <c r="D1224" s="2">
        <v>1</v>
      </c>
      <c r="E1224" s="2">
        <v>13</v>
      </c>
      <c r="G1224" s="2">
        <v>1</v>
      </c>
      <c r="H1224" s="2">
        <v>39</v>
      </c>
      <c r="I1224" s="2">
        <v>26296115</v>
      </c>
      <c r="J1224" s="2" t="s">
        <v>283</v>
      </c>
      <c r="K1224" s="2" t="s">
        <v>350</v>
      </c>
      <c r="L1224" s="2" t="str">
        <f>"141010311"</f>
        <v>141010311</v>
      </c>
      <c r="M1224" s="2" t="s">
        <v>31</v>
      </c>
      <c r="N1224" s="18">
        <v>31947</v>
      </c>
      <c r="O1224" s="2" t="s">
        <v>723</v>
      </c>
    </row>
    <row r="1225" spans="1:15" s="2" customFormat="1" x14ac:dyDescent="0.25">
      <c r="A1225" s="2">
        <v>1225</v>
      </c>
      <c r="B1225" s="2">
        <v>2</v>
      </c>
      <c r="C1225" s="2">
        <v>76</v>
      </c>
      <c r="D1225" s="2">
        <v>1</v>
      </c>
      <c r="E1225" s="2">
        <v>13</v>
      </c>
      <c r="G1225" s="2">
        <v>1</v>
      </c>
      <c r="H1225" s="2">
        <v>39</v>
      </c>
      <c r="I1225" s="2">
        <v>26296116</v>
      </c>
      <c r="J1225" s="2" t="s">
        <v>283</v>
      </c>
      <c r="K1225" s="2" t="s">
        <v>350</v>
      </c>
      <c r="L1225" s="2" t="str">
        <f>"141010312"</f>
        <v>141010312</v>
      </c>
      <c r="M1225" s="2" t="s">
        <v>31</v>
      </c>
      <c r="N1225" s="18">
        <v>31948</v>
      </c>
      <c r="O1225" s="2" t="s">
        <v>723</v>
      </c>
    </row>
    <row r="1226" spans="1:15" s="2" customFormat="1" x14ac:dyDescent="0.25">
      <c r="A1226" s="2">
        <v>1226</v>
      </c>
      <c r="B1226" s="2">
        <v>2</v>
      </c>
      <c r="C1226" s="2">
        <v>76</v>
      </c>
      <c r="D1226" s="2">
        <v>1</v>
      </c>
      <c r="E1226" s="2">
        <v>13</v>
      </c>
      <c r="G1226" s="2">
        <v>1</v>
      </c>
      <c r="H1226" s="2">
        <v>39</v>
      </c>
      <c r="I1226" s="2">
        <v>26296117</v>
      </c>
      <c r="J1226" s="2" t="s">
        <v>283</v>
      </c>
      <c r="K1226" s="2" t="s">
        <v>350</v>
      </c>
      <c r="L1226" s="2" t="str">
        <f>"141010313"</f>
        <v>141010313</v>
      </c>
      <c r="M1226" s="2" t="s">
        <v>31</v>
      </c>
      <c r="N1226" s="18">
        <v>31949</v>
      </c>
      <c r="O1226" s="2" t="s">
        <v>723</v>
      </c>
    </row>
    <row r="1227" spans="1:15" s="2" customFormat="1" x14ac:dyDescent="0.25">
      <c r="A1227" s="2">
        <v>1227</v>
      </c>
      <c r="B1227" s="2">
        <v>2</v>
      </c>
      <c r="C1227" s="2">
        <v>76</v>
      </c>
      <c r="D1227" s="2">
        <v>1</v>
      </c>
      <c r="E1227" s="2">
        <v>13</v>
      </c>
      <c r="G1227" s="2">
        <v>1</v>
      </c>
      <c r="H1227" s="2">
        <v>39</v>
      </c>
      <c r="I1227" s="2">
        <v>26296118</v>
      </c>
      <c r="J1227" s="2" t="s">
        <v>283</v>
      </c>
      <c r="K1227" s="2" t="s">
        <v>350</v>
      </c>
      <c r="L1227" s="2" t="str">
        <f>"141010314"</f>
        <v>141010314</v>
      </c>
      <c r="M1227" s="2" t="s">
        <v>31</v>
      </c>
      <c r="N1227" s="18">
        <v>31950</v>
      </c>
      <c r="O1227" s="2" t="s">
        <v>723</v>
      </c>
    </row>
    <row r="1228" spans="1:15" s="2" customFormat="1" x14ac:dyDescent="0.25">
      <c r="A1228" s="2">
        <v>1228</v>
      </c>
      <c r="B1228" s="2">
        <v>2</v>
      </c>
      <c r="C1228" s="2">
        <v>76</v>
      </c>
      <c r="D1228" s="2">
        <v>1</v>
      </c>
      <c r="E1228" s="2">
        <v>13</v>
      </c>
      <c r="G1228" s="2">
        <v>1</v>
      </c>
      <c r="H1228" s="2">
        <v>39</v>
      </c>
      <c r="I1228" s="2">
        <v>26296119</v>
      </c>
      <c r="J1228" s="2" t="s">
        <v>283</v>
      </c>
      <c r="K1228" s="2" t="s">
        <v>350</v>
      </c>
      <c r="L1228" s="2" t="str">
        <f>"141010315"</f>
        <v>141010315</v>
      </c>
      <c r="M1228" s="2" t="s">
        <v>31</v>
      </c>
      <c r="N1228" s="18">
        <v>31951</v>
      </c>
      <c r="O1228" s="2" t="s">
        <v>723</v>
      </c>
    </row>
    <row r="1229" spans="1:15" s="2" customFormat="1" x14ac:dyDescent="0.25">
      <c r="A1229" s="2">
        <v>1229</v>
      </c>
      <c r="B1229" s="2">
        <v>2</v>
      </c>
      <c r="C1229" s="2">
        <v>76</v>
      </c>
      <c r="D1229" s="2">
        <v>1</v>
      </c>
      <c r="E1229" s="2">
        <v>13</v>
      </c>
      <c r="G1229" s="2">
        <v>1</v>
      </c>
      <c r="H1229" s="2">
        <v>39</v>
      </c>
      <c r="I1229" s="2">
        <v>26296120</v>
      </c>
      <c r="J1229" s="2" t="s">
        <v>283</v>
      </c>
      <c r="K1229" s="2" t="s">
        <v>350</v>
      </c>
      <c r="L1229" s="2" t="str">
        <f>"141010316"</f>
        <v>141010316</v>
      </c>
      <c r="M1229" s="2" t="s">
        <v>31</v>
      </c>
      <c r="N1229" s="18">
        <v>31952</v>
      </c>
      <c r="O1229" s="2" t="s">
        <v>723</v>
      </c>
    </row>
    <row r="1230" spans="1:15" s="2" customFormat="1" x14ac:dyDescent="0.25">
      <c r="A1230" s="2">
        <v>1230</v>
      </c>
      <c r="B1230" s="2">
        <v>2</v>
      </c>
      <c r="C1230" s="2">
        <v>76</v>
      </c>
      <c r="D1230" s="2">
        <v>1</v>
      </c>
      <c r="E1230" s="2">
        <v>13</v>
      </c>
      <c r="G1230" s="2">
        <v>1</v>
      </c>
      <c r="H1230" s="2">
        <v>39</v>
      </c>
      <c r="I1230" s="2">
        <v>26296121</v>
      </c>
      <c r="J1230" s="2" t="s">
        <v>283</v>
      </c>
      <c r="K1230" s="2" t="s">
        <v>350</v>
      </c>
      <c r="L1230" s="2" t="str">
        <f>"141010317"</f>
        <v>141010317</v>
      </c>
      <c r="M1230" s="2" t="s">
        <v>31</v>
      </c>
      <c r="N1230" s="18">
        <v>31953</v>
      </c>
      <c r="O1230" s="2" t="s">
        <v>723</v>
      </c>
    </row>
    <row r="1231" spans="1:15" s="2" customFormat="1" x14ac:dyDescent="0.25">
      <c r="A1231" s="2">
        <v>1231</v>
      </c>
      <c r="B1231" s="2">
        <v>2</v>
      </c>
      <c r="C1231" s="2">
        <v>76</v>
      </c>
      <c r="D1231" s="2">
        <v>1</v>
      </c>
      <c r="E1231" s="2">
        <v>13</v>
      </c>
      <c r="G1231" s="2">
        <v>1</v>
      </c>
      <c r="H1231" s="2">
        <v>39</v>
      </c>
      <c r="I1231" s="2">
        <v>26296122</v>
      </c>
      <c r="J1231" s="2" t="s">
        <v>283</v>
      </c>
      <c r="K1231" s="2" t="s">
        <v>350</v>
      </c>
      <c r="L1231" s="2" t="str">
        <f>"141010318"</f>
        <v>141010318</v>
      </c>
      <c r="M1231" s="2" t="s">
        <v>31</v>
      </c>
      <c r="N1231" s="18">
        <v>31954</v>
      </c>
      <c r="O1231" s="2" t="s">
        <v>723</v>
      </c>
    </row>
    <row r="1232" spans="1:15" s="2" customFormat="1" x14ac:dyDescent="0.25">
      <c r="A1232" s="2">
        <v>1232</v>
      </c>
      <c r="B1232" s="2">
        <v>2</v>
      </c>
      <c r="C1232" s="2">
        <v>76</v>
      </c>
      <c r="D1232" s="2">
        <v>1</v>
      </c>
      <c r="E1232" s="2">
        <v>13</v>
      </c>
      <c r="G1232" s="2">
        <v>1</v>
      </c>
      <c r="H1232" s="2">
        <v>39</v>
      </c>
      <c r="I1232" s="2">
        <v>26296123</v>
      </c>
      <c r="J1232" s="2" t="s">
        <v>283</v>
      </c>
      <c r="K1232" s="2" t="s">
        <v>350</v>
      </c>
      <c r="L1232" s="2" t="str">
        <f>"141010319"</f>
        <v>141010319</v>
      </c>
      <c r="M1232" s="2" t="s">
        <v>31</v>
      </c>
      <c r="N1232" s="18">
        <v>31955</v>
      </c>
      <c r="O1232" s="2" t="s">
        <v>723</v>
      </c>
    </row>
    <row r="1233" spans="1:15" s="2" customFormat="1" x14ac:dyDescent="0.25">
      <c r="A1233" s="2">
        <v>1233</v>
      </c>
      <c r="B1233" s="2">
        <v>2</v>
      </c>
      <c r="C1233" s="2">
        <v>76</v>
      </c>
      <c r="D1233" s="2">
        <v>1</v>
      </c>
      <c r="E1233" s="2">
        <v>13</v>
      </c>
      <c r="G1233" s="2">
        <v>1</v>
      </c>
      <c r="H1233" s="2">
        <v>39</v>
      </c>
      <c r="I1233" s="2">
        <v>26296124</v>
      </c>
      <c r="J1233" s="2" t="s">
        <v>283</v>
      </c>
      <c r="K1233" s="2" t="s">
        <v>350</v>
      </c>
      <c r="L1233" s="2" t="str">
        <f>"141010320"</f>
        <v>141010320</v>
      </c>
      <c r="M1233" s="2" t="s">
        <v>31</v>
      </c>
      <c r="N1233" s="18">
        <v>31956</v>
      </c>
      <c r="O1233" s="2" t="s">
        <v>723</v>
      </c>
    </row>
    <row r="1234" spans="1:15" s="2" customFormat="1" x14ac:dyDescent="0.25">
      <c r="A1234" s="2">
        <v>1234</v>
      </c>
      <c r="B1234" s="2">
        <v>2</v>
      </c>
      <c r="C1234" s="2">
        <v>76</v>
      </c>
      <c r="D1234" s="2">
        <v>1</v>
      </c>
      <c r="E1234" s="2">
        <v>13</v>
      </c>
      <c r="G1234" s="2">
        <v>1</v>
      </c>
      <c r="H1234" s="2">
        <v>39</v>
      </c>
      <c r="I1234" s="2">
        <v>26296125</v>
      </c>
      <c r="J1234" s="2" t="s">
        <v>283</v>
      </c>
      <c r="K1234" s="2" t="s">
        <v>350</v>
      </c>
      <c r="L1234" s="2" t="str">
        <f>"141010321"</f>
        <v>141010321</v>
      </c>
      <c r="M1234" s="2" t="s">
        <v>31</v>
      </c>
      <c r="N1234" s="18">
        <v>31957</v>
      </c>
      <c r="O1234" s="2" t="s">
        <v>723</v>
      </c>
    </row>
    <row r="1235" spans="1:15" s="2" customFormat="1" x14ac:dyDescent="0.25">
      <c r="A1235" s="2">
        <v>1235</v>
      </c>
      <c r="B1235" s="2">
        <v>2</v>
      </c>
      <c r="C1235" s="2">
        <v>76</v>
      </c>
      <c r="D1235" s="2">
        <v>1</v>
      </c>
      <c r="E1235" s="2">
        <v>13</v>
      </c>
      <c r="G1235" s="2">
        <v>1</v>
      </c>
      <c r="H1235" s="2">
        <v>39</v>
      </c>
      <c r="I1235" s="2">
        <v>26296126</v>
      </c>
      <c r="J1235" s="2" t="s">
        <v>283</v>
      </c>
      <c r="K1235" s="2" t="s">
        <v>350</v>
      </c>
      <c r="L1235" s="2" t="str">
        <f>"141010322"</f>
        <v>141010322</v>
      </c>
      <c r="M1235" s="2" t="s">
        <v>31</v>
      </c>
      <c r="N1235" s="18">
        <v>31958</v>
      </c>
      <c r="O1235" s="2" t="s">
        <v>723</v>
      </c>
    </row>
    <row r="1236" spans="1:15" s="2" customFormat="1" x14ac:dyDescent="0.25">
      <c r="A1236" s="2">
        <v>1236</v>
      </c>
      <c r="B1236" s="2">
        <v>2</v>
      </c>
      <c r="C1236" s="2">
        <v>76</v>
      </c>
      <c r="D1236" s="2">
        <v>1</v>
      </c>
      <c r="E1236" s="2">
        <v>13</v>
      </c>
      <c r="G1236" s="2">
        <v>1</v>
      </c>
      <c r="H1236" s="2">
        <v>39</v>
      </c>
      <c r="I1236" s="2">
        <v>26296127</v>
      </c>
      <c r="J1236" s="2" t="s">
        <v>283</v>
      </c>
      <c r="K1236" s="2" t="s">
        <v>350</v>
      </c>
      <c r="L1236" s="2" t="str">
        <f>"141010323"</f>
        <v>141010323</v>
      </c>
      <c r="M1236" s="2" t="s">
        <v>31</v>
      </c>
      <c r="N1236" s="18">
        <v>31959</v>
      </c>
      <c r="O1236" s="2" t="s">
        <v>723</v>
      </c>
    </row>
    <row r="1237" spans="1:15" s="2" customFormat="1" x14ac:dyDescent="0.25">
      <c r="A1237" s="2">
        <v>1237</v>
      </c>
      <c r="B1237" s="2">
        <v>2</v>
      </c>
      <c r="C1237" s="2">
        <v>76</v>
      </c>
      <c r="D1237" s="2">
        <v>1</v>
      </c>
      <c r="E1237" s="2">
        <v>13</v>
      </c>
      <c r="G1237" s="2">
        <v>1</v>
      </c>
      <c r="H1237" s="2">
        <v>39</v>
      </c>
      <c r="I1237" s="2">
        <v>26296128</v>
      </c>
      <c r="J1237" s="2" t="s">
        <v>283</v>
      </c>
      <c r="K1237" s="2" t="s">
        <v>350</v>
      </c>
      <c r="L1237" s="2" t="str">
        <f>"141010324"</f>
        <v>141010324</v>
      </c>
      <c r="M1237" s="2" t="s">
        <v>31</v>
      </c>
      <c r="N1237" s="18">
        <v>31960</v>
      </c>
      <c r="O1237" s="2" t="s">
        <v>723</v>
      </c>
    </row>
    <row r="1238" spans="1:15" s="2" customFormat="1" x14ac:dyDescent="0.25">
      <c r="A1238" s="2">
        <v>1238</v>
      </c>
      <c r="B1238" s="2">
        <v>2</v>
      </c>
      <c r="C1238" s="2">
        <v>76</v>
      </c>
      <c r="D1238" s="2">
        <v>1</v>
      </c>
      <c r="E1238" s="2">
        <v>13</v>
      </c>
      <c r="G1238" s="2">
        <v>1</v>
      </c>
      <c r="H1238" s="2">
        <v>39</v>
      </c>
      <c r="I1238" s="2">
        <v>26296129</v>
      </c>
      <c r="J1238" s="2" t="s">
        <v>283</v>
      </c>
      <c r="K1238" s="2" t="s">
        <v>350</v>
      </c>
      <c r="L1238" s="2" t="str">
        <f>"141010325"</f>
        <v>141010325</v>
      </c>
      <c r="M1238" s="2" t="s">
        <v>31</v>
      </c>
      <c r="N1238" s="18">
        <v>31961</v>
      </c>
      <c r="O1238" s="2" t="s">
        <v>723</v>
      </c>
    </row>
    <row r="1239" spans="1:15" s="2" customFormat="1" x14ac:dyDescent="0.25">
      <c r="A1239" s="2">
        <v>1239</v>
      </c>
      <c r="B1239" s="2">
        <v>2</v>
      </c>
      <c r="C1239" s="2">
        <v>76</v>
      </c>
      <c r="D1239" s="2">
        <v>1</v>
      </c>
      <c r="E1239" s="2">
        <v>13</v>
      </c>
      <c r="G1239" s="2">
        <v>1</v>
      </c>
      <c r="H1239" s="2">
        <v>39</v>
      </c>
      <c r="I1239" s="2">
        <v>26296130</v>
      </c>
      <c r="J1239" s="2" t="s">
        <v>283</v>
      </c>
      <c r="K1239" s="2" t="s">
        <v>350</v>
      </c>
      <c r="L1239" s="2" t="str">
        <f>"141010326"</f>
        <v>141010326</v>
      </c>
      <c r="M1239" s="2" t="s">
        <v>31</v>
      </c>
      <c r="N1239" s="18">
        <v>31962</v>
      </c>
      <c r="O1239" s="2" t="s">
        <v>723</v>
      </c>
    </row>
    <row r="1240" spans="1:15" s="2" customFormat="1" x14ac:dyDescent="0.25">
      <c r="A1240" s="2">
        <v>1240</v>
      </c>
      <c r="B1240" s="2">
        <v>2</v>
      </c>
      <c r="C1240" s="2">
        <v>76</v>
      </c>
      <c r="D1240" s="2">
        <v>1</v>
      </c>
      <c r="E1240" s="2">
        <v>13</v>
      </c>
      <c r="G1240" s="2">
        <v>1</v>
      </c>
      <c r="H1240" s="2">
        <v>39</v>
      </c>
      <c r="I1240" s="2">
        <v>26296131</v>
      </c>
      <c r="J1240" s="2" t="s">
        <v>283</v>
      </c>
      <c r="K1240" s="2" t="s">
        <v>350</v>
      </c>
      <c r="L1240" s="2" t="str">
        <f>"141010327"</f>
        <v>141010327</v>
      </c>
      <c r="M1240" s="2" t="s">
        <v>31</v>
      </c>
      <c r="N1240" s="18">
        <v>31963</v>
      </c>
      <c r="O1240" s="2" t="s">
        <v>723</v>
      </c>
    </row>
    <row r="1241" spans="1:15" s="2" customFormat="1" x14ac:dyDescent="0.25">
      <c r="A1241" s="2">
        <v>1241</v>
      </c>
      <c r="B1241" s="2">
        <v>2</v>
      </c>
      <c r="C1241" s="2">
        <v>76</v>
      </c>
      <c r="D1241" s="2">
        <v>1</v>
      </c>
      <c r="E1241" s="2">
        <v>13</v>
      </c>
      <c r="G1241" s="2">
        <v>1</v>
      </c>
      <c r="H1241" s="2">
        <v>39</v>
      </c>
      <c r="I1241" s="2">
        <v>26296132</v>
      </c>
      <c r="J1241" s="2" t="s">
        <v>283</v>
      </c>
      <c r="K1241" s="2" t="s">
        <v>350</v>
      </c>
      <c r="L1241" s="2" t="str">
        <f>"141010328"</f>
        <v>141010328</v>
      </c>
      <c r="M1241" s="2" t="s">
        <v>31</v>
      </c>
      <c r="N1241" s="18">
        <v>31964</v>
      </c>
      <c r="O1241" s="2" t="s">
        <v>723</v>
      </c>
    </row>
    <row r="1242" spans="1:15" s="2" customFormat="1" x14ac:dyDescent="0.25">
      <c r="A1242" s="2">
        <v>1242</v>
      </c>
      <c r="B1242" s="2">
        <v>2</v>
      </c>
      <c r="C1242" s="2">
        <v>76</v>
      </c>
      <c r="D1242" s="2">
        <v>1</v>
      </c>
      <c r="E1242" s="2">
        <v>13</v>
      </c>
      <c r="G1242" s="2">
        <v>1</v>
      </c>
      <c r="H1242" s="2">
        <v>39</v>
      </c>
      <c r="I1242" s="2">
        <v>26296133</v>
      </c>
      <c r="J1242" s="2" t="s">
        <v>283</v>
      </c>
      <c r="K1242" s="2" t="s">
        <v>350</v>
      </c>
      <c r="L1242" s="2" t="str">
        <f>"141010329"</f>
        <v>141010329</v>
      </c>
      <c r="M1242" s="2" t="s">
        <v>31</v>
      </c>
      <c r="N1242" s="18">
        <v>31965</v>
      </c>
      <c r="O1242" s="2" t="s">
        <v>723</v>
      </c>
    </row>
    <row r="1243" spans="1:15" s="2" customFormat="1" x14ac:dyDescent="0.25">
      <c r="A1243" s="2">
        <v>1243</v>
      </c>
      <c r="B1243" s="2">
        <v>2</v>
      </c>
      <c r="C1243" s="2">
        <v>76</v>
      </c>
      <c r="D1243" s="2">
        <v>1</v>
      </c>
      <c r="E1243" s="2">
        <v>13</v>
      </c>
      <c r="G1243" s="2">
        <v>1</v>
      </c>
      <c r="H1243" s="2">
        <v>39</v>
      </c>
      <c r="I1243" s="2">
        <v>26296134</v>
      </c>
      <c r="J1243" s="2" t="s">
        <v>283</v>
      </c>
      <c r="K1243" s="2" t="s">
        <v>350</v>
      </c>
      <c r="L1243" s="2" t="str">
        <f>"141010330"</f>
        <v>141010330</v>
      </c>
      <c r="M1243" s="2" t="s">
        <v>31</v>
      </c>
      <c r="N1243" s="18">
        <v>31966</v>
      </c>
      <c r="O1243" s="2" t="s">
        <v>723</v>
      </c>
    </row>
    <row r="1244" spans="1:15" s="2" customFormat="1" x14ac:dyDescent="0.25">
      <c r="A1244" s="2">
        <v>1244</v>
      </c>
      <c r="B1244" s="2">
        <v>2</v>
      </c>
      <c r="C1244" s="2">
        <v>76</v>
      </c>
      <c r="D1244" s="2">
        <v>1</v>
      </c>
      <c r="E1244" s="2">
        <v>13</v>
      </c>
      <c r="G1244" s="2">
        <v>1</v>
      </c>
      <c r="H1244" s="2">
        <v>39</v>
      </c>
      <c r="I1244" s="2">
        <v>26296135</v>
      </c>
      <c r="J1244" s="2" t="s">
        <v>283</v>
      </c>
      <c r="K1244" s="2" t="s">
        <v>350</v>
      </c>
      <c r="L1244" s="2" t="str">
        <f>"141010331"</f>
        <v>141010331</v>
      </c>
      <c r="M1244" s="2" t="s">
        <v>31</v>
      </c>
      <c r="N1244" s="18">
        <v>31967</v>
      </c>
      <c r="O1244" s="2" t="s">
        <v>723</v>
      </c>
    </row>
    <row r="1245" spans="1:15" s="2" customFormat="1" x14ac:dyDescent="0.25">
      <c r="A1245" s="2">
        <v>1245</v>
      </c>
      <c r="B1245" s="2">
        <v>2</v>
      </c>
      <c r="C1245" s="2">
        <v>76</v>
      </c>
      <c r="D1245" s="2">
        <v>1</v>
      </c>
      <c r="E1245" s="2">
        <v>13</v>
      </c>
      <c r="G1245" s="2">
        <v>1</v>
      </c>
      <c r="H1245" s="2">
        <v>39</v>
      </c>
      <c r="I1245" s="2">
        <v>26296136</v>
      </c>
      <c r="J1245" s="2" t="s">
        <v>283</v>
      </c>
      <c r="K1245" s="2" t="s">
        <v>350</v>
      </c>
      <c r="L1245" s="2" t="str">
        <f>"141010332"</f>
        <v>141010332</v>
      </c>
      <c r="M1245" s="2" t="s">
        <v>31</v>
      </c>
      <c r="N1245" s="18">
        <v>31968</v>
      </c>
      <c r="O1245" s="2" t="s">
        <v>723</v>
      </c>
    </row>
    <row r="1246" spans="1:15" s="2" customFormat="1" x14ac:dyDescent="0.25">
      <c r="A1246" s="2">
        <v>1246</v>
      </c>
      <c r="B1246" s="2">
        <v>2</v>
      </c>
      <c r="C1246" s="2">
        <v>76</v>
      </c>
      <c r="D1246" s="2">
        <v>1</v>
      </c>
      <c r="E1246" s="2">
        <v>13</v>
      </c>
      <c r="G1246" s="2">
        <v>1</v>
      </c>
      <c r="H1246" s="2">
        <v>39</v>
      </c>
      <c r="I1246" s="2">
        <v>26296137</v>
      </c>
      <c r="J1246" s="2" t="s">
        <v>283</v>
      </c>
      <c r="K1246" s="2" t="s">
        <v>350</v>
      </c>
      <c r="L1246" s="2" t="str">
        <f>"141010333"</f>
        <v>141010333</v>
      </c>
      <c r="M1246" s="2" t="s">
        <v>31</v>
      </c>
      <c r="N1246" s="18">
        <v>31969</v>
      </c>
      <c r="O1246" s="2" t="s">
        <v>723</v>
      </c>
    </row>
    <row r="1247" spans="1:15" s="2" customFormat="1" x14ac:dyDescent="0.25">
      <c r="A1247" s="2">
        <v>1247</v>
      </c>
      <c r="B1247" s="2">
        <v>2</v>
      </c>
      <c r="C1247" s="2">
        <v>76</v>
      </c>
      <c r="D1247" s="2">
        <v>1</v>
      </c>
      <c r="E1247" s="2">
        <v>13</v>
      </c>
      <c r="G1247" s="2">
        <v>1</v>
      </c>
      <c r="H1247" s="2">
        <v>39</v>
      </c>
      <c r="I1247" s="2">
        <v>26296138</v>
      </c>
      <c r="J1247" s="2" t="s">
        <v>283</v>
      </c>
      <c r="K1247" s="2" t="s">
        <v>350</v>
      </c>
      <c r="L1247" s="2" t="str">
        <f>"141010334"</f>
        <v>141010334</v>
      </c>
      <c r="M1247" s="2" t="s">
        <v>31</v>
      </c>
      <c r="N1247" s="18">
        <v>31970</v>
      </c>
      <c r="O1247" s="2" t="s">
        <v>723</v>
      </c>
    </row>
    <row r="1248" spans="1:15" s="2" customFormat="1" x14ac:dyDescent="0.25">
      <c r="A1248" s="2">
        <v>1248</v>
      </c>
      <c r="B1248" s="2">
        <v>2</v>
      </c>
      <c r="C1248" s="2">
        <v>76</v>
      </c>
      <c r="D1248" s="2">
        <v>1</v>
      </c>
      <c r="E1248" s="2">
        <v>13</v>
      </c>
      <c r="G1248" s="2">
        <v>1</v>
      </c>
      <c r="H1248" s="2">
        <v>39</v>
      </c>
      <c r="I1248" s="2">
        <v>26296139</v>
      </c>
      <c r="J1248" s="2" t="s">
        <v>283</v>
      </c>
      <c r="K1248" s="2" t="s">
        <v>350</v>
      </c>
      <c r="L1248" s="2" t="str">
        <f>"141010335"</f>
        <v>141010335</v>
      </c>
      <c r="M1248" s="2" t="s">
        <v>31</v>
      </c>
      <c r="N1248" s="18">
        <v>31971</v>
      </c>
      <c r="O1248" s="2" t="s">
        <v>723</v>
      </c>
    </row>
    <row r="1249" spans="1:15" s="2" customFormat="1" x14ac:dyDescent="0.25">
      <c r="A1249" s="2">
        <v>1249</v>
      </c>
      <c r="B1249" s="2">
        <v>2</v>
      </c>
      <c r="C1249" s="2">
        <v>76</v>
      </c>
      <c r="D1249" s="2">
        <v>1</v>
      </c>
      <c r="E1249" s="2">
        <v>13</v>
      </c>
      <c r="G1249" s="2">
        <v>1</v>
      </c>
      <c r="H1249" s="2">
        <v>39</v>
      </c>
      <c r="I1249" s="2">
        <v>26296140</v>
      </c>
      <c r="J1249" s="2" t="s">
        <v>283</v>
      </c>
      <c r="K1249" s="2" t="s">
        <v>350</v>
      </c>
      <c r="L1249" s="2" t="str">
        <f>"141010336"</f>
        <v>141010336</v>
      </c>
      <c r="M1249" s="2" t="s">
        <v>31</v>
      </c>
      <c r="N1249" s="18">
        <v>31972</v>
      </c>
      <c r="O1249" s="2" t="s">
        <v>723</v>
      </c>
    </row>
    <row r="1250" spans="1:15" s="2" customFormat="1" x14ac:dyDescent="0.25">
      <c r="A1250" s="2">
        <v>1250</v>
      </c>
      <c r="B1250" s="2">
        <v>2</v>
      </c>
      <c r="C1250" s="2">
        <v>76</v>
      </c>
      <c r="D1250" s="2">
        <v>1</v>
      </c>
      <c r="E1250" s="2">
        <v>5</v>
      </c>
      <c r="G1250" s="2">
        <v>1</v>
      </c>
      <c r="H1250" s="2">
        <v>39</v>
      </c>
      <c r="I1250" s="2">
        <v>26529041</v>
      </c>
      <c r="J1250" s="2" t="s">
        <v>222</v>
      </c>
      <c r="K1250" s="2" t="s">
        <v>350</v>
      </c>
      <c r="L1250" s="2" t="str">
        <f>"141010406"</f>
        <v>141010406</v>
      </c>
      <c r="M1250" s="2" t="s">
        <v>35</v>
      </c>
      <c r="N1250" s="18">
        <v>31973</v>
      </c>
      <c r="O1250" s="2" t="s">
        <v>725</v>
      </c>
    </row>
    <row r="1251" spans="1:15" s="2" customFormat="1" x14ac:dyDescent="0.25">
      <c r="A1251" s="2">
        <v>1251</v>
      </c>
      <c r="B1251" s="2">
        <v>2</v>
      </c>
      <c r="C1251" s="2">
        <v>76</v>
      </c>
      <c r="D1251" s="2">
        <v>1</v>
      </c>
      <c r="E1251" s="2">
        <v>5</v>
      </c>
      <c r="G1251" s="2">
        <v>1</v>
      </c>
      <c r="H1251" s="2">
        <v>39</v>
      </c>
      <c r="I1251" s="2">
        <v>26529036</v>
      </c>
      <c r="J1251" s="2" t="s">
        <v>222</v>
      </c>
      <c r="K1251" s="2" t="s">
        <v>350</v>
      </c>
      <c r="L1251" s="2" t="str">
        <f>"141010401"</f>
        <v>141010401</v>
      </c>
      <c r="M1251" s="2" t="s">
        <v>35</v>
      </c>
      <c r="N1251" s="18">
        <v>31974</v>
      </c>
      <c r="O1251" s="2" t="s">
        <v>726</v>
      </c>
    </row>
    <row r="1252" spans="1:15" s="2" customFormat="1" x14ac:dyDescent="0.25">
      <c r="A1252" s="2">
        <v>1252</v>
      </c>
      <c r="B1252" s="2">
        <v>2</v>
      </c>
      <c r="C1252" s="2">
        <v>76</v>
      </c>
      <c r="D1252" s="2">
        <v>1</v>
      </c>
      <c r="E1252" s="2">
        <v>5</v>
      </c>
      <c r="G1252" s="2">
        <v>1</v>
      </c>
      <c r="H1252" s="2">
        <v>39</v>
      </c>
      <c r="I1252" s="2">
        <v>26529037</v>
      </c>
      <c r="J1252" s="2" t="s">
        <v>222</v>
      </c>
      <c r="K1252" s="2" t="s">
        <v>350</v>
      </c>
      <c r="L1252" s="2" t="str">
        <f>"141010402"</f>
        <v>141010402</v>
      </c>
      <c r="M1252" s="2" t="s">
        <v>35</v>
      </c>
      <c r="N1252" s="18">
        <v>31975</v>
      </c>
      <c r="O1252" s="2" t="s">
        <v>725</v>
      </c>
    </row>
    <row r="1253" spans="1:15" s="2" customFormat="1" x14ac:dyDescent="0.25">
      <c r="A1253" s="2">
        <v>1253</v>
      </c>
      <c r="B1253" s="2">
        <v>2</v>
      </c>
      <c r="C1253" s="2">
        <v>76</v>
      </c>
      <c r="D1253" s="2">
        <v>1</v>
      </c>
      <c r="E1253" s="2">
        <v>5</v>
      </c>
      <c r="G1253" s="2">
        <v>1</v>
      </c>
      <c r="H1253" s="2">
        <v>39</v>
      </c>
      <c r="I1253" s="2">
        <v>26529038</v>
      </c>
      <c r="J1253" s="2" t="s">
        <v>222</v>
      </c>
      <c r="K1253" s="2" t="s">
        <v>350</v>
      </c>
      <c r="L1253" s="2" t="str">
        <f>"141010403"</f>
        <v>141010403</v>
      </c>
      <c r="M1253" s="2" t="s">
        <v>35</v>
      </c>
      <c r="N1253" s="18">
        <v>31976</v>
      </c>
      <c r="O1253" s="2" t="s">
        <v>725</v>
      </c>
    </row>
    <row r="1254" spans="1:15" s="2" customFormat="1" x14ac:dyDescent="0.25">
      <c r="A1254" s="2">
        <v>1254</v>
      </c>
      <c r="B1254" s="2">
        <v>2</v>
      </c>
      <c r="C1254" s="2">
        <v>76</v>
      </c>
      <c r="D1254" s="2">
        <v>1</v>
      </c>
      <c r="E1254" s="2">
        <v>5</v>
      </c>
      <c r="G1254" s="2">
        <v>1</v>
      </c>
      <c r="H1254" s="2">
        <v>39</v>
      </c>
      <c r="I1254" s="2">
        <v>26529039</v>
      </c>
      <c r="J1254" s="2" t="s">
        <v>222</v>
      </c>
      <c r="K1254" s="2" t="s">
        <v>350</v>
      </c>
      <c r="L1254" s="2" t="str">
        <f>"141010404"</f>
        <v>141010404</v>
      </c>
      <c r="M1254" s="2" t="s">
        <v>35</v>
      </c>
      <c r="N1254" s="18">
        <v>31977</v>
      </c>
      <c r="O1254" s="2" t="s">
        <v>725</v>
      </c>
    </row>
    <row r="1255" spans="1:15" s="2" customFormat="1" x14ac:dyDescent="0.25">
      <c r="A1255" s="2">
        <v>1255</v>
      </c>
      <c r="B1255" s="2">
        <v>2</v>
      </c>
      <c r="C1255" s="2">
        <v>76</v>
      </c>
      <c r="D1255" s="2">
        <v>1</v>
      </c>
      <c r="E1255" s="2">
        <v>5</v>
      </c>
      <c r="G1255" s="2">
        <v>1</v>
      </c>
      <c r="H1255" s="2">
        <v>39</v>
      </c>
      <c r="I1255" s="2">
        <v>26529040</v>
      </c>
      <c r="J1255" s="2" t="s">
        <v>222</v>
      </c>
      <c r="K1255" s="2" t="s">
        <v>350</v>
      </c>
      <c r="L1255" s="2" t="str">
        <f>"141010405"</f>
        <v>141010405</v>
      </c>
      <c r="M1255" s="2" t="s">
        <v>35</v>
      </c>
      <c r="N1255" s="18">
        <v>31978</v>
      </c>
      <c r="O1255" s="2" t="s">
        <v>725</v>
      </c>
    </row>
    <row r="1256" spans="1:15" s="2" customFormat="1" x14ac:dyDescent="0.25">
      <c r="A1256" s="2">
        <v>1256</v>
      </c>
      <c r="B1256" s="2">
        <v>2</v>
      </c>
      <c r="C1256" s="2">
        <v>76</v>
      </c>
      <c r="D1256" s="2">
        <v>1</v>
      </c>
      <c r="E1256" s="2">
        <v>5</v>
      </c>
      <c r="G1256" s="2">
        <v>1</v>
      </c>
      <c r="H1256" s="2">
        <v>39</v>
      </c>
      <c r="I1256" s="2">
        <v>26529042</v>
      </c>
      <c r="J1256" s="2" t="s">
        <v>222</v>
      </c>
      <c r="K1256" s="2" t="s">
        <v>350</v>
      </c>
      <c r="L1256" s="2" t="str">
        <f>"141010407"</f>
        <v>141010407</v>
      </c>
      <c r="M1256" s="2" t="s">
        <v>35</v>
      </c>
      <c r="N1256" s="18">
        <v>31979</v>
      </c>
      <c r="O1256" s="2" t="s">
        <v>725</v>
      </c>
    </row>
    <row r="1257" spans="1:15" s="2" customFormat="1" x14ac:dyDescent="0.25">
      <c r="A1257" s="2">
        <v>1257</v>
      </c>
      <c r="B1257" s="2">
        <v>2</v>
      </c>
      <c r="C1257" s="2">
        <v>76</v>
      </c>
      <c r="D1257" s="2">
        <v>1</v>
      </c>
      <c r="E1257" s="2">
        <v>5</v>
      </c>
      <c r="G1257" s="2">
        <v>1</v>
      </c>
      <c r="H1257" s="2">
        <v>39</v>
      </c>
      <c r="I1257" s="2">
        <v>26529043</v>
      </c>
      <c r="J1257" s="2" t="s">
        <v>222</v>
      </c>
      <c r="K1257" s="2" t="s">
        <v>350</v>
      </c>
      <c r="L1257" s="2" t="str">
        <f>"141010408"</f>
        <v>141010408</v>
      </c>
      <c r="M1257" s="2" t="s">
        <v>35</v>
      </c>
      <c r="N1257" s="18">
        <v>31980</v>
      </c>
      <c r="O1257" s="2" t="s">
        <v>725</v>
      </c>
    </row>
    <row r="1258" spans="1:15" s="2" customFormat="1" x14ac:dyDescent="0.25">
      <c r="A1258" s="2">
        <v>1258</v>
      </c>
      <c r="B1258" s="2">
        <v>2</v>
      </c>
      <c r="C1258" s="2">
        <v>76</v>
      </c>
      <c r="D1258" s="2">
        <v>1</v>
      </c>
      <c r="E1258" s="2">
        <v>5</v>
      </c>
      <c r="G1258" s="2">
        <v>1</v>
      </c>
      <c r="H1258" s="2">
        <v>39</v>
      </c>
      <c r="I1258" s="2">
        <v>26529044</v>
      </c>
      <c r="J1258" s="2" t="s">
        <v>222</v>
      </c>
      <c r="K1258" s="2" t="s">
        <v>350</v>
      </c>
      <c r="L1258" s="2" t="str">
        <f>"141010409"</f>
        <v>141010409</v>
      </c>
      <c r="M1258" s="2" t="s">
        <v>35</v>
      </c>
      <c r="N1258" s="18">
        <v>31981</v>
      </c>
      <c r="O1258" s="2" t="s">
        <v>725</v>
      </c>
    </row>
    <row r="1259" spans="1:15" s="2" customFormat="1" x14ac:dyDescent="0.25">
      <c r="A1259" s="2">
        <v>1259</v>
      </c>
      <c r="B1259" s="2">
        <v>2</v>
      </c>
      <c r="C1259" s="2">
        <v>76</v>
      </c>
      <c r="D1259" s="2">
        <v>1</v>
      </c>
      <c r="E1259" s="2">
        <v>5</v>
      </c>
      <c r="G1259" s="2">
        <v>1</v>
      </c>
      <c r="H1259" s="2">
        <v>39</v>
      </c>
      <c r="I1259" s="2">
        <v>26529045</v>
      </c>
      <c r="J1259" s="2" t="s">
        <v>222</v>
      </c>
      <c r="K1259" s="2" t="s">
        <v>350</v>
      </c>
      <c r="L1259" s="2" t="str">
        <f>"141010410"</f>
        <v>141010410</v>
      </c>
      <c r="M1259" s="2" t="s">
        <v>35</v>
      </c>
      <c r="N1259" s="18">
        <v>31982</v>
      </c>
      <c r="O1259" s="2" t="s">
        <v>725</v>
      </c>
    </row>
    <row r="1260" spans="1:15" s="2" customFormat="1" x14ac:dyDescent="0.25">
      <c r="A1260" s="2">
        <v>1260</v>
      </c>
      <c r="B1260" s="2">
        <v>2</v>
      </c>
      <c r="C1260" s="2">
        <v>76</v>
      </c>
      <c r="D1260" s="2">
        <v>1</v>
      </c>
      <c r="E1260" s="2">
        <v>5</v>
      </c>
      <c r="G1260" s="2">
        <v>1</v>
      </c>
      <c r="H1260" s="2">
        <v>39</v>
      </c>
      <c r="I1260" s="2">
        <v>26529046</v>
      </c>
      <c r="J1260" s="2" t="s">
        <v>222</v>
      </c>
      <c r="K1260" s="2" t="s">
        <v>350</v>
      </c>
      <c r="L1260" s="2" t="str">
        <f>"141010411"</f>
        <v>141010411</v>
      </c>
      <c r="M1260" s="2" t="s">
        <v>35</v>
      </c>
      <c r="N1260" s="18">
        <v>31983</v>
      </c>
      <c r="O1260" s="2" t="s">
        <v>725</v>
      </c>
    </row>
    <row r="1261" spans="1:15" s="2" customFormat="1" x14ac:dyDescent="0.25">
      <c r="A1261" s="2">
        <v>1261</v>
      </c>
      <c r="B1261" s="2">
        <v>2</v>
      </c>
      <c r="C1261" s="2">
        <v>76</v>
      </c>
      <c r="D1261" s="2">
        <v>1</v>
      </c>
      <c r="E1261" s="2">
        <v>5</v>
      </c>
      <c r="G1261" s="2">
        <v>1</v>
      </c>
      <c r="H1261" s="2">
        <v>39</v>
      </c>
      <c r="I1261" s="2">
        <v>26529047</v>
      </c>
      <c r="J1261" s="2" t="s">
        <v>222</v>
      </c>
      <c r="K1261" s="2" t="s">
        <v>350</v>
      </c>
      <c r="L1261" s="2" t="str">
        <f>"141010412"</f>
        <v>141010412</v>
      </c>
      <c r="M1261" s="2" t="s">
        <v>35</v>
      </c>
      <c r="N1261" s="18">
        <v>31984</v>
      </c>
      <c r="O1261" s="2" t="s">
        <v>727</v>
      </c>
    </row>
    <row r="1262" spans="1:15" s="2" customFormat="1" x14ac:dyDescent="0.25">
      <c r="A1262" s="2">
        <v>1262</v>
      </c>
      <c r="B1262" s="2">
        <v>2</v>
      </c>
      <c r="C1262" s="2">
        <v>76</v>
      </c>
      <c r="D1262" s="2">
        <v>1</v>
      </c>
      <c r="E1262" s="2">
        <v>5</v>
      </c>
      <c r="G1262" s="2">
        <v>1</v>
      </c>
      <c r="H1262" s="2">
        <v>39</v>
      </c>
      <c r="I1262" s="2">
        <v>26529048</v>
      </c>
      <c r="J1262" s="2" t="s">
        <v>222</v>
      </c>
      <c r="K1262" s="2" t="s">
        <v>350</v>
      </c>
      <c r="L1262" s="2" t="str">
        <f>"141010413"</f>
        <v>141010413</v>
      </c>
      <c r="M1262" s="2" t="s">
        <v>35</v>
      </c>
      <c r="N1262" s="18">
        <v>31985</v>
      </c>
      <c r="O1262" s="2" t="s">
        <v>727</v>
      </c>
    </row>
    <row r="1263" spans="1:15" s="2" customFormat="1" x14ac:dyDescent="0.25">
      <c r="A1263" s="2">
        <v>1263</v>
      </c>
      <c r="B1263" s="2">
        <v>2</v>
      </c>
      <c r="C1263" s="2">
        <v>76</v>
      </c>
      <c r="D1263" s="2">
        <v>1</v>
      </c>
      <c r="E1263" s="2">
        <v>5</v>
      </c>
      <c r="G1263" s="2">
        <v>1</v>
      </c>
      <c r="H1263" s="2">
        <v>39</v>
      </c>
      <c r="I1263" s="2">
        <v>26529049</v>
      </c>
      <c r="J1263" s="2" t="s">
        <v>222</v>
      </c>
      <c r="K1263" s="2" t="s">
        <v>350</v>
      </c>
      <c r="L1263" s="2" t="str">
        <f>"141010414"</f>
        <v>141010414</v>
      </c>
      <c r="M1263" s="2" t="s">
        <v>35</v>
      </c>
      <c r="N1263" s="18">
        <v>31986</v>
      </c>
      <c r="O1263" s="2" t="s">
        <v>727</v>
      </c>
    </row>
    <row r="1264" spans="1:15" s="2" customFormat="1" x14ac:dyDescent="0.25">
      <c r="A1264" s="2">
        <v>1264</v>
      </c>
      <c r="B1264" s="2">
        <v>2</v>
      </c>
      <c r="C1264" s="2">
        <v>76</v>
      </c>
      <c r="D1264" s="2">
        <v>1</v>
      </c>
      <c r="E1264" s="2">
        <v>5</v>
      </c>
      <c r="G1264" s="2">
        <v>1</v>
      </c>
      <c r="H1264" s="2">
        <v>39</v>
      </c>
      <c r="I1264" s="2">
        <v>26529050</v>
      </c>
      <c r="J1264" s="2" t="s">
        <v>222</v>
      </c>
      <c r="K1264" s="2" t="s">
        <v>350</v>
      </c>
      <c r="L1264" s="2" t="str">
        <f>"141010415"</f>
        <v>141010415</v>
      </c>
      <c r="M1264" s="2" t="s">
        <v>35</v>
      </c>
      <c r="N1264" s="18">
        <v>31987</v>
      </c>
      <c r="O1264" s="2" t="s">
        <v>727</v>
      </c>
    </row>
    <row r="1265" spans="1:15" s="2" customFormat="1" x14ac:dyDescent="0.25">
      <c r="A1265" s="2">
        <v>1265</v>
      </c>
      <c r="B1265" s="2">
        <v>2</v>
      </c>
      <c r="C1265" s="2">
        <v>76</v>
      </c>
      <c r="D1265" s="2">
        <v>1</v>
      </c>
      <c r="E1265" s="2">
        <v>5</v>
      </c>
      <c r="G1265" s="2">
        <v>1</v>
      </c>
      <c r="H1265" s="2">
        <v>39</v>
      </c>
      <c r="I1265" s="2">
        <v>26529051</v>
      </c>
      <c r="J1265" s="2" t="s">
        <v>222</v>
      </c>
      <c r="K1265" s="2" t="s">
        <v>350</v>
      </c>
      <c r="L1265" s="2" t="str">
        <f>"141010416"</f>
        <v>141010416</v>
      </c>
      <c r="M1265" s="2" t="s">
        <v>35</v>
      </c>
      <c r="N1265" s="18">
        <v>31988</v>
      </c>
      <c r="O1265" s="2" t="s">
        <v>727</v>
      </c>
    </row>
    <row r="1266" spans="1:15" s="2" customFormat="1" x14ac:dyDescent="0.25">
      <c r="A1266" s="2">
        <v>1266</v>
      </c>
      <c r="B1266" s="2">
        <v>2</v>
      </c>
      <c r="C1266" s="2">
        <v>76</v>
      </c>
      <c r="D1266" s="2">
        <v>1</v>
      </c>
      <c r="E1266" s="2">
        <v>5</v>
      </c>
      <c r="G1266" s="2">
        <v>1</v>
      </c>
      <c r="H1266" s="2">
        <v>39</v>
      </c>
      <c r="I1266" s="2">
        <v>26529052</v>
      </c>
      <c r="J1266" s="2" t="s">
        <v>222</v>
      </c>
      <c r="K1266" s="2" t="s">
        <v>350</v>
      </c>
      <c r="L1266" s="2" t="str">
        <f>"141010417"</f>
        <v>141010417</v>
      </c>
      <c r="M1266" s="2" t="s">
        <v>35</v>
      </c>
      <c r="N1266" s="18">
        <v>31989</v>
      </c>
      <c r="O1266" s="2" t="s">
        <v>727</v>
      </c>
    </row>
    <row r="1267" spans="1:15" s="2" customFormat="1" x14ac:dyDescent="0.25">
      <c r="A1267" s="2">
        <v>1267</v>
      </c>
      <c r="B1267" s="2">
        <v>2</v>
      </c>
      <c r="C1267" s="2">
        <v>76</v>
      </c>
      <c r="D1267" s="2">
        <v>1</v>
      </c>
      <c r="E1267" s="2">
        <v>5</v>
      </c>
      <c r="G1267" s="2">
        <v>1</v>
      </c>
      <c r="H1267" s="2">
        <v>39</v>
      </c>
      <c r="I1267" s="2">
        <v>26529053</v>
      </c>
      <c r="J1267" s="2" t="s">
        <v>222</v>
      </c>
      <c r="K1267" s="2" t="s">
        <v>350</v>
      </c>
      <c r="L1267" s="2" t="str">
        <f>"141010418"</f>
        <v>141010418</v>
      </c>
      <c r="M1267" s="2" t="s">
        <v>35</v>
      </c>
      <c r="N1267" s="18">
        <v>31990</v>
      </c>
      <c r="O1267" s="2" t="s">
        <v>727</v>
      </c>
    </row>
    <row r="1268" spans="1:15" s="2" customFormat="1" x14ac:dyDescent="0.25">
      <c r="A1268" s="2">
        <v>1268</v>
      </c>
      <c r="B1268" s="2">
        <v>2</v>
      </c>
      <c r="C1268" s="2">
        <v>76</v>
      </c>
      <c r="D1268" s="2">
        <v>1</v>
      </c>
      <c r="E1268" s="2">
        <v>5</v>
      </c>
      <c r="G1268" s="2">
        <v>1</v>
      </c>
      <c r="H1268" s="2">
        <v>39</v>
      </c>
      <c r="I1268" s="2">
        <v>26529054</v>
      </c>
      <c r="J1268" s="2" t="s">
        <v>222</v>
      </c>
      <c r="K1268" s="2" t="s">
        <v>350</v>
      </c>
      <c r="L1268" s="2" t="str">
        <f>"141010419"</f>
        <v>141010419</v>
      </c>
      <c r="M1268" s="2" t="s">
        <v>35</v>
      </c>
      <c r="N1268" s="18">
        <v>31991</v>
      </c>
      <c r="O1268" s="2" t="s">
        <v>727</v>
      </c>
    </row>
    <row r="1269" spans="1:15" s="2" customFormat="1" x14ac:dyDescent="0.25">
      <c r="A1269" s="2">
        <v>1269</v>
      </c>
      <c r="B1269" s="2">
        <v>2</v>
      </c>
      <c r="C1269" s="2">
        <v>76</v>
      </c>
      <c r="D1269" s="2">
        <v>1</v>
      </c>
      <c r="E1269" s="2">
        <v>5</v>
      </c>
      <c r="G1269" s="2">
        <v>1</v>
      </c>
      <c r="H1269" s="2">
        <v>39</v>
      </c>
      <c r="I1269" s="2">
        <v>26529055</v>
      </c>
      <c r="J1269" s="2" t="s">
        <v>222</v>
      </c>
      <c r="K1269" s="2" t="s">
        <v>350</v>
      </c>
      <c r="L1269" s="2" t="str">
        <f>"141010420"</f>
        <v>141010420</v>
      </c>
      <c r="M1269" s="2" t="s">
        <v>35</v>
      </c>
      <c r="N1269" s="18">
        <v>31992</v>
      </c>
      <c r="O1269" s="2" t="s">
        <v>727</v>
      </c>
    </row>
    <row r="1270" spans="1:15" s="2" customFormat="1" x14ac:dyDescent="0.25">
      <c r="A1270" s="2">
        <v>1270</v>
      </c>
      <c r="B1270" s="2">
        <v>2</v>
      </c>
      <c r="C1270" s="2">
        <v>76</v>
      </c>
      <c r="D1270" s="2">
        <v>1</v>
      </c>
      <c r="E1270" s="2">
        <v>5</v>
      </c>
      <c r="G1270" s="2">
        <v>1</v>
      </c>
      <c r="H1270" s="2">
        <v>39</v>
      </c>
      <c r="I1270" s="2">
        <v>26529056</v>
      </c>
      <c r="J1270" s="2" t="s">
        <v>222</v>
      </c>
      <c r="K1270" s="2" t="s">
        <v>350</v>
      </c>
      <c r="L1270" s="2" t="str">
        <f>"141010421"</f>
        <v>141010421</v>
      </c>
      <c r="M1270" s="2" t="s">
        <v>35</v>
      </c>
      <c r="N1270" s="18">
        <v>31993</v>
      </c>
      <c r="O1270" s="2" t="s">
        <v>727</v>
      </c>
    </row>
    <row r="1271" spans="1:15" s="2" customFormat="1" x14ac:dyDescent="0.25">
      <c r="A1271" s="2">
        <v>1271</v>
      </c>
      <c r="B1271" s="2">
        <v>2</v>
      </c>
      <c r="C1271" s="2">
        <v>76</v>
      </c>
      <c r="D1271" s="2">
        <v>1</v>
      </c>
      <c r="E1271" s="2">
        <v>5</v>
      </c>
      <c r="G1271" s="2">
        <v>1</v>
      </c>
      <c r="H1271" s="2">
        <v>39</v>
      </c>
      <c r="I1271" s="2">
        <v>26529057</v>
      </c>
      <c r="J1271" s="2" t="s">
        <v>222</v>
      </c>
      <c r="K1271" s="2" t="s">
        <v>350</v>
      </c>
      <c r="L1271" s="2" t="str">
        <f>"141010422"</f>
        <v>141010422</v>
      </c>
      <c r="M1271" s="2" t="s">
        <v>35</v>
      </c>
      <c r="N1271" s="18">
        <v>31994</v>
      </c>
      <c r="O1271" s="2" t="s">
        <v>727</v>
      </c>
    </row>
    <row r="1272" spans="1:15" s="2" customFormat="1" x14ac:dyDescent="0.25">
      <c r="A1272" s="2">
        <v>1272</v>
      </c>
      <c r="B1272" s="2">
        <v>1</v>
      </c>
      <c r="C1272" s="2">
        <v>21</v>
      </c>
      <c r="D1272" s="2">
        <v>1</v>
      </c>
      <c r="E1272" s="2">
        <v>20</v>
      </c>
      <c r="G1272" s="2">
        <v>1</v>
      </c>
      <c r="H1272" s="2">
        <v>4</v>
      </c>
      <c r="I1272" s="2">
        <v>28196038</v>
      </c>
      <c r="J1272" s="2" t="s">
        <v>197</v>
      </c>
      <c r="K1272" s="2" t="s">
        <v>728</v>
      </c>
      <c r="L1272" s="2" t="str">
        <f>"M6188L000303"</f>
        <v>M6188L000303</v>
      </c>
      <c r="M1272" s="2" t="s">
        <v>31</v>
      </c>
      <c r="N1272" s="18">
        <v>31995</v>
      </c>
      <c r="O1272" s="2" t="s">
        <v>729</v>
      </c>
    </row>
    <row r="1273" spans="1:15" s="2" customFormat="1" x14ac:dyDescent="0.25">
      <c r="A1273" s="2">
        <v>1273</v>
      </c>
      <c r="B1273" s="2">
        <v>1</v>
      </c>
      <c r="C1273" s="2">
        <v>21</v>
      </c>
      <c r="D1273" s="2">
        <v>1</v>
      </c>
      <c r="E1273" s="2">
        <v>20</v>
      </c>
      <c r="G1273" s="2">
        <v>1</v>
      </c>
      <c r="H1273" s="2">
        <v>4</v>
      </c>
      <c r="I1273" s="2">
        <v>28196039</v>
      </c>
      <c r="J1273" s="2" t="s">
        <v>197</v>
      </c>
      <c r="K1273" s="2" t="s">
        <v>728</v>
      </c>
      <c r="L1273" s="2" t="str">
        <f>"M6188L000304"</f>
        <v>M6188L000304</v>
      </c>
      <c r="M1273" s="2" t="s">
        <v>31</v>
      </c>
      <c r="N1273" s="18">
        <v>31996</v>
      </c>
      <c r="O1273" s="2" t="s">
        <v>729</v>
      </c>
    </row>
    <row r="1274" spans="1:15" s="2" customFormat="1" x14ac:dyDescent="0.25">
      <c r="A1274" s="2">
        <v>1274</v>
      </c>
      <c r="B1274" s="2">
        <v>1</v>
      </c>
      <c r="C1274" s="2">
        <v>21</v>
      </c>
      <c r="D1274" s="2">
        <v>1</v>
      </c>
      <c r="E1274" s="2">
        <v>20</v>
      </c>
      <c r="G1274" s="2">
        <v>1</v>
      </c>
      <c r="H1274" s="2">
        <v>4</v>
      </c>
      <c r="I1274" s="2">
        <v>28196036</v>
      </c>
      <c r="J1274" s="2" t="s">
        <v>197</v>
      </c>
      <c r="K1274" s="2" t="s">
        <v>728</v>
      </c>
      <c r="L1274" s="2" t="str">
        <f>"M6188L000301"</f>
        <v>M6188L000301</v>
      </c>
      <c r="M1274" s="2" t="s">
        <v>31</v>
      </c>
      <c r="N1274" s="18">
        <v>31997</v>
      </c>
      <c r="O1274" s="2" t="s">
        <v>730</v>
      </c>
    </row>
    <row r="1275" spans="1:15" s="2" customFormat="1" x14ac:dyDescent="0.25">
      <c r="A1275" s="2">
        <v>1275</v>
      </c>
      <c r="B1275" s="2">
        <v>1</v>
      </c>
      <c r="C1275" s="2">
        <v>21</v>
      </c>
      <c r="D1275" s="2">
        <v>1</v>
      </c>
      <c r="E1275" s="2">
        <v>20</v>
      </c>
      <c r="G1275" s="2">
        <v>1</v>
      </c>
      <c r="H1275" s="2">
        <v>4</v>
      </c>
      <c r="I1275" s="2">
        <v>28196037</v>
      </c>
      <c r="J1275" s="2" t="s">
        <v>197</v>
      </c>
      <c r="K1275" s="2" t="s">
        <v>728</v>
      </c>
      <c r="L1275" s="2" t="str">
        <f>"M6188L000302"</f>
        <v>M6188L000302</v>
      </c>
      <c r="M1275" s="2" t="s">
        <v>31</v>
      </c>
      <c r="N1275" s="18">
        <v>31998</v>
      </c>
      <c r="O1275" s="2" t="s">
        <v>729</v>
      </c>
    </row>
    <row r="1276" spans="1:15" s="2" customFormat="1" x14ac:dyDescent="0.25">
      <c r="A1276" s="2">
        <v>1276</v>
      </c>
      <c r="B1276" s="2">
        <v>1</v>
      </c>
      <c r="C1276" s="2">
        <v>21</v>
      </c>
      <c r="D1276" s="2">
        <v>1</v>
      </c>
      <c r="E1276" s="2">
        <v>20</v>
      </c>
      <c r="G1276" s="2">
        <v>1</v>
      </c>
      <c r="H1276" s="2">
        <v>4</v>
      </c>
      <c r="I1276" s="2">
        <v>28196040</v>
      </c>
      <c r="J1276" s="2" t="s">
        <v>197</v>
      </c>
      <c r="K1276" s="2" t="s">
        <v>728</v>
      </c>
      <c r="L1276" s="2" t="str">
        <f>"M6188L000305"</f>
        <v>M6188L000305</v>
      </c>
      <c r="M1276" s="2" t="s">
        <v>31</v>
      </c>
      <c r="N1276" s="18">
        <v>31999</v>
      </c>
      <c r="O1276" s="2" t="s">
        <v>729</v>
      </c>
    </row>
    <row r="1277" spans="1:15" s="2" customFormat="1" x14ac:dyDescent="0.25">
      <c r="A1277" s="2">
        <v>1277</v>
      </c>
      <c r="B1277" s="2">
        <v>1</v>
      </c>
      <c r="C1277" s="2">
        <v>21</v>
      </c>
      <c r="D1277" s="2">
        <v>1</v>
      </c>
      <c r="E1277" s="2">
        <v>20</v>
      </c>
      <c r="G1277" s="2">
        <v>1</v>
      </c>
      <c r="H1277" s="2">
        <v>4</v>
      </c>
      <c r="I1277" s="2">
        <v>28196041</v>
      </c>
      <c r="J1277" s="2" t="s">
        <v>197</v>
      </c>
      <c r="K1277" s="2" t="s">
        <v>728</v>
      </c>
      <c r="L1277" s="2" t="str">
        <f>"M6188L000306"</f>
        <v>M6188L000306</v>
      </c>
      <c r="M1277" s="2" t="s">
        <v>31</v>
      </c>
      <c r="N1277" s="18">
        <v>32000</v>
      </c>
      <c r="O1277" s="2" t="s">
        <v>729</v>
      </c>
    </row>
    <row r="1278" spans="1:15" s="2" customFormat="1" x14ac:dyDescent="0.25">
      <c r="A1278" s="2">
        <v>1278</v>
      </c>
      <c r="B1278" s="2">
        <v>1</v>
      </c>
      <c r="C1278" s="2">
        <v>21</v>
      </c>
      <c r="D1278" s="2">
        <v>1</v>
      </c>
      <c r="E1278" s="2">
        <v>20</v>
      </c>
      <c r="G1278" s="2">
        <v>1</v>
      </c>
      <c r="H1278" s="2">
        <v>4</v>
      </c>
      <c r="I1278" s="2">
        <v>28196042</v>
      </c>
      <c r="J1278" s="2" t="s">
        <v>197</v>
      </c>
      <c r="K1278" s="2" t="s">
        <v>728</v>
      </c>
      <c r="L1278" s="2" t="str">
        <f>"M6188L000307"</f>
        <v>M6188L000307</v>
      </c>
      <c r="M1278" s="2" t="s">
        <v>31</v>
      </c>
      <c r="N1278" s="18">
        <v>32001</v>
      </c>
      <c r="O1278" s="2" t="s">
        <v>729</v>
      </c>
    </row>
    <row r="1279" spans="1:15" s="2" customFormat="1" x14ac:dyDescent="0.25">
      <c r="A1279" s="2">
        <v>1279</v>
      </c>
      <c r="B1279" s="2">
        <v>1</v>
      </c>
      <c r="C1279" s="2">
        <v>21</v>
      </c>
      <c r="D1279" s="2">
        <v>1</v>
      </c>
      <c r="E1279" s="2">
        <v>20</v>
      </c>
      <c r="G1279" s="2">
        <v>1</v>
      </c>
      <c r="H1279" s="2">
        <v>4</v>
      </c>
      <c r="I1279" s="2">
        <v>28196043</v>
      </c>
      <c r="J1279" s="2" t="s">
        <v>197</v>
      </c>
      <c r="K1279" s="2" t="s">
        <v>728</v>
      </c>
      <c r="L1279" s="2" t="str">
        <f>"M6188L000308"</f>
        <v>M6188L000308</v>
      </c>
      <c r="M1279" s="2" t="s">
        <v>31</v>
      </c>
      <c r="N1279" s="18">
        <v>32002</v>
      </c>
      <c r="O1279" s="2" t="s">
        <v>729</v>
      </c>
    </row>
    <row r="1280" spans="1:15" s="2" customFormat="1" x14ac:dyDescent="0.25">
      <c r="A1280" s="2">
        <v>1280</v>
      </c>
      <c r="B1280" s="2">
        <v>1</v>
      </c>
      <c r="C1280" s="2">
        <v>21</v>
      </c>
      <c r="D1280" s="2">
        <v>1</v>
      </c>
      <c r="E1280" s="2">
        <v>20</v>
      </c>
      <c r="G1280" s="2">
        <v>1</v>
      </c>
      <c r="H1280" s="2">
        <v>4</v>
      </c>
      <c r="I1280" s="2">
        <v>28196044</v>
      </c>
      <c r="J1280" s="2" t="s">
        <v>197</v>
      </c>
      <c r="K1280" s="2" t="s">
        <v>728</v>
      </c>
      <c r="L1280" s="2" t="str">
        <f>"M6188L000309"</f>
        <v>M6188L000309</v>
      </c>
      <c r="M1280" s="2" t="s">
        <v>31</v>
      </c>
      <c r="N1280" s="18">
        <v>32003</v>
      </c>
      <c r="O1280" s="2" t="s">
        <v>729</v>
      </c>
    </row>
    <row r="1281" spans="1:15" s="2" customFormat="1" x14ac:dyDescent="0.25">
      <c r="A1281" s="2">
        <v>1281</v>
      </c>
      <c r="B1281" s="2">
        <v>1</v>
      </c>
      <c r="C1281" s="2">
        <v>21</v>
      </c>
      <c r="D1281" s="2">
        <v>1</v>
      </c>
      <c r="E1281" s="2">
        <v>20</v>
      </c>
      <c r="G1281" s="2">
        <v>1</v>
      </c>
      <c r="H1281" s="2">
        <v>4</v>
      </c>
      <c r="I1281" s="2">
        <v>28196045</v>
      </c>
      <c r="J1281" s="2" t="s">
        <v>197</v>
      </c>
      <c r="K1281" s="2" t="s">
        <v>728</v>
      </c>
      <c r="L1281" s="2" t="str">
        <f>"M6188L000310"</f>
        <v>M6188L000310</v>
      </c>
      <c r="M1281" s="2" t="s">
        <v>31</v>
      </c>
      <c r="N1281" s="18">
        <v>32004</v>
      </c>
      <c r="O1281" s="2" t="s">
        <v>729</v>
      </c>
    </row>
    <row r="1282" spans="1:15" s="2" customFormat="1" x14ac:dyDescent="0.25">
      <c r="A1282" s="2">
        <v>1282</v>
      </c>
      <c r="B1282" s="2">
        <v>1</v>
      </c>
      <c r="C1282" s="2">
        <v>73</v>
      </c>
      <c r="D1282" s="2">
        <v>1</v>
      </c>
      <c r="E1282" s="2">
        <v>5</v>
      </c>
      <c r="G1282" s="2">
        <v>1</v>
      </c>
      <c r="H1282" s="2">
        <v>4</v>
      </c>
      <c r="I1282" s="2">
        <v>28874067</v>
      </c>
      <c r="J1282" s="2" t="s">
        <v>260</v>
      </c>
      <c r="K1282" s="2" t="s">
        <v>731</v>
      </c>
      <c r="L1282" s="2" t="str">
        <f>"C768R610020"</f>
        <v>C768R610020</v>
      </c>
      <c r="M1282" s="2" t="s">
        <v>33</v>
      </c>
      <c r="N1282" s="18">
        <v>32005</v>
      </c>
      <c r="O1282" s="2" t="s">
        <v>732</v>
      </c>
    </row>
    <row r="1283" spans="1:15" s="2" customFormat="1" x14ac:dyDescent="0.25">
      <c r="A1283" s="2">
        <v>1283</v>
      </c>
      <c r="B1283" s="2">
        <v>1</v>
      </c>
      <c r="C1283" s="2">
        <v>41</v>
      </c>
      <c r="D1283" s="2">
        <v>1</v>
      </c>
      <c r="E1283" s="2">
        <v>13</v>
      </c>
      <c r="G1283" s="2">
        <v>1</v>
      </c>
      <c r="H1283" s="2">
        <v>4</v>
      </c>
      <c r="I1283" s="2">
        <v>28874068</v>
      </c>
      <c r="J1283" s="2" t="s">
        <v>271</v>
      </c>
      <c r="K1283" s="2" t="s">
        <v>733</v>
      </c>
      <c r="L1283" s="2" t="str">
        <f>"1495616"</f>
        <v>1495616</v>
      </c>
      <c r="M1283" s="2" t="s">
        <v>33</v>
      </c>
      <c r="N1283" s="18">
        <v>32006</v>
      </c>
      <c r="O1283" s="2" t="s">
        <v>734</v>
      </c>
    </row>
    <row r="1284" spans="1:15" s="2" customFormat="1" x14ac:dyDescent="0.25">
      <c r="A1284" s="2">
        <v>1284</v>
      </c>
      <c r="B1284" s="2">
        <v>1</v>
      </c>
      <c r="C1284" s="2">
        <v>44</v>
      </c>
      <c r="D1284" s="2">
        <v>1</v>
      </c>
      <c r="E1284" s="2">
        <v>20</v>
      </c>
      <c r="G1284" s="2">
        <v>1</v>
      </c>
      <c r="H1284" s="2">
        <v>4</v>
      </c>
      <c r="I1284" s="2">
        <v>28874064</v>
      </c>
      <c r="J1284" s="2" t="s">
        <v>208</v>
      </c>
      <c r="K1284" s="2" t="s">
        <v>735</v>
      </c>
      <c r="L1284" s="2" t="str">
        <f>"BVWB73500048"</f>
        <v>BVWB73500048</v>
      </c>
      <c r="M1284" s="2" t="s">
        <v>33</v>
      </c>
      <c r="N1284" s="18">
        <v>32007</v>
      </c>
      <c r="O1284" s="2" t="s">
        <v>736</v>
      </c>
    </row>
    <row r="1285" spans="1:15" s="2" customFormat="1" x14ac:dyDescent="0.25">
      <c r="A1285" s="2">
        <v>1285</v>
      </c>
      <c r="B1285" s="2">
        <v>1</v>
      </c>
      <c r="C1285" s="2">
        <v>44</v>
      </c>
      <c r="D1285" s="2">
        <v>1</v>
      </c>
      <c r="E1285" s="2">
        <v>20</v>
      </c>
      <c r="G1285" s="2">
        <v>1</v>
      </c>
      <c r="H1285" s="2">
        <v>4</v>
      </c>
      <c r="I1285" s="2">
        <v>28874065</v>
      </c>
      <c r="J1285" s="2" t="s">
        <v>208</v>
      </c>
      <c r="K1285" s="2" t="s">
        <v>735</v>
      </c>
      <c r="L1285" s="2" t="str">
        <f>"BVWB81600063"</f>
        <v>BVWB81600063</v>
      </c>
      <c r="M1285" s="2" t="s">
        <v>33</v>
      </c>
      <c r="N1285" s="18">
        <v>32008</v>
      </c>
      <c r="O1285" s="2" t="s">
        <v>736</v>
      </c>
    </row>
    <row r="1286" spans="1:15" s="2" customFormat="1" x14ac:dyDescent="0.25">
      <c r="A1286" s="2">
        <v>1286</v>
      </c>
      <c r="B1286" s="2">
        <v>1</v>
      </c>
      <c r="C1286" s="2">
        <v>58</v>
      </c>
      <c r="D1286" s="2">
        <v>1</v>
      </c>
      <c r="E1286" s="2">
        <v>13</v>
      </c>
      <c r="G1286" s="2">
        <v>1</v>
      </c>
      <c r="H1286" s="2">
        <v>4</v>
      </c>
      <c r="I1286" s="2">
        <v>28874066</v>
      </c>
      <c r="J1286" s="2" t="s">
        <v>272</v>
      </c>
      <c r="K1286" s="2" t="s">
        <v>737</v>
      </c>
      <c r="L1286" s="2" t="str">
        <f>"DJ8FB001501"</f>
        <v>DJ8FB001501</v>
      </c>
      <c r="M1286" s="2" t="s">
        <v>33</v>
      </c>
      <c r="N1286" s="18">
        <v>32009</v>
      </c>
      <c r="O1286" s="2">
        <v>504</v>
      </c>
    </row>
    <row r="1287" spans="1:15" s="2" customFormat="1" x14ac:dyDescent="0.25">
      <c r="A1287" s="2">
        <v>1287</v>
      </c>
      <c r="B1287" s="2">
        <v>1</v>
      </c>
      <c r="C1287" s="2">
        <v>40</v>
      </c>
      <c r="D1287" s="2">
        <v>1</v>
      </c>
      <c r="E1287" s="2">
        <v>20</v>
      </c>
      <c r="G1287" s="2">
        <v>1</v>
      </c>
      <c r="H1287" s="2">
        <v>4</v>
      </c>
      <c r="I1287" s="2">
        <v>28874075</v>
      </c>
      <c r="J1287" s="2" t="s">
        <v>220</v>
      </c>
      <c r="K1287" s="2" t="s">
        <v>738</v>
      </c>
      <c r="L1287" s="2" t="str">
        <f>"271FT75H30B2AF5C"</f>
        <v>271FT75H30B2AF5C</v>
      </c>
      <c r="M1287" s="2" t="s">
        <v>33</v>
      </c>
      <c r="N1287" s="18">
        <v>32010</v>
      </c>
      <c r="O1287" s="2" t="s">
        <v>739</v>
      </c>
    </row>
    <row r="1288" spans="1:15" s="2" customFormat="1" x14ac:dyDescent="0.25">
      <c r="A1288" s="2">
        <v>1288</v>
      </c>
      <c r="B1288" s="2">
        <v>1</v>
      </c>
      <c r="C1288" s="2">
        <v>46</v>
      </c>
      <c r="D1288" s="2">
        <v>1</v>
      </c>
      <c r="E1288" s="2">
        <v>20</v>
      </c>
      <c r="G1288" s="2">
        <v>1</v>
      </c>
      <c r="H1288" s="2">
        <v>4</v>
      </c>
      <c r="I1288" s="2">
        <v>28874076</v>
      </c>
      <c r="J1288" s="2" t="s">
        <v>209</v>
      </c>
      <c r="K1288" s="2" t="s">
        <v>740</v>
      </c>
      <c r="L1288" s="2" t="str">
        <f>"501101196150J3300017"</f>
        <v>501101196150J3300017</v>
      </c>
      <c r="M1288" s="2" t="s">
        <v>33</v>
      </c>
      <c r="N1288" s="18">
        <v>32011</v>
      </c>
      <c r="O1288" s="2" t="s">
        <v>741</v>
      </c>
    </row>
    <row r="1289" spans="1:15" s="2" customFormat="1" x14ac:dyDescent="0.25">
      <c r="A1289" s="2">
        <v>1289</v>
      </c>
      <c r="B1289" s="2">
        <v>1</v>
      </c>
      <c r="C1289" s="2">
        <v>15</v>
      </c>
      <c r="D1289" s="2">
        <v>1</v>
      </c>
      <c r="E1289" s="2">
        <v>20</v>
      </c>
      <c r="G1289" s="2">
        <v>1</v>
      </c>
      <c r="H1289" s="2">
        <v>4</v>
      </c>
      <c r="I1289" s="2">
        <v>28874074</v>
      </c>
      <c r="J1289" s="2" t="s">
        <v>145</v>
      </c>
      <c r="K1289" s="2" t="s">
        <v>350</v>
      </c>
      <c r="L1289" s="2" t="str">
        <f>"S21CI30618052"</f>
        <v>S21CI30618052</v>
      </c>
      <c r="M1289" s="2" t="s">
        <v>33</v>
      </c>
      <c r="N1289" s="18">
        <v>32012</v>
      </c>
      <c r="O1289" s="2" t="s">
        <v>742</v>
      </c>
    </row>
    <row r="1290" spans="1:15" s="2" customFormat="1" x14ac:dyDescent="0.25">
      <c r="A1290" s="2">
        <v>1290</v>
      </c>
      <c r="B1290" s="2">
        <v>1</v>
      </c>
      <c r="C1290" s="2">
        <v>42</v>
      </c>
      <c r="D1290" s="2">
        <v>1</v>
      </c>
      <c r="E1290" s="2">
        <v>16</v>
      </c>
      <c r="G1290" s="2">
        <v>1</v>
      </c>
      <c r="H1290" s="2">
        <v>4</v>
      </c>
      <c r="I1290" s="2">
        <v>28874071</v>
      </c>
      <c r="J1290" s="2" t="s">
        <v>192</v>
      </c>
      <c r="K1290" s="2" t="s">
        <v>743</v>
      </c>
      <c r="L1290" s="2" t="str">
        <f>"VNB3P31535"</f>
        <v>VNB3P31535</v>
      </c>
      <c r="M1290" s="2" t="s">
        <v>33</v>
      </c>
      <c r="N1290" s="18">
        <v>32013</v>
      </c>
      <c r="O1290" s="2" t="s">
        <v>744</v>
      </c>
    </row>
    <row r="1291" spans="1:15" s="2" customFormat="1" x14ac:dyDescent="0.25">
      <c r="A1291" s="2">
        <v>1291</v>
      </c>
      <c r="B1291" s="2">
        <v>1</v>
      </c>
      <c r="C1291" s="2">
        <v>42</v>
      </c>
      <c r="D1291" s="2">
        <v>1</v>
      </c>
      <c r="E1291" s="2">
        <v>16</v>
      </c>
      <c r="G1291" s="2">
        <v>1</v>
      </c>
      <c r="H1291" s="2">
        <v>4</v>
      </c>
      <c r="I1291" s="2">
        <v>28874072</v>
      </c>
      <c r="J1291" s="2" t="s">
        <v>192</v>
      </c>
      <c r="K1291" s="2" t="s">
        <v>745</v>
      </c>
      <c r="L1291" s="2" t="str">
        <f>"VNB5D19278"</f>
        <v>VNB5D19278</v>
      </c>
      <c r="M1291" s="2" t="s">
        <v>33</v>
      </c>
      <c r="N1291" s="18">
        <v>32014</v>
      </c>
      <c r="O1291" s="2" t="s">
        <v>746</v>
      </c>
    </row>
    <row r="1292" spans="1:15" s="2" customFormat="1" x14ac:dyDescent="0.25">
      <c r="A1292" s="2">
        <v>1292</v>
      </c>
      <c r="B1292" s="2">
        <v>1</v>
      </c>
      <c r="C1292" s="2">
        <v>42</v>
      </c>
      <c r="D1292" s="2">
        <v>1</v>
      </c>
      <c r="E1292" s="2">
        <v>16</v>
      </c>
      <c r="G1292" s="2">
        <v>1</v>
      </c>
      <c r="H1292" s="2">
        <v>4</v>
      </c>
      <c r="I1292" s="2">
        <v>28874073</v>
      </c>
      <c r="J1292" s="2" t="s">
        <v>192</v>
      </c>
      <c r="K1292" s="2" t="s">
        <v>747</v>
      </c>
      <c r="L1292" s="2" t="str">
        <f>"VNB6W03287"</f>
        <v>VNB6W03287</v>
      </c>
      <c r="M1292" s="2" t="s">
        <v>33</v>
      </c>
      <c r="N1292" s="18">
        <v>32015</v>
      </c>
      <c r="O1292" s="2" t="s">
        <v>748</v>
      </c>
    </row>
    <row r="1293" spans="1:15" s="2" customFormat="1" x14ac:dyDescent="0.25">
      <c r="A1293" s="2">
        <v>1293</v>
      </c>
      <c r="B1293" s="2">
        <v>1</v>
      </c>
      <c r="C1293" s="2">
        <v>50</v>
      </c>
      <c r="D1293" s="2">
        <v>1</v>
      </c>
      <c r="E1293" s="2">
        <v>21</v>
      </c>
      <c r="G1293" s="2">
        <v>1</v>
      </c>
      <c r="H1293" s="2">
        <v>4</v>
      </c>
      <c r="I1293" s="2">
        <v>28874070</v>
      </c>
      <c r="J1293" s="2" t="s">
        <v>195</v>
      </c>
      <c r="K1293" s="2" t="s">
        <v>749</v>
      </c>
      <c r="L1293" s="2" t="str">
        <f>"804NTKF9H429"</f>
        <v>804NTKF9H429</v>
      </c>
      <c r="M1293" s="2" t="s">
        <v>33</v>
      </c>
      <c r="N1293" s="18">
        <v>32016</v>
      </c>
      <c r="O1293" s="2">
        <v>168</v>
      </c>
    </row>
    <row r="1294" spans="1:15" s="2" customFormat="1" x14ac:dyDescent="0.25">
      <c r="A1294" s="2">
        <v>1294</v>
      </c>
      <c r="B1294" s="2">
        <v>1</v>
      </c>
      <c r="C1294" s="2">
        <v>48</v>
      </c>
      <c r="D1294" s="2">
        <v>1</v>
      </c>
      <c r="E1294" s="2">
        <v>14</v>
      </c>
      <c r="G1294" s="2">
        <v>1</v>
      </c>
      <c r="H1294" s="2">
        <v>4</v>
      </c>
      <c r="I1294" s="2">
        <v>29455837</v>
      </c>
      <c r="J1294" s="2" t="s">
        <v>196</v>
      </c>
      <c r="K1294" s="2" t="s">
        <v>750</v>
      </c>
      <c r="L1294" s="2" t="str">
        <f>"HP1HMCE6"</f>
        <v>HP1HMCE6</v>
      </c>
      <c r="M1294" s="2" t="s">
        <v>38</v>
      </c>
      <c r="N1294" s="18">
        <v>32017</v>
      </c>
      <c r="O1294" s="2" t="s">
        <v>751</v>
      </c>
    </row>
    <row r="1295" spans="1:15" s="2" customFormat="1" x14ac:dyDescent="0.25">
      <c r="A1295" s="2">
        <v>1295</v>
      </c>
      <c r="B1295" s="2">
        <v>1</v>
      </c>
      <c r="C1295" s="2">
        <v>48</v>
      </c>
      <c r="D1295" s="2">
        <v>1</v>
      </c>
      <c r="E1295" s="2">
        <v>14</v>
      </c>
      <c r="G1295" s="2">
        <v>1</v>
      </c>
      <c r="H1295" s="2">
        <v>4</v>
      </c>
      <c r="I1295" s="2">
        <v>29455834</v>
      </c>
      <c r="J1295" s="2" t="s">
        <v>196</v>
      </c>
      <c r="K1295" s="2" t="s">
        <v>750</v>
      </c>
      <c r="L1295" s="2" t="str">
        <f>"HP1HM4DF"</f>
        <v>HP1HM4DF</v>
      </c>
      <c r="M1295" s="2" t="s">
        <v>38</v>
      </c>
      <c r="N1295" s="18">
        <v>32018</v>
      </c>
      <c r="O1295" s="2" t="s">
        <v>751</v>
      </c>
    </row>
    <row r="1296" spans="1:15" s="2" customFormat="1" x14ac:dyDescent="0.25">
      <c r="A1296" s="2">
        <v>1296</v>
      </c>
      <c r="B1296" s="2">
        <v>1</v>
      </c>
      <c r="C1296" s="2">
        <v>48</v>
      </c>
      <c r="D1296" s="2">
        <v>1</v>
      </c>
      <c r="E1296" s="2">
        <v>14</v>
      </c>
      <c r="G1296" s="2">
        <v>1</v>
      </c>
      <c r="H1296" s="2">
        <v>4</v>
      </c>
      <c r="I1296" s="2">
        <v>29455835</v>
      </c>
      <c r="J1296" s="2" t="s">
        <v>196</v>
      </c>
      <c r="K1296" s="2" t="s">
        <v>750</v>
      </c>
      <c r="L1296" s="2" t="str">
        <f>"HP1HM4LV"</f>
        <v>HP1HM4LV</v>
      </c>
      <c r="M1296" s="2" t="s">
        <v>38</v>
      </c>
      <c r="N1296" s="18">
        <v>32019</v>
      </c>
      <c r="O1296" s="2" t="s">
        <v>751</v>
      </c>
    </row>
    <row r="1297" spans="1:15" s="2" customFormat="1" x14ac:dyDescent="0.25">
      <c r="A1297" s="2">
        <v>1297</v>
      </c>
      <c r="B1297" s="2">
        <v>1</v>
      </c>
      <c r="C1297" s="2">
        <v>48</v>
      </c>
      <c r="D1297" s="2">
        <v>1</v>
      </c>
      <c r="E1297" s="2">
        <v>14</v>
      </c>
      <c r="G1297" s="2">
        <v>1</v>
      </c>
      <c r="H1297" s="2">
        <v>4</v>
      </c>
      <c r="I1297" s="2">
        <v>29455836</v>
      </c>
      <c r="J1297" s="2" t="s">
        <v>196</v>
      </c>
      <c r="K1297" s="2" t="s">
        <v>750</v>
      </c>
      <c r="L1297" s="2" t="str">
        <f>"HP1HM9Q5"</f>
        <v>HP1HM9Q5</v>
      </c>
      <c r="M1297" s="2" t="s">
        <v>38</v>
      </c>
      <c r="N1297" s="18">
        <v>32020</v>
      </c>
      <c r="O1297" s="2" t="s">
        <v>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8"/>
  <sheetViews>
    <sheetView workbookViewId="0">
      <selection activeCell="C10" sqref="C10"/>
    </sheetView>
  </sheetViews>
  <sheetFormatPr baseColWidth="10" defaultRowHeight="15" x14ac:dyDescent="0.25"/>
  <cols>
    <col min="2" max="2" width="11.85546875" bestFit="1" customWidth="1"/>
  </cols>
  <sheetData>
    <row r="1" spans="1:5" x14ac:dyDescent="0.25">
      <c r="A1" t="s">
        <v>752</v>
      </c>
      <c r="B1" t="s">
        <v>753</v>
      </c>
      <c r="C1" t="s">
        <v>754</v>
      </c>
      <c r="D1" t="s">
        <v>347</v>
      </c>
      <c r="E1" t="s">
        <v>755</v>
      </c>
    </row>
    <row r="2" spans="1:5" x14ac:dyDescent="0.25">
      <c r="A2">
        <v>1</v>
      </c>
      <c r="B2" s="17">
        <v>4</v>
      </c>
      <c r="C2">
        <v>1</v>
      </c>
      <c r="D2">
        <v>39</v>
      </c>
      <c r="E2" s="22">
        <v>44133</v>
      </c>
    </row>
    <row r="3" spans="1:5" x14ac:dyDescent="0.25">
      <c r="A3">
        <v>2</v>
      </c>
      <c r="B3">
        <v>3</v>
      </c>
      <c r="C3">
        <v>2</v>
      </c>
      <c r="D3">
        <v>39</v>
      </c>
      <c r="E3" s="22">
        <v>44133</v>
      </c>
    </row>
    <row r="4" spans="1:5" x14ac:dyDescent="0.25">
      <c r="A4">
        <v>3</v>
      </c>
      <c r="B4">
        <v>39</v>
      </c>
      <c r="C4">
        <v>3</v>
      </c>
      <c r="D4">
        <v>39</v>
      </c>
      <c r="E4" s="22">
        <v>44133</v>
      </c>
    </row>
    <row r="5" spans="1:5" x14ac:dyDescent="0.25">
      <c r="A5">
        <v>4</v>
      </c>
      <c r="B5">
        <v>2</v>
      </c>
      <c r="C5">
        <v>4</v>
      </c>
      <c r="D5">
        <v>39</v>
      </c>
      <c r="E5" s="22">
        <v>44133</v>
      </c>
    </row>
    <row r="6" spans="1:5" x14ac:dyDescent="0.25">
      <c r="A6">
        <v>5</v>
      </c>
      <c r="B6">
        <v>9</v>
      </c>
      <c r="C6">
        <v>5</v>
      </c>
      <c r="D6">
        <v>39</v>
      </c>
      <c r="E6" s="22">
        <v>44133</v>
      </c>
    </row>
    <row r="7" spans="1:5" x14ac:dyDescent="0.25">
      <c r="A7">
        <v>6</v>
      </c>
      <c r="B7">
        <v>4</v>
      </c>
      <c r="C7">
        <v>6</v>
      </c>
      <c r="D7">
        <v>39</v>
      </c>
      <c r="E7" s="22">
        <v>44133</v>
      </c>
    </row>
    <row r="8" spans="1:5" x14ac:dyDescent="0.25">
      <c r="A8">
        <v>7</v>
      </c>
      <c r="B8">
        <v>25</v>
      </c>
      <c r="C8">
        <v>7</v>
      </c>
      <c r="D8">
        <v>39</v>
      </c>
      <c r="E8" s="22">
        <v>44133</v>
      </c>
    </row>
    <row r="9" spans="1:5" x14ac:dyDescent="0.25">
      <c r="A9">
        <v>8</v>
      </c>
      <c r="B9">
        <v>39</v>
      </c>
      <c r="C9">
        <v>8</v>
      </c>
      <c r="D9">
        <v>39</v>
      </c>
      <c r="E9" s="22">
        <v>44133</v>
      </c>
    </row>
    <row r="10" spans="1:5" x14ac:dyDescent="0.25">
      <c r="A10">
        <v>9</v>
      </c>
      <c r="B10">
        <v>2</v>
      </c>
      <c r="C10">
        <v>9</v>
      </c>
      <c r="D10">
        <v>39</v>
      </c>
      <c r="E10" s="22">
        <v>44133</v>
      </c>
    </row>
    <row r="11" spans="1:5" x14ac:dyDescent="0.25">
      <c r="A11">
        <v>10</v>
      </c>
      <c r="B11">
        <v>9</v>
      </c>
      <c r="C11">
        <v>10</v>
      </c>
      <c r="D11">
        <v>39</v>
      </c>
      <c r="E11" s="22">
        <v>44133</v>
      </c>
    </row>
    <row r="12" spans="1:5" x14ac:dyDescent="0.25">
      <c r="A12">
        <v>11</v>
      </c>
      <c r="B12">
        <v>9</v>
      </c>
      <c r="C12">
        <v>11</v>
      </c>
      <c r="D12">
        <v>39</v>
      </c>
      <c r="E12" s="22">
        <v>44133</v>
      </c>
    </row>
    <row r="13" spans="1:5" x14ac:dyDescent="0.25">
      <c r="A13">
        <v>12</v>
      </c>
      <c r="B13">
        <v>39</v>
      </c>
      <c r="C13">
        <v>12</v>
      </c>
      <c r="D13">
        <v>4</v>
      </c>
      <c r="E13" s="22">
        <v>44133</v>
      </c>
    </row>
    <row r="14" spans="1:5" x14ac:dyDescent="0.25">
      <c r="A14">
        <v>13</v>
      </c>
      <c r="B14">
        <v>39</v>
      </c>
      <c r="C14">
        <v>13</v>
      </c>
      <c r="D14">
        <v>4</v>
      </c>
      <c r="E14" s="22">
        <v>44133</v>
      </c>
    </row>
    <row r="15" spans="1:5" x14ac:dyDescent="0.25">
      <c r="A15">
        <v>14</v>
      </c>
      <c r="B15">
        <v>9</v>
      </c>
      <c r="C15">
        <v>14</v>
      </c>
      <c r="D15">
        <v>4</v>
      </c>
      <c r="E15" s="22">
        <v>44133</v>
      </c>
    </row>
    <row r="16" spans="1:5" x14ac:dyDescent="0.25">
      <c r="A16">
        <v>15</v>
      </c>
      <c r="B16">
        <v>39</v>
      </c>
      <c r="C16">
        <v>15</v>
      </c>
      <c r="D16">
        <v>4</v>
      </c>
      <c r="E16" s="22">
        <v>44133</v>
      </c>
    </row>
    <row r="17" spans="1:5" x14ac:dyDescent="0.25">
      <c r="A17">
        <v>16</v>
      </c>
      <c r="B17">
        <v>30</v>
      </c>
      <c r="C17">
        <v>16</v>
      </c>
      <c r="D17">
        <v>39</v>
      </c>
      <c r="E17" s="22">
        <v>44133</v>
      </c>
    </row>
    <row r="18" spans="1:5" x14ac:dyDescent="0.25">
      <c r="A18">
        <v>17</v>
      </c>
      <c r="B18">
        <v>39</v>
      </c>
      <c r="C18">
        <v>17</v>
      </c>
      <c r="D18">
        <v>39</v>
      </c>
      <c r="E18" s="22">
        <v>44133</v>
      </c>
    </row>
    <row r="19" spans="1:5" x14ac:dyDescent="0.25">
      <c r="A19">
        <v>18</v>
      </c>
      <c r="B19">
        <v>39</v>
      </c>
      <c r="C19">
        <v>18</v>
      </c>
      <c r="D19">
        <v>39</v>
      </c>
      <c r="E19" s="22">
        <v>44133</v>
      </c>
    </row>
    <row r="20" spans="1:5" x14ac:dyDescent="0.25">
      <c r="A20">
        <v>19</v>
      </c>
      <c r="B20">
        <v>23</v>
      </c>
      <c r="C20">
        <v>19</v>
      </c>
      <c r="D20">
        <v>39</v>
      </c>
      <c r="E20" s="22">
        <v>44133</v>
      </c>
    </row>
    <row r="21" spans="1:5" x14ac:dyDescent="0.25">
      <c r="A21">
        <v>20</v>
      </c>
      <c r="B21">
        <v>39</v>
      </c>
      <c r="C21">
        <v>20</v>
      </c>
      <c r="D21">
        <v>39</v>
      </c>
      <c r="E21" s="22">
        <v>44133</v>
      </c>
    </row>
    <row r="22" spans="1:5" x14ac:dyDescent="0.25">
      <c r="A22">
        <v>21</v>
      </c>
      <c r="B22">
        <v>26</v>
      </c>
      <c r="C22">
        <v>21</v>
      </c>
      <c r="D22">
        <v>39</v>
      </c>
      <c r="E22" s="22">
        <v>44133</v>
      </c>
    </row>
    <row r="23" spans="1:5" x14ac:dyDescent="0.25">
      <c r="A23">
        <v>22</v>
      </c>
      <c r="B23">
        <v>4</v>
      </c>
      <c r="C23">
        <v>22</v>
      </c>
      <c r="D23">
        <v>39</v>
      </c>
      <c r="E23" s="22">
        <v>44133</v>
      </c>
    </row>
    <row r="24" spans="1:5" x14ac:dyDescent="0.25">
      <c r="A24">
        <v>23</v>
      </c>
      <c r="B24">
        <v>34</v>
      </c>
      <c r="C24">
        <v>23</v>
      </c>
      <c r="D24">
        <v>39</v>
      </c>
      <c r="E24" s="22">
        <v>44133</v>
      </c>
    </row>
    <row r="25" spans="1:5" x14ac:dyDescent="0.25">
      <c r="A25">
        <v>24</v>
      </c>
      <c r="B25">
        <v>3</v>
      </c>
      <c r="C25">
        <v>24</v>
      </c>
      <c r="D25">
        <v>39</v>
      </c>
      <c r="E25" s="22">
        <v>44133</v>
      </c>
    </row>
    <row r="26" spans="1:5" x14ac:dyDescent="0.25">
      <c r="A26">
        <v>25</v>
      </c>
      <c r="B26">
        <v>4</v>
      </c>
      <c r="C26">
        <v>25</v>
      </c>
      <c r="D26">
        <v>39</v>
      </c>
      <c r="E26" s="22">
        <v>44133</v>
      </c>
    </row>
    <row r="27" spans="1:5" x14ac:dyDescent="0.25">
      <c r="A27">
        <v>26</v>
      </c>
      <c r="B27">
        <v>37</v>
      </c>
      <c r="C27">
        <v>26</v>
      </c>
      <c r="D27">
        <v>39</v>
      </c>
      <c r="E27" s="22">
        <v>44133</v>
      </c>
    </row>
    <row r="28" spans="1:5" x14ac:dyDescent="0.25">
      <c r="A28">
        <v>27</v>
      </c>
      <c r="B28">
        <v>39</v>
      </c>
      <c r="C28">
        <v>27</v>
      </c>
      <c r="D28">
        <v>39</v>
      </c>
      <c r="E28" s="22">
        <v>44133</v>
      </c>
    </row>
    <row r="29" spans="1:5" x14ac:dyDescent="0.25">
      <c r="A29">
        <v>28</v>
      </c>
      <c r="B29">
        <v>37</v>
      </c>
      <c r="C29">
        <v>28</v>
      </c>
      <c r="D29">
        <v>39</v>
      </c>
      <c r="E29" s="22">
        <v>44133</v>
      </c>
    </row>
    <row r="30" spans="1:5" x14ac:dyDescent="0.25">
      <c r="A30">
        <v>29</v>
      </c>
      <c r="B30">
        <v>39</v>
      </c>
      <c r="C30">
        <v>29</v>
      </c>
      <c r="D30">
        <v>39</v>
      </c>
      <c r="E30" s="22">
        <v>44133</v>
      </c>
    </row>
    <row r="31" spans="1:5" x14ac:dyDescent="0.25">
      <c r="A31">
        <v>30</v>
      </c>
      <c r="B31">
        <v>3</v>
      </c>
      <c r="C31">
        <v>30</v>
      </c>
      <c r="D31">
        <v>39</v>
      </c>
      <c r="E31" s="22">
        <v>44133</v>
      </c>
    </row>
    <row r="32" spans="1:5" x14ac:dyDescent="0.25">
      <c r="A32">
        <v>31</v>
      </c>
      <c r="B32">
        <v>3</v>
      </c>
      <c r="C32">
        <v>31</v>
      </c>
      <c r="D32">
        <v>39</v>
      </c>
      <c r="E32" s="22">
        <v>44133</v>
      </c>
    </row>
    <row r="33" spans="1:5" x14ac:dyDescent="0.25">
      <c r="A33">
        <v>32</v>
      </c>
      <c r="B33">
        <v>3</v>
      </c>
      <c r="C33">
        <v>32</v>
      </c>
      <c r="D33">
        <v>39</v>
      </c>
      <c r="E33" s="22">
        <v>44133</v>
      </c>
    </row>
    <row r="34" spans="1:5" x14ac:dyDescent="0.25">
      <c r="A34">
        <v>33</v>
      </c>
      <c r="B34">
        <v>3</v>
      </c>
      <c r="C34">
        <v>33</v>
      </c>
      <c r="D34">
        <v>39</v>
      </c>
      <c r="E34" s="22">
        <v>44133</v>
      </c>
    </row>
    <row r="35" spans="1:5" x14ac:dyDescent="0.25">
      <c r="A35">
        <v>34</v>
      </c>
      <c r="B35">
        <v>39</v>
      </c>
      <c r="C35">
        <v>34</v>
      </c>
      <c r="D35">
        <v>39</v>
      </c>
      <c r="E35" s="22">
        <v>44133</v>
      </c>
    </row>
    <row r="36" spans="1:5" x14ac:dyDescent="0.25">
      <c r="A36">
        <v>35</v>
      </c>
      <c r="B36">
        <v>39</v>
      </c>
      <c r="C36">
        <v>35</v>
      </c>
      <c r="D36">
        <v>39</v>
      </c>
      <c r="E36" s="22">
        <v>44133</v>
      </c>
    </row>
    <row r="37" spans="1:5" x14ac:dyDescent="0.25">
      <c r="A37">
        <v>36</v>
      </c>
      <c r="B37">
        <v>39</v>
      </c>
      <c r="C37">
        <v>36</v>
      </c>
      <c r="D37">
        <v>39</v>
      </c>
      <c r="E37" s="22">
        <v>44133</v>
      </c>
    </row>
    <row r="38" spans="1:5" x14ac:dyDescent="0.25">
      <c r="A38">
        <v>37</v>
      </c>
      <c r="B38">
        <v>39</v>
      </c>
      <c r="C38">
        <v>37</v>
      </c>
      <c r="D38">
        <v>39</v>
      </c>
      <c r="E38" s="22">
        <v>44133</v>
      </c>
    </row>
    <row r="39" spans="1:5" x14ac:dyDescent="0.25">
      <c r="A39">
        <v>38</v>
      </c>
      <c r="B39">
        <v>39</v>
      </c>
      <c r="C39">
        <v>38</v>
      </c>
      <c r="D39">
        <v>39</v>
      </c>
      <c r="E39" s="22">
        <v>44133</v>
      </c>
    </row>
    <row r="40" spans="1:5" x14ac:dyDescent="0.25">
      <c r="A40">
        <v>39</v>
      </c>
      <c r="B40">
        <v>39</v>
      </c>
      <c r="C40">
        <v>39</v>
      </c>
      <c r="D40">
        <v>39</v>
      </c>
      <c r="E40" s="22">
        <v>44133</v>
      </c>
    </row>
    <row r="41" spans="1:5" x14ac:dyDescent="0.25">
      <c r="A41">
        <v>40</v>
      </c>
      <c r="B41">
        <v>39</v>
      </c>
      <c r="C41">
        <v>40</v>
      </c>
      <c r="D41">
        <v>39</v>
      </c>
      <c r="E41" s="22">
        <v>44133</v>
      </c>
    </row>
    <row r="42" spans="1:5" x14ac:dyDescent="0.25">
      <c r="A42">
        <v>41</v>
      </c>
      <c r="B42">
        <v>39</v>
      </c>
      <c r="C42">
        <v>41</v>
      </c>
      <c r="D42">
        <v>39</v>
      </c>
      <c r="E42" s="22">
        <v>44133</v>
      </c>
    </row>
    <row r="43" spans="1:5" x14ac:dyDescent="0.25">
      <c r="A43">
        <v>42</v>
      </c>
      <c r="B43">
        <v>15</v>
      </c>
      <c r="C43">
        <v>42</v>
      </c>
      <c r="D43">
        <v>39</v>
      </c>
      <c r="E43" s="22">
        <v>44133</v>
      </c>
    </row>
    <row r="44" spans="1:5" x14ac:dyDescent="0.25">
      <c r="A44">
        <v>43</v>
      </c>
      <c r="B44">
        <v>15</v>
      </c>
      <c r="C44">
        <v>43</v>
      </c>
      <c r="D44">
        <v>39</v>
      </c>
      <c r="E44" s="22">
        <v>44133</v>
      </c>
    </row>
    <row r="45" spans="1:5" x14ac:dyDescent="0.25">
      <c r="A45">
        <v>44</v>
      </c>
      <c r="B45">
        <v>23</v>
      </c>
      <c r="C45">
        <v>44</v>
      </c>
      <c r="D45">
        <v>39</v>
      </c>
      <c r="E45" s="22">
        <v>44133</v>
      </c>
    </row>
    <row r="46" spans="1:5" x14ac:dyDescent="0.25">
      <c r="A46">
        <v>45</v>
      </c>
      <c r="B46">
        <v>23</v>
      </c>
      <c r="C46">
        <v>45</v>
      </c>
      <c r="D46">
        <v>39</v>
      </c>
      <c r="E46" s="22">
        <v>44133</v>
      </c>
    </row>
    <row r="47" spans="1:5" x14ac:dyDescent="0.25">
      <c r="A47">
        <v>46</v>
      </c>
      <c r="B47">
        <v>30</v>
      </c>
      <c r="C47">
        <v>46</v>
      </c>
      <c r="D47">
        <v>39</v>
      </c>
      <c r="E47" s="22">
        <v>44133</v>
      </c>
    </row>
    <row r="48" spans="1:5" x14ac:dyDescent="0.25">
      <c r="A48">
        <v>47</v>
      </c>
      <c r="B48">
        <v>6</v>
      </c>
      <c r="C48">
        <v>47</v>
      </c>
      <c r="D48">
        <v>39</v>
      </c>
      <c r="E48" s="22">
        <v>44133</v>
      </c>
    </row>
    <row r="49" spans="1:5" x14ac:dyDescent="0.25">
      <c r="A49">
        <v>48</v>
      </c>
      <c r="B49">
        <v>23</v>
      </c>
      <c r="C49">
        <v>48</v>
      </c>
      <c r="D49">
        <v>39</v>
      </c>
      <c r="E49" s="22">
        <v>44133</v>
      </c>
    </row>
    <row r="50" spans="1:5" x14ac:dyDescent="0.25">
      <c r="A50">
        <v>49</v>
      </c>
      <c r="B50">
        <v>23</v>
      </c>
      <c r="C50">
        <v>49</v>
      </c>
      <c r="D50">
        <v>39</v>
      </c>
      <c r="E50" s="22">
        <v>44133</v>
      </c>
    </row>
    <row r="51" spans="1:5" x14ac:dyDescent="0.25">
      <c r="A51">
        <v>50</v>
      </c>
      <c r="B51">
        <v>23</v>
      </c>
      <c r="C51">
        <v>50</v>
      </c>
      <c r="D51">
        <v>39</v>
      </c>
      <c r="E51" s="22">
        <v>44133</v>
      </c>
    </row>
    <row r="52" spans="1:5" x14ac:dyDescent="0.25">
      <c r="A52">
        <v>51</v>
      </c>
      <c r="B52">
        <v>23</v>
      </c>
      <c r="C52">
        <v>51</v>
      </c>
      <c r="D52">
        <v>39</v>
      </c>
      <c r="E52" s="22">
        <v>44133</v>
      </c>
    </row>
    <row r="53" spans="1:5" x14ac:dyDescent="0.25">
      <c r="A53">
        <v>52</v>
      </c>
      <c r="B53">
        <v>23</v>
      </c>
      <c r="C53">
        <v>52</v>
      </c>
      <c r="D53">
        <v>39</v>
      </c>
      <c r="E53" s="22">
        <v>44133</v>
      </c>
    </row>
    <row r="54" spans="1:5" x14ac:dyDescent="0.25">
      <c r="A54">
        <v>53</v>
      </c>
      <c r="B54">
        <v>23</v>
      </c>
      <c r="C54">
        <v>53</v>
      </c>
      <c r="D54">
        <v>39</v>
      </c>
      <c r="E54" s="22">
        <v>44133</v>
      </c>
    </row>
    <row r="55" spans="1:5" x14ac:dyDescent="0.25">
      <c r="A55">
        <v>54</v>
      </c>
      <c r="B55">
        <v>23</v>
      </c>
      <c r="C55">
        <v>54</v>
      </c>
      <c r="D55">
        <v>39</v>
      </c>
      <c r="E55" s="22">
        <v>44133</v>
      </c>
    </row>
    <row r="56" spans="1:5" x14ac:dyDescent="0.25">
      <c r="A56">
        <v>55</v>
      </c>
      <c r="B56">
        <v>23</v>
      </c>
      <c r="C56">
        <v>55</v>
      </c>
      <c r="D56">
        <v>39</v>
      </c>
      <c r="E56" s="22">
        <v>44133</v>
      </c>
    </row>
    <row r="57" spans="1:5" x14ac:dyDescent="0.25">
      <c r="A57">
        <v>56</v>
      </c>
      <c r="B57">
        <v>23</v>
      </c>
      <c r="C57">
        <v>56</v>
      </c>
      <c r="D57">
        <v>39</v>
      </c>
      <c r="E57" s="22">
        <v>44133</v>
      </c>
    </row>
    <row r="58" spans="1:5" x14ac:dyDescent="0.25">
      <c r="A58">
        <v>57</v>
      </c>
      <c r="B58">
        <v>23</v>
      </c>
      <c r="C58">
        <v>57</v>
      </c>
      <c r="D58">
        <v>39</v>
      </c>
      <c r="E58" s="22">
        <v>44133</v>
      </c>
    </row>
    <row r="59" spans="1:5" x14ac:dyDescent="0.25">
      <c r="A59">
        <v>58</v>
      </c>
      <c r="B59">
        <v>23</v>
      </c>
      <c r="C59">
        <v>58</v>
      </c>
      <c r="D59">
        <v>39</v>
      </c>
      <c r="E59" s="22">
        <v>44133</v>
      </c>
    </row>
    <row r="60" spans="1:5" x14ac:dyDescent="0.25">
      <c r="A60">
        <v>59</v>
      </c>
      <c r="B60">
        <v>30</v>
      </c>
      <c r="C60">
        <v>59</v>
      </c>
      <c r="D60">
        <v>39</v>
      </c>
      <c r="E60" s="22">
        <v>44133</v>
      </c>
    </row>
    <row r="61" spans="1:5" x14ac:dyDescent="0.25">
      <c r="A61">
        <v>60</v>
      </c>
      <c r="B61">
        <v>23</v>
      </c>
      <c r="C61">
        <v>60</v>
      </c>
      <c r="D61">
        <v>39</v>
      </c>
      <c r="E61" s="22">
        <v>44133</v>
      </c>
    </row>
    <row r="62" spans="1:5" x14ac:dyDescent="0.25">
      <c r="A62">
        <v>61</v>
      </c>
      <c r="B62">
        <v>23</v>
      </c>
      <c r="C62">
        <v>61</v>
      </c>
      <c r="D62">
        <v>39</v>
      </c>
      <c r="E62" s="22">
        <v>44133</v>
      </c>
    </row>
    <row r="63" spans="1:5" x14ac:dyDescent="0.25">
      <c r="A63">
        <v>62</v>
      </c>
      <c r="B63">
        <v>23</v>
      </c>
      <c r="C63">
        <v>62</v>
      </c>
      <c r="D63">
        <v>39</v>
      </c>
      <c r="E63" s="22">
        <v>44133</v>
      </c>
    </row>
    <row r="64" spans="1:5" x14ac:dyDescent="0.25">
      <c r="A64">
        <v>63</v>
      </c>
      <c r="B64">
        <v>23</v>
      </c>
      <c r="C64">
        <v>63</v>
      </c>
      <c r="D64">
        <v>39</v>
      </c>
      <c r="E64" s="22">
        <v>44133</v>
      </c>
    </row>
    <row r="65" spans="1:5" x14ac:dyDescent="0.25">
      <c r="A65">
        <v>64</v>
      </c>
      <c r="B65">
        <v>23</v>
      </c>
      <c r="C65">
        <v>64</v>
      </c>
      <c r="D65">
        <v>39</v>
      </c>
      <c r="E65" s="22">
        <v>44133</v>
      </c>
    </row>
    <row r="66" spans="1:5" x14ac:dyDescent="0.25">
      <c r="A66">
        <v>65</v>
      </c>
      <c r="B66">
        <v>23</v>
      </c>
      <c r="C66">
        <v>65</v>
      </c>
      <c r="D66">
        <v>39</v>
      </c>
      <c r="E66" s="22">
        <v>44133</v>
      </c>
    </row>
    <row r="67" spans="1:5" x14ac:dyDescent="0.25">
      <c r="A67">
        <v>66</v>
      </c>
      <c r="B67">
        <v>23</v>
      </c>
      <c r="C67">
        <v>66</v>
      </c>
      <c r="D67">
        <v>39</v>
      </c>
      <c r="E67" s="22">
        <v>44133</v>
      </c>
    </row>
    <row r="68" spans="1:5" x14ac:dyDescent="0.25">
      <c r="A68">
        <v>67</v>
      </c>
      <c r="B68">
        <v>23</v>
      </c>
      <c r="C68">
        <v>67</v>
      </c>
      <c r="D68">
        <v>39</v>
      </c>
      <c r="E68" s="22">
        <v>44133</v>
      </c>
    </row>
    <row r="69" spans="1:5" x14ac:dyDescent="0.25">
      <c r="A69">
        <v>68</v>
      </c>
      <c r="B69">
        <v>23</v>
      </c>
      <c r="C69">
        <v>68</v>
      </c>
      <c r="D69">
        <v>39</v>
      </c>
      <c r="E69" s="22">
        <v>44133</v>
      </c>
    </row>
    <row r="70" spans="1:5" x14ac:dyDescent="0.25">
      <c r="A70">
        <v>69</v>
      </c>
      <c r="B70">
        <v>30</v>
      </c>
      <c r="C70">
        <v>69</v>
      </c>
      <c r="D70">
        <v>39</v>
      </c>
      <c r="E70" s="22">
        <v>44133</v>
      </c>
    </row>
    <row r="71" spans="1:5" x14ac:dyDescent="0.25">
      <c r="A71">
        <v>70</v>
      </c>
      <c r="B71">
        <v>23</v>
      </c>
      <c r="C71">
        <v>70</v>
      </c>
      <c r="D71">
        <v>39</v>
      </c>
      <c r="E71" s="22">
        <v>44133</v>
      </c>
    </row>
    <row r="72" spans="1:5" x14ac:dyDescent="0.25">
      <c r="A72">
        <v>71</v>
      </c>
      <c r="B72">
        <v>23</v>
      </c>
      <c r="C72">
        <v>71</v>
      </c>
      <c r="D72">
        <v>39</v>
      </c>
      <c r="E72" s="22">
        <v>44133</v>
      </c>
    </row>
    <row r="73" spans="1:5" x14ac:dyDescent="0.25">
      <c r="A73">
        <v>72</v>
      </c>
      <c r="B73">
        <v>23</v>
      </c>
      <c r="C73">
        <v>72</v>
      </c>
      <c r="D73">
        <v>39</v>
      </c>
      <c r="E73" s="22">
        <v>44133</v>
      </c>
    </row>
    <row r="74" spans="1:5" x14ac:dyDescent="0.25">
      <c r="A74">
        <v>73</v>
      </c>
      <c r="B74">
        <v>23</v>
      </c>
      <c r="C74">
        <v>73</v>
      </c>
      <c r="D74">
        <v>39</v>
      </c>
      <c r="E74" s="22">
        <v>44133</v>
      </c>
    </row>
    <row r="75" spans="1:5" x14ac:dyDescent="0.25">
      <c r="A75">
        <v>74</v>
      </c>
      <c r="B75">
        <v>23</v>
      </c>
      <c r="C75">
        <v>74</v>
      </c>
      <c r="D75">
        <v>39</v>
      </c>
      <c r="E75" s="22">
        <v>44133</v>
      </c>
    </row>
    <row r="76" spans="1:5" x14ac:dyDescent="0.25">
      <c r="A76">
        <v>75</v>
      </c>
      <c r="B76">
        <v>23</v>
      </c>
      <c r="C76">
        <v>75</v>
      </c>
      <c r="D76">
        <v>39</v>
      </c>
      <c r="E76" s="22">
        <v>44133</v>
      </c>
    </row>
    <row r="77" spans="1:5" x14ac:dyDescent="0.25">
      <c r="A77">
        <v>76</v>
      </c>
      <c r="B77">
        <v>23</v>
      </c>
      <c r="C77">
        <v>76</v>
      </c>
      <c r="D77">
        <v>39</v>
      </c>
      <c r="E77" s="22">
        <v>44133</v>
      </c>
    </row>
    <row r="78" spans="1:5" x14ac:dyDescent="0.25">
      <c r="A78">
        <v>77</v>
      </c>
      <c r="B78">
        <v>23</v>
      </c>
      <c r="C78">
        <v>77</v>
      </c>
      <c r="D78">
        <v>39</v>
      </c>
      <c r="E78" s="22">
        <v>44133</v>
      </c>
    </row>
    <row r="79" spans="1:5" x14ac:dyDescent="0.25">
      <c r="A79">
        <v>78</v>
      </c>
      <c r="B79">
        <v>23</v>
      </c>
      <c r="C79">
        <v>78</v>
      </c>
      <c r="D79">
        <v>39</v>
      </c>
      <c r="E79" s="22">
        <v>44133</v>
      </c>
    </row>
    <row r="80" spans="1:5" x14ac:dyDescent="0.25">
      <c r="A80">
        <v>79</v>
      </c>
      <c r="B80">
        <v>23</v>
      </c>
      <c r="C80">
        <v>79</v>
      </c>
      <c r="D80">
        <v>39</v>
      </c>
      <c r="E80" s="22">
        <v>44133</v>
      </c>
    </row>
    <row r="81" spans="1:5" x14ac:dyDescent="0.25">
      <c r="A81">
        <v>80</v>
      </c>
      <c r="B81">
        <v>23</v>
      </c>
      <c r="C81">
        <v>80</v>
      </c>
      <c r="D81">
        <v>39</v>
      </c>
      <c r="E81" s="22">
        <v>44133</v>
      </c>
    </row>
    <row r="82" spans="1:5" x14ac:dyDescent="0.25">
      <c r="A82">
        <v>81</v>
      </c>
      <c r="B82">
        <v>23</v>
      </c>
      <c r="C82">
        <v>81</v>
      </c>
      <c r="D82">
        <v>39</v>
      </c>
      <c r="E82" s="22">
        <v>44133</v>
      </c>
    </row>
    <row r="83" spans="1:5" x14ac:dyDescent="0.25">
      <c r="A83">
        <v>82</v>
      </c>
      <c r="B83">
        <v>23</v>
      </c>
      <c r="C83">
        <v>82</v>
      </c>
      <c r="D83">
        <v>39</v>
      </c>
      <c r="E83" s="22">
        <v>44133</v>
      </c>
    </row>
    <row r="84" spans="1:5" x14ac:dyDescent="0.25">
      <c r="A84">
        <v>83</v>
      </c>
      <c r="B84">
        <v>23</v>
      </c>
      <c r="C84">
        <v>83</v>
      </c>
      <c r="D84">
        <v>39</v>
      </c>
      <c r="E84" s="22">
        <v>44133</v>
      </c>
    </row>
    <row r="85" spans="1:5" x14ac:dyDescent="0.25">
      <c r="A85">
        <v>84</v>
      </c>
      <c r="B85">
        <v>23</v>
      </c>
      <c r="C85">
        <v>84</v>
      </c>
      <c r="D85">
        <v>39</v>
      </c>
      <c r="E85" s="22">
        <v>44133</v>
      </c>
    </row>
    <row r="86" spans="1:5" x14ac:dyDescent="0.25">
      <c r="A86">
        <v>85</v>
      </c>
      <c r="B86">
        <v>39</v>
      </c>
      <c r="C86">
        <v>85</v>
      </c>
      <c r="D86">
        <v>39</v>
      </c>
      <c r="E86" s="22">
        <v>44133</v>
      </c>
    </row>
    <row r="87" spans="1:5" x14ac:dyDescent="0.25">
      <c r="A87">
        <v>86</v>
      </c>
      <c r="B87">
        <v>26</v>
      </c>
      <c r="C87">
        <v>86</v>
      </c>
      <c r="D87">
        <v>4</v>
      </c>
      <c r="E87" s="22">
        <v>44133</v>
      </c>
    </row>
    <row r="88" spans="1:5" x14ac:dyDescent="0.25">
      <c r="A88">
        <v>87</v>
      </c>
      <c r="B88">
        <v>34</v>
      </c>
      <c r="C88">
        <v>87</v>
      </c>
      <c r="D88">
        <v>4</v>
      </c>
      <c r="E88" s="22">
        <v>44133</v>
      </c>
    </row>
    <row r="89" spans="1:5" x14ac:dyDescent="0.25">
      <c r="A89">
        <v>88</v>
      </c>
      <c r="B89">
        <v>39</v>
      </c>
      <c r="C89">
        <v>88</v>
      </c>
      <c r="D89">
        <v>4</v>
      </c>
      <c r="E89" s="22">
        <v>44133</v>
      </c>
    </row>
    <row r="90" spans="1:5" x14ac:dyDescent="0.25">
      <c r="A90">
        <v>89</v>
      </c>
      <c r="B90">
        <v>9</v>
      </c>
      <c r="C90">
        <v>89</v>
      </c>
      <c r="D90">
        <v>4</v>
      </c>
      <c r="E90" s="22">
        <v>44133</v>
      </c>
    </row>
    <row r="91" spans="1:5" x14ac:dyDescent="0.25">
      <c r="A91">
        <v>90</v>
      </c>
      <c r="B91">
        <v>25</v>
      </c>
      <c r="C91">
        <v>90</v>
      </c>
      <c r="D91">
        <v>39</v>
      </c>
      <c r="E91" s="22">
        <v>44133</v>
      </c>
    </row>
    <row r="92" spans="1:5" x14ac:dyDescent="0.25">
      <c r="A92">
        <v>91</v>
      </c>
      <c r="B92">
        <v>2</v>
      </c>
      <c r="C92">
        <v>91</v>
      </c>
      <c r="D92">
        <v>39</v>
      </c>
      <c r="E92" s="22">
        <v>44133</v>
      </c>
    </row>
    <row r="93" spans="1:5" x14ac:dyDescent="0.25">
      <c r="A93">
        <v>92</v>
      </c>
      <c r="B93">
        <v>26</v>
      </c>
      <c r="C93">
        <v>92</v>
      </c>
      <c r="D93">
        <v>39</v>
      </c>
      <c r="E93" s="22">
        <v>44133</v>
      </c>
    </row>
    <row r="94" spans="1:5" x14ac:dyDescent="0.25">
      <c r="A94">
        <v>93</v>
      </c>
      <c r="B94">
        <v>26</v>
      </c>
      <c r="C94">
        <v>93</v>
      </c>
      <c r="D94">
        <v>39</v>
      </c>
      <c r="E94" s="22">
        <v>44133</v>
      </c>
    </row>
    <row r="95" spans="1:5" x14ac:dyDescent="0.25">
      <c r="A95">
        <v>94</v>
      </c>
      <c r="B95">
        <v>18</v>
      </c>
      <c r="C95">
        <v>94</v>
      </c>
      <c r="D95">
        <v>39</v>
      </c>
      <c r="E95" s="22">
        <v>44133</v>
      </c>
    </row>
    <row r="96" spans="1:5" x14ac:dyDescent="0.25">
      <c r="A96">
        <v>95</v>
      </c>
      <c r="B96">
        <v>39</v>
      </c>
      <c r="C96">
        <v>95</v>
      </c>
      <c r="D96">
        <v>39</v>
      </c>
      <c r="E96" s="22">
        <v>44133</v>
      </c>
    </row>
    <row r="97" spans="1:5" x14ac:dyDescent="0.25">
      <c r="A97">
        <v>96</v>
      </c>
      <c r="B97">
        <v>39</v>
      </c>
      <c r="C97">
        <v>96</v>
      </c>
      <c r="D97">
        <v>39</v>
      </c>
      <c r="E97" s="22">
        <v>44133</v>
      </c>
    </row>
    <row r="98" spans="1:5" x14ac:dyDescent="0.25">
      <c r="A98">
        <v>97</v>
      </c>
      <c r="B98">
        <v>39</v>
      </c>
      <c r="C98">
        <v>97</v>
      </c>
      <c r="D98">
        <v>39</v>
      </c>
      <c r="E98" s="22">
        <v>44133</v>
      </c>
    </row>
    <row r="99" spans="1:5" x14ac:dyDescent="0.25">
      <c r="A99">
        <v>98</v>
      </c>
      <c r="B99">
        <v>39</v>
      </c>
      <c r="C99">
        <v>98</v>
      </c>
      <c r="D99">
        <v>39</v>
      </c>
      <c r="E99" s="22">
        <v>44133</v>
      </c>
    </row>
    <row r="100" spans="1:5" x14ac:dyDescent="0.25">
      <c r="A100">
        <v>99</v>
      </c>
      <c r="B100">
        <v>39</v>
      </c>
      <c r="C100">
        <v>99</v>
      </c>
      <c r="D100">
        <v>39</v>
      </c>
      <c r="E100" s="22">
        <v>44133</v>
      </c>
    </row>
    <row r="101" spans="1:5" x14ac:dyDescent="0.25">
      <c r="A101">
        <v>100</v>
      </c>
      <c r="B101">
        <v>39</v>
      </c>
      <c r="C101">
        <v>100</v>
      </c>
      <c r="D101">
        <v>39</v>
      </c>
      <c r="E101" s="22">
        <v>44133</v>
      </c>
    </row>
    <row r="102" spans="1:5" x14ac:dyDescent="0.25">
      <c r="A102">
        <v>101</v>
      </c>
      <c r="B102">
        <v>39</v>
      </c>
      <c r="C102">
        <v>101</v>
      </c>
      <c r="D102">
        <v>39</v>
      </c>
      <c r="E102" s="22">
        <v>44133</v>
      </c>
    </row>
    <row r="103" spans="1:5" x14ac:dyDescent="0.25">
      <c r="A103">
        <v>102</v>
      </c>
      <c r="B103">
        <v>39</v>
      </c>
      <c r="C103">
        <v>102</v>
      </c>
      <c r="D103">
        <v>39</v>
      </c>
      <c r="E103" s="22">
        <v>44133</v>
      </c>
    </row>
    <row r="104" spans="1:5" x14ac:dyDescent="0.25">
      <c r="A104">
        <v>103</v>
      </c>
      <c r="B104">
        <v>30</v>
      </c>
      <c r="C104">
        <v>103</v>
      </c>
      <c r="D104">
        <v>39</v>
      </c>
      <c r="E104" s="22">
        <v>44133</v>
      </c>
    </row>
    <row r="105" spans="1:5" x14ac:dyDescent="0.25">
      <c r="A105">
        <v>104</v>
      </c>
      <c r="B105">
        <v>39</v>
      </c>
      <c r="C105">
        <v>104</v>
      </c>
      <c r="D105">
        <v>39</v>
      </c>
      <c r="E105" s="22">
        <v>44133</v>
      </c>
    </row>
    <row r="106" spans="1:5" x14ac:dyDescent="0.25">
      <c r="A106">
        <v>105</v>
      </c>
      <c r="B106">
        <v>39</v>
      </c>
      <c r="C106">
        <v>105</v>
      </c>
      <c r="D106">
        <v>39</v>
      </c>
      <c r="E106" s="22">
        <v>44133</v>
      </c>
    </row>
    <row r="107" spans="1:5" x14ac:dyDescent="0.25">
      <c r="A107">
        <v>106</v>
      </c>
      <c r="B107">
        <v>39</v>
      </c>
      <c r="C107">
        <v>106</v>
      </c>
      <c r="D107">
        <v>39</v>
      </c>
      <c r="E107" s="22">
        <v>44133</v>
      </c>
    </row>
    <row r="108" spans="1:5" x14ac:dyDescent="0.25">
      <c r="A108">
        <v>107</v>
      </c>
      <c r="B108">
        <v>39</v>
      </c>
      <c r="C108">
        <v>107</v>
      </c>
      <c r="D108">
        <v>39</v>
      </c>
      <c r="E108" s="22">
        <v>44133</v>
      </c>
    </row>
    <row r="109" spans="1:5" x14ac:dyDescent="0.25">
      <c r="A109">
        <v>108</v>
      </c>
      <c r="B109">
        <v>39</v>
      </c>
      <c r="C109">
        <v>108</v>
      </c>
      <c r="D109">
        <v>39</v>
      </c>
      <c r="E109" s="22">
        <v>44133</v>
      </c>
    </row>
    <row r="110" spans="1:5" x14ac:dyDescent="0.25">
      <c r="A110">
        <v>109</v>
      </c>
      <c r="B110">
        <v>39</v>
      </c>
      <c r="C110">
        <v>109</v>
      </c>
      <c r="D110">
        <v>39</v>
      </c>
      <c r="E110" s="22">
        <v>44133</v>
      </c>
    </row>
    <row r="111" spans="1:5" x14ac:dyDescent="0.25">
      <c r="A111">
        <v>110</v>
      </c>
      <c r="B111">
        <v>39</v>
      </c>
      <c r="C111">
        <v>110</v>
      </c>
      <c r="D111">
        <v>39</v>
      </c>
      <c r="E111" s="22">
        <v>44133</v>
      </c>
    </row>
    <row r="112" spans="1:5" x14ac:dyDescent="0.25">
      <c r="A112">
        <v>111</v>
      </c>
      <c r="B112">
        <v>39</v>
      </c>
      <c r="C112">
        <v>111</v>
      </c>
      <c r="D112">
        <v>39</v>
      </c>
      <c r="E112" s="22">
        <v>44133</v>
      </c>
    </row>
    <row r="113" spans="1:5" x14ac:dyDescent="0.25">
      <c r="A113">
        <v>112</v>
      </c>
      <c r="B113">
        <v>39</v>
      </c>
      <c r="C113">
        <v>112</v>
      </c>
      <c r="D113">
        <v>39</v>
      </c>
      <c r="E113" s="22">
        <v>44133</v>
      </c>
    </row>
    <row r="114" spans="1:5" x14ac:dyDescent="0.25">
      <c r="A114">
        <v>113</v>
      </c>
      <c r="B114">
        <v>39</v>
      </c>
      <c r="C114">
        <v>113</v>
      </c>
      <c r="D114">
        <v>39</v>
      </c>
      <c r="E114" s="22">
        <v>44133</v>
      </c>
    </row>
    <row r="115" spans="1:5" x14ac:dyDescent="0.25">
      <c r="A115">
        <v>114</v>
      </c>
      <c r="B115">
        <v>39</v>
      </c>
      <c r="C115">
        <v>114</v>
      </c>
      <c r="D115">
        <v>39</v>
      </c>
      <c r="E115" s="22">
        <v>44133</v>
      </c>
    </row>
    <row r="116" spans="1:5" x14ac:dyDescent="0.25">
      <c r="A116">
        <v>115</v>
      </c>
      <c r="B116">
        <v>4</v>
      </c>
      <c r="C116">
        <v>115</v>
      </c>
      <c r="D116">
        <v>39</v>
      </c>
      <c r="E116" s="22">
        <v>44133</v>
      </c>
    </row>
    <row r="117" spans="1:5" x14ac:dyDescent="0.25">
      <c r="A117">
        <v>116</v>
      </c>
      <c r="B117">
        <v>4</v>
      </c>
      <c r="C117">
        <v>116</v>
      </c>
      <c r="D117">
        <v>39</v>
      </c>
      <c r="E117" s="22">
        <v>44133</v>
      </c>
    </row>
    <row r="118" spans="1:5" x14ac:dyDescent="0.25">
      <c r="A118">
        <v>117</v>
      </c>
      <c r="B118">
        <v>4</v>
      </c>
      <c r="C118">
        <v>117</v>
      </c>
      <c r="D118">
        <v>39</v>
      </c>
      <c r="E118" s="22">
        <v>44133</v>
      </c>
    </row>
    <row r="119" spans="1:5" x14ac:dyDescent="0.25">
      <c r="A119">
        <v>118</v>
      </c>
      <c r="B119">
        <v>37</v>
      </c>
      <c r="C119">
        <v>118</v>
      </c>
      <c r="D119">
        <v>39</v>
      </c>
      <c r="E119" s="22">
        <v>44133</v>
      </c>
    </row>
    <row r="120" spans="1:5" x14ac:dyDescent="0.25">
      <c r="A120">
        <v>119</v>
      </c>
      <c r="B120">
        <v>4</v>
      </c>
      <c r="C120">
        <v>119</v>
      </c>
      <c r="D120">
        <v>39</v>
      </c>
      <c r="E120" s="22">
        <v>44133</v>
      </c>
    </row>
    <row r="121" spans="1:5" x14ac:dyDescent="0.25">
      <c r="A121">
        <v>120</v>
      </c>
      <c r="B121">
        <v>4</v>
      </c>
      <c r="C121">
        <v>120</v>
      </c>
      <c r="D121">
        <v>39</v>
      </c>
      <c r="E121" s="22">
        <v>44133</v>
      </c>
    </row>
    <row r="122" spans="1:5" x14ac:dyDescent="0.25">
      <c r="A122">
        <v>121</v>
      </c>
      <c r="B122">
        <v>8</v>
      </c>
      <c r="C122">
        <v>121</v>
      </c>
      <c r="D122">
        <v>39</v>
      </c>
      <c r="E122" s="22">
        <v>44133</v>
      </c>
    </row>
    <row r="123" spans="1:5" x14ac:dyDescent="0.25">
      <c r="A123">
        <v>122</v>
      </c>
      <c r="B123">
        <v>4</v>
      </c>
      <c r="C123">
        <v>122</v>
      </c>
      <c r="D123">
        <v>39</v>
      </c>
      <c r="E123" s="22">
        <v>44133</v>
      </c>
    </row>
    <row r="124" spans="1:5" x14ac:dyDescent="0.25">
      <c r="A124">
        <v>123</v>
      </c>
      <c r="B124">
        <v>4</v>
      </c>
      <c r="C124">
        <v>123</v>
      </c>
      <c r="D124">
        <v>39</v>
      </c>
      <c r="E124" s="22">
        <v>44133</v>
      </c>
    </row>
    <row r="125" spans="1:5" x14ac:dyDescent="0.25">
      <c r="A125">
        <v>124</v>
      </c>
      <c r="B125">
        <v>4</v>
      </c>
      <c r="C125">
        <v>124</v>
      </c>
      <c r="D125">
        <v>39</v>
      </c>
      <c r="E125" s="22">
        <v>44133</v>
      </c>
    </row>
    <row r="126" spans="1:5" x14ac:dyDescent="0.25">
      <c r="A126">
        <v>125</v>
      </c>
      <c r="B126">
        <v>15</v>
      </c>
      <c r="C126">
        <v>125</v>
      </c>
      <c r="D126">
        <v>39</v>
      </c>
      <c r="E126" s="22">
        <v>44133</v>
      </c>
    </row>
    <row r="127" spans="1:5" x14ac:dyDescent="0.25">
      <c r="A127">
        <v>126</v>
      </c>
      <c r="B127">
        <v>26</v>
      </c>
      <c r="C127">
        <v>126</v>
      </c>
      <c r="D127">
        <v>39</v>
      </c>
      <c r="E127" s="22">
        <v>44133</v>
      </c>
    </row>
    <row r="128" spans="1:5" x14ac:dyDescent="0.25">
      <c r="A128">
        <v>127</v>
      </c>
      <c r="B128">
        <v>9</v>
      </c>
      <c r="C128">
        <v>127</v>
      </c>
      <c r="D128">
        <v>39</v>
      </c>
      <c r="E128" s="22">
        <v>44133</v>
      </c>
    </row>
    <row r="129" spans="1:5" x14ac:dyDescent="0.25">
      <c r="A129">
        <v>128</v>
      </c>
      <c r="B129">
        <v>4</v>
      </c>
      <c r="C129">
        <v>128</v>
      </c>
      <c r="D129">
        <v>39</v>
      </c>
      <c r="E129" s="22">
        <v>44133</v>
      </c>
    </row>
    <row r="130" spans="1:5" x14ac:dyDescent="0.25">
      <c r="A130">
        <v>129</v>
      </c>
      <c r="B130">
        <v>4</v>
      </c>
      <c r="C130">
        <v>129</v>
      </c>
      <c r="D130">
        <v>39</v>
      </c>
      <c r="E130" s="22">
        <v>44133</v>
      </c>
    </row>
    <row r="131" spans="1:5" x14ac:dyDescent="0.25">
      <c r="A131">
        <v>130</v>
      </c>
      <c r="B131">
        <v>4</v>
      </c>
      <c r="C131">
        <v>130</v>
      </c>
      <c r="D131">
        <v>39</v>
      </c>
      <c r="E131" s="22">
        <v>44133</v>
      </c>
    </row>
    <row r="132" spans="1:5" x14ac:dyDescent="0.25">
      <c r="A132">
        <v>131</v>
      </c>
      <c r="B132">
        <v>4</v>
      </c>
      <c r="C132">
        <v>131</v>
      </c>
      <c r="D132">
        <v>39</v>
      </c>
      <c r="E132" s="22">
        <v>44133</v>
      </c>
    </row>
    <row r="133" spans="1:5" x14ac:dyDescent="0.25">
      <c r="A133">
        <v>132</v>
      </c>
      <c r="B133">
        <v>4</v>
      </c>
      <c r="C133">
        <v>132</v>
      </c>
      <c r="D133">
        <v>39</v>
      </c>
      <c r="E133" s="22">
        <v>44133</v>
      </c>
    </row>
    <row r="134" spans="1:5" x14ac:dyDescent="0.25">
      <c r="A134">
        <v>133</v>
      </c>
      <c r="B134">
        <v>4</v>
      </c>
      <c r="C134">
        <v>133</v>
      </c>
      <c r="D134">
        <v>39</v>
      </c>
      <c r="E134" s="22">
        <v>44133</v>
      </c>
    </row>
    <row r="135" spans="1:5" x14ac:dyDescent="0.25">
      <c r="A135">
        <v>134</v>
      </c>
      <c r="B135">
        <v>4</v>
      </c>
      <c r="C135">
        <v>134</v>
      </c>
      <c r="D135">
        <v>39</v>
      </c>
      <c r="E135" s="22">
        <v>44133</v>
      </c>
    </row>
    <row r="136" spans="1:5" x14ac:dyDescent="0.25">
      <c r="A136">
        <v>135</v>
      </c>
      <c r="B136">
        <v>4</v>
      </c>
      <c r="C136">
        <v>135</v>
      </c>
      <c r="D136">
        <v>39</v>
      </c>
      <c r="E136" s="22">
        <v>44133</v>
      </c>
    </row>
    <row r="137" spans="1:5" x14ac:dyDescent="0.25">
      <c r="A137">
        <v>136</v>
      </c>
      <c r="B137">
        <v>4</v>
      </c>
      <c r="C137">
        <v>136</v>
      </c>
      <c r="D137">
        <v>39</v>
      </c>
      <c r="E137" s="22">
        <v>44133</v>
      </c>
    </row>
    <row r="138" spans="1:5" x14ac:dyDescent="0.25">
      <c r="A138">
        <v>137</v>
      </c>
      <c r="B138">
        <v>26</v>
      </c>
      <c r="C138">
        <v>137</v>
      </c>
      <c r="D138">
        <v>39</v>
      </c>
      <c r="E138" s="22">
        <v>44133</v>
      </c>
    </row>
    <row r="139" spans="1:5" x14ac:dyDescent="0.25">
      <c r="A139">
        <v>138</v>
      </c>
      <c r="B139">
        <v>26</v>
      </c>
      <c r="C139">
        <v>138</v>
      </c>
      <c r="D139">
        <v>39</v>
      </c>
      <c r="E139" s="22">
        <v>44133</v>
      </c>
    </row>
    <row r="140" spans="1:5" x14ac:dyDescent="0.25">
      <c r="A140">
        <v>139</v>
      </c>
      <c r="B140">
        <v>26</v>
      </c>
      <c r="C140">
        <v>139</v>
      </c>
      <c r="D140">
        <v>39</v>
      </c>
      <c r="E140" s="22">
        <v>44133</v>
      </c>
    </row>
    <row r="141" spans="1:5" x14ac:dyDescent="0.25">
      <c r="A141">
        <v>140</v>
      </c>
      <c r="B141">
        <v>26</v>
      </c>
      <c r="C141">
        <v>140</v>
      </c>
      <c r="D141">
        <v>39</v>
      </c>
      <c r="E141" s="22">
        <v>44133</v>
      </c>
    </row>
    <row r="142" spans="1:5" x14ac:dyDescent="0.25">
      <c r="A142">
        <v>141</v>
      </c>
      <c r="B142">
        <v>26</v>
      </c>
      <c r="C142">
        <v>141</v>
      </c>
      <c r="D142">
        <v>39</v>
      </c>
      <c r="E142" s="22">
        <v>44133</v>
      </c>
    </row>
    <row r="143" spans="1:5" x14ac:dyDescent="0.25">
      <c r="A143">
        <v>142</v>
      </c>
      <c r="B143">
        <v>26</v>
      </c>
      <c r="C143">
        <v>142</v>
      </c>
      <c r="D143">
        <v>39</v>
      </c>
      <c r="E143" s="22">
        <v>44133</v>
      </c>
    </row>
    <row r="144" spans="1:5" x14ac:dyDescent="0.25">
      <c r="A144">
        <v>143</v>
      </c>
      <c r="B144">
        <v>26</v>
      </c>
      <c r="C144">
        <v>143</v>
      </c>
      <c r="D144">
        <v>39</v>
      </c>
      <c r="E144" s="22">
        <v>44133</v>
      </c>
    </row>
    <row r="145" spans="1:5" x14ac:dyDescent="0.25">
      <c r="A145">
        <v>144</v>
      </c>
      <c r="B145">
        <v>26</v>
      </c>
      <c r="C145">
        <v>144</v>
      </c>
      <c r="D145">
        <v>39</v>
      </c>
      <c r="E145" s="22">
        <v>44133</v>
      </c>
    </row>
    <row r="146" spans="1:5" x14ac:dyDescent="0.25">
      <c r="A146">
        <v>145</v>
      </c>
      <c r="B146">
        <v>26</v>
      </c>
      <c r="C146">
        <v>145</v>
      </c>
      <c r="D146">
        <v>39</v>
      </c>
      <c r="E146" s="22">
        <v>44133</v>
      </c>
    </row>
    <row r="147" spans="1:5" x14ac:dyDescent="0.25">
      <c r="A147">
        <v>146</v>
      </c>
      <c r="B147">
        <v>26</v>
      </c>
      <c r="C147">
        <v>146</v>
      </c>
      <c r="D147">
        <v>39</v>
      </c>
      <c r="E147" s="22">
        <v>44133</v>
      </c>
    </row>
    <row r="148" spans="1:5" x14ac:dyDescent="0.25">
      <c r="A148">
        <v>147</v>
      </c>
      <c r="B148">
        <v>9</v>
      </c>
      <c r="C148">
        <v>147</v>
      </c>
      <c r="D148">
        <v>39</v>
      </c>
      <c r="E148" s="22">
        <v>44133</v>
      </c>
    </row>
    <row r="149" spans="1:5" x14ac:dyDescent="0.25">
      <c r="A149">
        <v>148</v>
      </c>
      <c r="B149">
        <v>39</v>
      </c>
      <c r="C149">
        <v>148</v>
      </c>
      <c r="D149">
        <v>39</v>
      </c>
      <c r="E149" s="22">
        <v>44133</v>
      </c>
    </row>
    <row r="150" spans="1:5" x14ac:dyDescent="0.25">
      <c r="A150">
        <v>149</v>
      </c>
      <c r="B150">
        <v>39</v>
      </c>
      <c r="C150">
        <v>149</v>
      </c>
      <c r="D150">
        <v>39</v>
      </c>
      <c r="E150" s="22">
        <v>44133</v>
      </c>
    </row>
    <row r="151" spans="1:5" x14ac:dyDescent="0.25">
      <c r="A151">
        <v>150</v>
      </c>
      <c r="B151">
        <v>39</v>
      </c>
      <c r="C151">
        <v>150</v>
      </c>
      <c r="D151">
        <v>39</v>
      </c>
      <c r="E151" s="22">
        <v>44133</v>
      </c>
    </row>
    <row r="152" spans="1:5" x14ac:dyDescent="0.25">
      <c r="A152">
        <v>151</v>
      </c>
      <c r="B152">
        <v>9</v>
      </c>
      <c r="C152">
        <v>151</v>
      </c>
      <c r="D152">
        <v>39</v>
      </c>
      <c r="E152" s="22">
        <v>44133</v>
      </c>
    </row>
    <row r="153" spans="1:5" x14ac:dyDescent="0.25">
      <c r="A153">
        <v>152</v>
      </c>
      <c r="B153">
        <v>9</v>
      </c>
      <c r="C153">
        <v>152</v>
      </c>
      <c r="D153">
        <v>39</v>
      </c>
      <c r="E153" s="22">
        <v>44133</v>
      </c>
    </row>
    <row r="154" spans="1:5" x14ac:dyDescent="0.25">
      <c r="A154">
        <v>153</v>
      </c>
      <c r="B154">
        <v>9</v>
      </c>
      <c r="C154">
        <v>153</v>
      </c>
      <c r="D154">
        <v>39</v>
      </c>
      <c r="E154" s="22">
        <v>44133</v>
      </c>
    </row>
    <row r="155" spans="1:5" x14ac:dyDescent="0.25">
      <c r="A155">
        <v>154</v>
      </c>
      <c r="B155">
        <v>9</v>
      </c>
      <c r="C155">
        <v>154</v>
      </c>
      <c r="D155">
        <v>39</v>
      </c>
      <c r="E155" s="22">
        <v>44133</v>
      </c>
    </row>
    <row r="156" spans="1:5" x14ac:dyDescent="0.25">
      <c r="A156">
        <v>155</v>
      </c>
      <c r="B156">
        <v>9</v>
      </c>
      <c r="C156">
        <v>155</v>
      </c>
      <c r="D156">
        <v>39</v>
      </c>
      <c r="E156" s="22">
        <v>44133</v>
      </c>
    </row>
    <row r="157" spans="1:5" x14ac:dyDescent="0.25">
      <c r="A157">
        <v>156</v>
      </c>
      <c r="B157">
        <v>39</v>
      </c>
      <c r="C157">
        <v>156</v>
      </c>
      <c r="D157">
        <v>39</v>
      </c>
      <c r="E157" s="22">
        <v>44133</v>
      </c>
    </row>
    <row r="158" spans="1:5" x14ac:dyDescent="0.25">
      <c r="A158">
        <v>157</v>
      </c>
      <c r="B158">
        <v>39</v>
      </c>
      <c r="C158">
        <v>157</v>
      </c>
      <c r="D158">
        <v>39</v>
      </c>
      <c r="E158" s="22">
        <v>44133</v>
      </c>
    </row>
    <row r="159" spans="1:5" x14ac:dyDescent="0.25">
      <c r="A159">
        <v>158</v>
      </c>
      <c r="B159">
        <v>39</v>
      </c>
      <c r="C159">
        <v>158</v>
      </c>
      <c r="D159">
        <v>39</v>
      </c>
      <c r="E159" s="22">
        <v>44133</v>
      </c>
    </row>
    <row r="160" spans="1:5" x14ac:dyDescent="0.25">
      <c r="A160">
        <v>159</v>
      </c>
      <c r="B160">
        <v>30</v>
      </c>
      <c r="C160">
        <v>159</v>
      </c>
      <c r="D160">
        <v>4</v>
      </c>
      <c r="E160" s="22">
        <v>44133</v>
      </c>
    </row>
    <row r="161" spans="1:5" x14ac:dyDescent="0.25">
      <c r="A161">
        <v>160</v>
      </c>
      <c r="B161">
        <v>39</v>
      </c>
      <c r="C161">
        <v>160</v>
      </c>
      <c r="D161">
        <v>4</v>
      </c>
      <c r="E161" s="22">
        <v>44133</v>
      </c>
    </row>
    <row r="162" spans="1:5" x14ac:dyDescent="0.25">
      <c r="A162">
        <v>161</v>
      </c>
      <c r="B162">
        <v>4</v>
      </c>
      <c r="C162">
        <v>161</v>
      </c>
      <c r="D162">
        <v>4</v>
      </c>
      <c r="E162" s="22">
        <v>44133</v>
      </c>
    </row>
    <row r="163" spans="1:5" x14ac:dyDescent="0.25">
      <c r="A163">
        <v>162</v>
      </c>
      <c r="B163">
        <v>34</v>
      </c>
      <c r="C163">
        <v>162</v>
      </c>
      <c r="D163">
        <v>4</v>
      </c>
      <c r="E163" s="22">
        <v>44133</v>
      </c>
    </row>
    <row r="164" spans="1:5" x14ac:dyDescent="0.25">
      <c r="A164">
        <v>163</v>
      </c>
      <c r="B164">
        <v>4</v>
      </c>
      <c r="C164">
        <v>163</v>
      </c>
      <c r="D164">
        <v>4</v>
      </c>
      <c r="E164" s="22">
        <v>44133</v>
      </c>
    </row>
    <row r="165" spans="1:5" x14ac:dyDescent="0.25">
      <c r="A165">
        <v>164</v>
      </c>
      <c r="B165">
        <v>39</v>
      </c>
      <c r="C165">
        <v>164</v>
      </c>
      <c r="D165">
        <v>4</v>
      </c>
      <c r="E165" s="22">
        <v>44133</v>
      </c>
    </row>
    <row r="166" spans="1:5" x14ac:dyDescent="0.25">
      <c r="A166">
        <v>165</v>
      </c>
      <c r="B166">
        <v>8</v>
      </c>
      <c r="C166">
        <v>165</v>
      </c>
      <c r="D166">
        <v>4</v>
      </c>
      <c r="E166" s="22">
        <v>44133</v>
      </c>
    </row>
    <row r="167" spans="1:5" x14ac:dyDescent="0.25">
      <c r="A167">
        <v>166</v>
      </c>
      <c r="B167">
        <v>2</v>
      </c>
      <c r="C167">
        <v>166</v>
      </c>
      <c r="D167">
        <v>4</v>
      </c>
      <c r="E167" s="22">
        <v>44133</v>
      </c>
    </row>
    <row r="168" spans="1:5" x14ac:dyDescent="0.25">
      <c r="A168">
        <v>167</v>
      </c>
      <c r="B168">
        <v>39</v>
      </c>
      <c r="C168">
        <v>167</v>
      </c>
      <c r="D168">
        <v>4</v>
      </c>
      <c r="E168" s="22">
        <v>44133</v>
      </c>
    </row>
    <row r="169" spans="1:5" x14ac:dyDescent="0.25">
      <c r="A169">
        <v>168</v>
      </c>
      <c r="B169">
        <v>4</v>
      </c>
      <c r="C169">
        <v>168</v>
      </c>
      <c r="D169">
        <v>4</v>
      </c>
      <c r="E169" s="22">
        <v>44133</v>
      </c>
    </row>
    <row r="170" spans="1:5" x14ac:dyDescent="0.25">
      <c r="A170">
        <v>169</v>
      </c>
      <c r="B170">
        <v>39</v>
      </c>
      <c r="C170">
        <v>169</v>
      </c>
      <c r="D170">
        <v>4</v>
      </c>
      <c r="E170" s="22">
        <v>44133</v>
      </c>
    </row>
    <row r="171" spans="1:5" x14ac:dyDescent="0.25">
      <c r="A171">
        <v>170</v>
      </c>
      <c r="B171">
        <v>25</v>
      </c>
      <c r="C171">
        <v>170</v>
      </c>
      <c r="D171">
        <v>4</v>
      </c>
      <c r="E171" s="22">
        <v>44133</v>
      </c>
    </row>
    <row r="172" spans="1:5" x14ac:dyDescent="0.25">
      <c r="A172">
        <v>171</v>
      </c>
      <c r="B172">
        <v>39</v>
      </c>
      <c r="C172">
        <v>171</v>
      </c>
      <c r="D172">
        <v>4</v>
      </c>
      <c r="E172" s="22">
        <v>44133</v>
      </c>
    </row>
    <row r="173" spans="1:5" x14ac:dyDescent="0.25">
      <c r="A173">
        <v>172</v>
      </c>
      <c r="B173">
        <v>39</v>
      </c>
      <c r="C173">
        <v>172</v>
      </c>
      <c r="D173">
        <v>4</v>
      </c>
      <c r="E173" s="22">
        <v>44133</v>
      </c>
    </row>
    <row r="174" spans="1:5" x14ac:dyDescent="0.25">
      <c r="A174">
        <v>173</v>
      </c>
      <c r="B174">
        <v>4</v>
      </c>
      <c r="C174">
        <v>173</v>
      </c>
      <c r="D174">
        <v>4</v>
      </c>
      <c r="E174" s="22">
        <v>44133</v>
      </c>
    </row>
    <row r="175" spans="1:5" x14ac:dyDescent="0.25">
      <c r="A175">
        <v>174</v>
      </c>
      <c r="B175">
        <v>8</v>
      </c>
      <c r="C175">
        <v>174</v>
      </c>
      <c r="D175">
        <v>4</v>
      </c>
      <c r="E175" s="22">
        <v>44133</v>
      </c>
    </row>
    <row r="176" spans="1:5" x14ac:dyDescent="0.25">
      <c r="A176">
        <v>175</v>
      </c>
      <c r="B176">
        <v>39</v>
      </c>
      <c r="C176">
        <v>175</v>
      </c>
      <c r="D176">
        <v>4</v>
      </c>
      <c r="E176" s="22">
        <v>44133</v>
      </c>
    </row>
    <row r="177" spans="1:5" x14ac:dyDescent="0.25">
      <c r="A177">
        <v>176</v>
      </c>
      <c r="B177">
        <v>39</v>
      </c>
      <c r="C177">
        <v>176</v>
      </c>
      <c r="D177">
        <v>39</v>
      </c>
      <c r="E177" s="22">
        <v>44133</v>
      </c>
    </row>
    <row r="178" spans="1:5" x14ac:dyDescent="0.25">
      <c r="A178">
        <v>177</v>
      </c>
      <c r="B178">
        <v>39</v>
      </c>
      <c r="C178">
        <v>177</v>
      </c>
      <c r="D178">
        <v>39</v>
      </c>
      <c r="E178" s="22">
        <v>44133</v>
      </c>
    </row>
    <row r="179" spans="1:5" x14ac:dyDescent="0.25">
      <c r="A179">
        <v>178</v>
      </c>
      <c r="B179">
        <v>4</v>
      </c>
      <c r="C179">
        <v>178</v>
      </c>
      <c r="D179">
        <v>39</v>
      </c>
      <c r="E179" s="22">
        <v>44133</v>
      </c>
    </row>
    <row r="180" spans="1:5" x14ac:dyDescent="0.25">
      <c r="A180">
        <v>179</v>
      </c>
      <c r="B180">
        <v>34</v>
      </c>
      <c r="C180">
        <v>179</v>
      </c>
      <c r="D180">
        <v>39</v>
      </c>
      <c r="E180" s="22">
        <v>44133</v>
      </c>
    </row>
    <row r="181" spans="1:5" x14ac:dyDescent="0.25">
      <c r="A181">
        <v>180</v>
      </c>
      <c r="B181">
        <v>39</v>
      </c>
      <c r="C181">
        <v>180</v>
      </c>
      <c r="D181">
        <v>39</v>
      </c>
      <c r="E181" s="22">
        <v>44133</v>
      </c>
    </row>
    <row r="182" spans="1:5" x14ac:dyDescent="0.25">
      <c r="A182">
        <v>181</v>
      </c>
      <c r="B182">
        <v>30</v>
      </c>
      <c r="C182">
        <v>181</v>
      </c>
      <c r="D182">
        <v>39</v>
      </c>
      <c r="E182" s="22">
        <v>44133</v>
      </c>
    </row>
    <row r="183" spans="1:5" x14ac:dyDescent="0.25">
      <c r="A183">
        <v>182</v>
      </c>
      <c r="B183">
        <v>39</v>
      </c>
      <c r="C183">
        <v>182</v>
      </c>
      <c r="D183">
        <v>39</v>
      </c>
      <c r="E183" s="22">
        <v>44133</v>
      </c>
    </row>
    <row r="184" spans="1:5" x14ac:dyDescent="0.25">
      <c r="A184">
        <v>183</v>
      </c>
      <c r="B184">
        <v>8</v>
      </c>
      <c r="C184">
        <v>183</v>
      </c>
      <c r="D184">
        <v>39</v>
      </c>
      <c r="E184" s="22">
        <v>44133</v>
      </c>
    </row>
    <row r="185" spans="1:5" x14ac:dyDescent="0.25">
      <c r="A185">
        <v>184</v>
      </c>
      <c r="B185">
        <v>3</v>
      </c>
      <c r="C185">
        <v>184</v>
      </c>
      <c r="D185">
        <v>39</v>
      </c>
      <c r="E185" s="22">
        <v>44133</v>
      </c>
    </row>
    <row r="186" spans="1:5" x14ac:dyDescent="0.25">
      <c r="A186">
        <v>185</v>
      </c>
      <c r="B186">
        <v>37</v>
      </c>
      <c r="C186">
        <v>185</v>
      </c>
      <c r="D186">
        <v>4</v>
      </c>
      <c r="E186" s="22">
        <v>44133</v>
      </c>
    </row>
    <row r="187" spans="1:5" x14ac:dyDescent="0.25">
      <c r="A187">
        <v>186</v>
      </c>
      <c r="B187">
        <v>39</v>
      </c>
      <c r="C187">
        <v>186</v>
      </c>
      <c r="D187">
        <v>4</v>
      </c>
      <c r="E187" s="22">
        <v>44133</v>
      </c>
    </row>
    <row r="188" spans="1:5" x14ac:dyDescent="0.25">
      <c r="A188">
        <v>187</v>
      </c>
      <c r="B188">
        <v>4</v>
      </c>
      <c r="C188">
        <v>187</v>
      </c>
      <c r="D188">
        <v>4</v>
      </c>
      <c r="E188" s="22">
        <v>44133</v>
      </c>
    </row>
    <row r="189" spans="1:5" x14ac:dyDescent="0.25">
      <c r="A189">
        <v>188</v>
      </c>
      <c r="B189">
        <v>34</v>
      </c>
      <c r="C189">
        <v>188</v>
      </c>
      <c r="D189">
        <v>4</v>
      </c>
      <c r="E189" s="22">
        <v>44133</v>
      </c>
    </row>
    <row r="190" spans="1:5" x14ac:dyDescent="0.25">
      <c r="A190">
        <v>189</v>
      </c>
      <c r="B190">
        <v>4</v>
      </c>
      <c r="C190">
        <v>189</v>
      </c>
      <c r="D190">
        <v>4</v>
      </c>
      <c r="E190" s="22">
        <v>44133</v>
      </c>
    </row>
    <row r="191" spans="1:5" x14ac:dyDescent="0.25">
      <c r="A191">
        <v>190</v>
      </c>
      <c r="B191">
        <v>39</v>
      </c>
      <c r="C191">
        <v>190</v>
      </c>
      <c r="D191">
        <v>4</v>
      </c>
      <c r="E191" s="22">
        <v>44133</v>
      </c>
    </row>
    <row r="192" spans="1:5" x14ac:dyDescent="0.25">
      <c r="A192">
        <v>191</v>
      </c>
      <c r="B192">
        <v>39</v>
      </c>
      <c r="C192">
        <v>191</v>
      </c>
      <c r="D192">
        <v>4</v>
      </c>
      <c r="E192" s="22">
        <v>44133</v>
      </c>
    </row>
    <row r="193" spans="1:5" x14ac:dyDescent="0.25">
      <c r="A193">
        <v>192</v>
      </c>
      <c r="B193">
        <v>9</v>
      </c>
      <c r="C193">
        <v>192</v>
      </c>
      <c r="D193">
        <v>4</v>
      </c>
      <c r="E193" s="22">
        <v>44133</v>
      </c>
    </row>
    <row r="194" spans="1:5" x14ac:dyDescent="0.25">
      <c r="A194">
        <v>193</v>
      </c>
      <c r="B194">
        <v>25</v>
      </c>
      <c r="C194">
        <v>193</v>
      </c>
      <c r="D194">
        <v>4</v>
      </c>
      <c r="E194" s="22">
        <v>44133</v>
      </c>
    </row>
    <row r="195" spans="1:5" x14ac:dyDescent="0.25">
      <c r="A195">
        <v>194</v>
      </c>
      <c r="B195">
        <v>8</v>
      </c>
      <c r="C195">
        <v>194</v>
      </c>
      <c r="D195">
        <v>39</v>
      </c>
      <c r="E195" s="22">
        <v>44133</v>
      </c>
    </row>
    <row r="196" spans="1:5" x14ac:dyDescent="0.25">
      <c r="A196">
        <v>195</v>
      </c>
      <c r="B196">
        <v>25</v>
      </c>
      <c r="C196">
        <v>195</v>
      </c>
      <c r="D196">
        <v>39</v>
      </c>
      <c r="E196" s="22">
        <v>44133</v>
      </c>
    </row>
    <row r="197" spans="1:5" x14ac:dyDescent="0.25">
      <c r="A197">
        <v>196</v>
      </c>
      <c r="B197">
        <v>2</v>
      </c>
      <c r="C197">
        <v>196</v>
      </c>
      <c r="D197">
        <v>39</v>
      </c>
      <c r="E197" s="22">
        <v>44133</v>
      </c>
    </row>
    <row r="198" spans="1:5" x14ac:dyDescent="0.25">
      <c r="A198">
        <v>197</v>
      </c>
      <c r="B198">
        <v>3</v>
      </c>
      <c r="C198">
        <v>197</v>
      </c>
      <c r="D198">
        <v>39</v>
      </c>
      <c r="E198" s="22">
        <v>44133</v>
      </c>
    </row>
    <row r="199" spans="1:5" x14ac:dyDescent="0.25">
      <c r="A199">
        <v>198</v>
      </c>
      <c r="B199">
        <v>30</v>
      </c>
      <c r="C199">
        <v>198</v>
      </c>
      <c r="D199">
        <v>39</v>
      </c>
      <c r="E199" s="22">
        <v>44133</v>
      </c>
    </row>
    <row r="200" spans="1:5" x14ac:dyDescent="0.25">
      <c r="A200">
        <v>199</v>
      </c>
      <c r="B200">
        <v>18</v>
      </c>
      <c r="C200">
        <v>199</v>
      </c>
      <c r="D200">
        <v>39</v>
      </c>
      <c r="E200" s="22">
        <v>44133</v>
      </c>
    </row>
    <row r="201" spans="1:5" x14ac:dyDescent="0.25">
      <c r="A201">
        <v>200</v>
      </c>
      <c r="B201">
        <v>8</v>
      </c>
      <c r="C201">
        <v>200</v>
      </c>
      <c r="D201">
        <v>39</v>
      </c>
      <c r="E201" s="22">
        <v>44133</v>
      </c>
    </row>
    <row r="202" spans="1:5" x14ac:dyDescent="0.25">
      <c r="A202">
        <v>201</v>
      </c>
      <c r="B202">
        <v>37</v>
      </c>
      <c r="C202">
        <v>201</v>
      </c>
      <c r="D202">
        <v>39</v>
      </c>
      <c r="E202" s="22">
        <v>44133</v>
      </c>
    </row>
    <row r="203" spans="1:5" x14ac:dyDescent="0.25">
      <c r="A203">
        <v>202</v>
      </c>
      <c r="B203">
        <v>29</v>
      </c>
      <c r="C203">
        <v>202</v>
      </c>
      <c r="D203">
        <v>39</v>
      </c>
      <c r="E203" s="22">
        <v>44133</v>
      </c>
    </row>
    <row r="204" spans="1:5" x14ac:dyDescent="0.25">
      <c r="A204">
        <v>203</v>
      </c>
      <c r="B204">
        <v>9</v>
      </c>
      <c r="C204">
        <v>203</v>
      </c>
      <c r="D204">
        <v>39</v>
      </c>
      <c r="E204" s="22">
        <v>44133</v>
      </c>
    </row>
    <row r="205" spans="1:5" x14ac:dyDescent="0.25">
      <c r="A205">
        <v>204</v>
      </c>
      <c r="B205">
        <v>9</v>
      </c>
      <c r="C205">
        <v>204</v>
      </c>
      <c r="D205">
        <v>39</v>
      </c>
      <c r="E205" s="22">
        <v>44133</v>
      </c>
    </row>
    <row r="206" spans="1:5" x14ac:dyDescent="0.25">
      <c r="A206">
        <v>205</v>
      </c>
      <c r="B206">
        <v>26</v>
      </c>
      <c r="C206">
        <v>205</v>
      </c>
      <c r="D206">
        <v>39</v>
      </c>
      <c r="E206" s="22">
        <v>44133</v>
      </c>
    </row>
    <row r="207" spans="1:5" x14ac:dyDescent="0.25">
      <c r="A207">
        <v>206</v>
      </c>
      <c r="B207">
        <v>26</v>
      </c>
      <c r="C207">
        <v>206</v>
      </c>
      <c r="D207">
        <v>39</v>
      </c>
      <c r="E207" s="22">
        <v>44133</v>
      </c>
    </row>
    <row r="208" spans="1:5" x14ac:dyDescent="0.25">
      <c r="A208">
        <v>207</v>
      </c>
      <c r="B208">
        <v>9</v>
      </c>
      <c r="C208">
        <v>207</v>
      </c>
      <c r="D208">
        <v>39</v>
      </c>
      <c r="E208" s="22">
        <v>44133</v>
      </c>
    </row>
    <row r="209" spans="1:5" x14ac:dyDescent="0.25">
      <c r="A209">
        <v>208</v>
      </c>
      <c r="B209">
        <v>9</v>
      </c>
      <c r="C209">
        <v>208</v>
      </c>
      <c r="D209">
        <v>39</v>
      </c>
      <c r="E209" s="22">
        <v>44133</v>
      </c>
    </row>
    <row r="210" spans="1:5" x14ac:dyDescent="0.25">
      <c r="A210">
        <v>209</v>
      </c>
      <c r="B210">
        <v>9</v>
      </c>
      <c r="C210">
        <v>209</v>
      </c>
      <c r="D210">
        <v>39</v>
      </c>
      <c r="E210" s="22">
        <v>44133</v>
      </c>
    </row>
    <row r="211" spans="1:5" x14ac:dyDescent="0.25">
      <c r="A211">
        <v>210</v>
      </c>
      <c r="B211">
        <v>9</v>
      </c>
      <c r="C211">
        <v>210</v>
      </c>
      <c r="D211">
        <v>39</v>
      </c>
      <c r="E211" s="22">
        <v>44133</v>
      </c>
    </row>
    <row r="212" spans="1:5" x14ac:dyDescent="0.25">
      <c r="A212">
        <v>211</v>
      </c>
      <c r="B212">
        <v>25</v>
      </c>
      <c r="C212">
        <v>211</v>
      </c>
      <c r="D212">
        <v>39</v>
      </c>
      <c r="E212" s="22">
        <v>44133</v>
      </c>
    </row>
    <row r="213" spans="1:5" x14ac:dyDescent="0.25">
      <c r="A213">
        <v>212</v>
      </c>
      <c r="B213">
        <v>18</v>
      </c>
      <c r="C213">
        <v>212</v>
      </c>
      <c r="D213">
        <v>39</v>
      </c>
      <c r="E213" s="22">
        <v>44133</v>
      </c>
    </row>
    <row r="214" spans="1:5" x14ac:dyDescent="0.25">
      <c r="A214">
        <v>213</v>
      </c>
      <c r="B214">
        <v>9</v>
      </c>
      <c r="C214">
        <v>213</v>
      </c>
      <c r="D214">
        <v>39</v>
      </c>
      <c r="E214" s="22">
        <v>44133</v>
      </c>
    </row>
    <row r="215" spans="1:5" x14ac:dyDescent="0.25">
      <c r="A215">
        <v>214</v>
      </c>
      <c r="B215">
        <v>9</v>
      </c>
      <c r="C215">
        <v>214</v>
      </c>
      <c r="D215">
        <v>39</v>
      </c>
      <c r="E215" s="22">
        <v>44133</v>
      </c>
    </row>
    <row r="216" spans="1:5" x14ac:dyDescent="0.25">
      <c r="A216">
        <v>215</v>
      </c>
      <c r="B216">
        <v>9</v>
      </c>
      <c r="C216">
        <v>215</v>
      </c>
      <c r="D216">
        <v>39</v>
      </c>
      <c r="E216" s="22">
        <v>44133</v>
      </c>
    </row>
    <row r="217" spans="1:5" x14ac:dyDescent="0.25">
      <c r="A217">
        <v>216</v>
      </c>
      <c r="B217">
        <v>3</v>
      </c>
      <c r="C217">
        <v>216</v>
      </c>
      <c r="D217">
        <v>4</v>
      </c>
      <c r="E217" s="22">
        <v>44133</v>
      </c>
    </row>
    <row r="218" spans="1:5" x14ac:dyDescent="0.25">
      <c r="A218">
        <v>217</v>
      </c>
      <c r="B218">
        <v>8</v>
      </c>
      <c r="C218">
        <v>217</v>
      </c>
      <c r="D218">
        <v>4</v>
      </c>
      <c r="E218" s="22">
        <v>44133</v>
      </c>
    </row>
    <row r="219" spans="1:5" x14ac:dyDescent="0.25">
      <c r="A219">
        <v>218</v>
      </c>
      <c r="B219">
        <v>39</v>
      </c>
      <c r="C219">
        <v>218</v>
      </c>
      <c r="D219">
        <v>4</v>
      </c>
      <c r="E219" s="22">
        <v>44133</v>
      </c>
    </row>
    <row r="220" spans="1:5" x14ac:dyDescent="0.25">
      <c r="A220">
        <v>219</v>
      </c>
      <c r="B220">
        <v>39</v>
      </c>
      <c r="C220">
        <v>219</v>
      </c>
      <c r="D220">
        <v>4</v>
      </c>
      <c r="E220" s="22">
        <v>44133</v>
      </c>
    </row>
    <row r="221" spans="1:5" x14ac:dyDescent="0.25">
      <c r="A221">
        <v>220</v>
      </c>
      <c r="B221">
        <v>15</v>
      </c>
      <c r="C221">
        <v>220</v>
      </c>
      <c r="D221">
        <v>4</v>
      </c>
      <c r="E221" s="22">
        <v>44133</v>
      </c>
    </row>
    <row r="222" spans="1:5" x14ac:dyDescent="0.25">
      <c r="A222">
        <v>221</v>
      </c>
      <c r="B222">
        <v>39</v>
      </c>
      <c r="C222">
        <v>221</v>
      </c>
      <c r="D222">
        <v>4</v>
      </c>
      <c r="E222" s="22">
        <v>44133</v>
      </c>
    </row>
    <row r="223" spans="1:5" x14ac:dyDescent="0.25">
      <c r="A223">
        <v>222</v>
      </c>
      <c r="B223">
        <v>18</v>
      </c>
      <c r="C223">
        <v>222</v>
      </c>
      <c r="D223">
        <v>4</v>
      </c>
      <c r="E223" s="22">
        <v>44133</v>
      </c>
    </row>
    <row r="224" spans="1:5" x14ac:dyDescent="0.25">
      <c r="A224">
        <v>223</v>
      </c>
      <c r="B224">
        <v>8</v>
      </c>
      <c r="C224">
        <v>223</v>
      </c>
      <c r="D224">
        <v>4</v>
      </c>
      <c r="E224" s="22">
        <v>44133</v>
      </c>
    </row>
    <row r="225" spans="1:5" x14ac:dyDescent="0.25">
      <c r="A225">
        <v>224</v>
      </c>
      <c r="B225">
        <v>39</v>
      </c>
      <c r="C225">
        <v>224</v>
      </c>
      <c r="D225">
        <v>4</v>
      </c>
      <c r="E225" s="22">
        <v>44133</v>
      </c>
    </row>
    <row r="226" spans="1:5" x14ac:dyDescent="0.25">
      <c r="A226">
        <v>225</v>
      </c>
      <c r="B226">
        <v>4</v>
      </c>
      <c r="C226">
        <v>225</v>
      </c>
      <c r="D226">
        <v>4</v>
      </c>
      <c r="E226" s="22">
        <v>44133</v>
      </c>
    </row>
    <row r="227" spans="1:5" x14ac:dyDescent="0.25">
      <c r="A227">
        <v>226</v>
      </c>
      <c r="B227">
        <v>26</v>
      </c>
      <c r="C227">
        <v>226</v>
      </c>
      <c r="D227">
        <v>4</v>
      </c>
      <c r="E227" s="22">
        <v>44133</v>
      </c>
    </row>
    <row r="228" spans="1:5" x14ac:dyDescent="0.25">
      <c r="A228">
        <v>227</v>
      </c>
      <c r="B228">
        <v>8</v>
      </c>
      <c r="C228">
        <v>227</v>
      </c>
      <c r="D228">
        <v>4</v>
      </c>
      <c r="E228" s="22">
        <v>44133</v>
      </c>
    </row>
    <row r="229" spans="1:5" x14ac:dyDescent="0.25">
      <c r="A229">
        <v>228</v>
      </c>
      <c r="B229">
        <v>26</v>
      </c>
      <c r="C229">
        <v>228</v>
      </c>
      <c r="D229">
        <v>4</v>
      </c>
      <c r="E229" s="22">
        <v>44133</v>
      </c>
    </row>
    <row r="230" spans="1:5" x14ac:dyDescent="0.25">
      <c r="A230">
        <v>229</v>
      </c>
      <c r="B230">
        <v>39</v>
      </c>
      <c r="C230">
        <v>229</v>
      </c>
      <c r="D230">
        <v>39</v>
      </c>
      <c r="E230" s="22">
        <v>44133</v>
      </c>
    </row>
    <row r="231" spans="1:5" x14ac:dyDescent="0.25">
      <c r="A231">
        <v>230</v>
      </c>
      <c r="B231">
        <v>39</v>
      </c>
      <c r="C231">
        <v>230</v>
      </c>
      <c r="D231">
        <v>39</v>
      </c>
      <c r="E231" s="22">
        <v>44133</v>
      </c>
    </row>
    <row r="232" spans="1:5" x14ac:dyDescent="0.25">
      <c r="A232">
        <v>231</v>
      </c>
      <c r="B232">
        <v>34</v>
      </c>
      <c r="C232">
        <v>231</v>
      </c>
      <c r="D232">
        <v>39</v>
      </c>
      <c r="E232" s="22">
        <v>44133</v>
      </c>
    </row>
    <row r="233" spans="1:5" x14ac:dyDescent="0.25">
      <c r="A233">
        <v>232</v>
      </c>
      <c r="B233">
        <v>9</v>
      </c>
      <c r="C233">
        <v>232</v>
      </c>
      <c r="D233">
        <v>39</v>
      </c>
      <c r="E233" s="22">
        <v>44133</v>
      </c>
    </row>
    <row r="234" spans="1:5" x14ac:dyDescent="0.25">
      <c r="A234">
        <v>233</v>
      </c>
      <c r="B234">
        <v>9</v>
      </c>
      <c r="C234">
        <v>233</v>
      </c>
      <c r="D234">
        <v>39</v>
      </c>
      <c r="E234" s="22">
        <v>44133</v>
      </c>
    </row>
    <row r="235" spans="1:5" x14ac:dyDescent="0.25">
      <c r="A235">
        <v>234</v>
      </c>
      <c r="B235">
        <v>9</v>
      </c>
      <c r="C235">
        <v>234</v>
      </c>
      <c r="D235">
        <v>39</v>
      </c>
      <c r="E235" s="22">
        <v>44133</v>
      </c>
    </row>
    <row r="236" spans="1:5" x14ac:dyDescent="0.25">
      <c r="A236">
        <v>235</v>
      </c>
      <c r="B236">
        <v>9</v>
      </c>
      <c r="C236">
        <v>235</v>
      </c>
      <c r="D236">
        <v>39</v>
      </c>
      <c r="E236" s="22">
        <v>44133</v>
      </c>
    </row>
    <row r="237" spans="1:5" x14ac:dyDescent="0.25">
      <c r="A237">
        <v>236</v>
      </c>
      <c r="B237">
        <v>9</v>
      </c>
      <c r="C237">
        <v>236</v>
      </c>
      <c r="D237">
        <v>39</v>
      </c>
      <c r="E237" s="22">
        <v>44133</v>
      </c>
    </row>
    <row r="238" spans="1:5" x14ac:dyDescent="0.25">
      <c r="A238">
        <v>237</v>
      </c>
      <c r="B238">
        <v>9</v>
      </c>
      <c r="C238">
        <v>237</v>
      </c>
      <c r="D238">
        <v>39</v>
      </c>
      <c r="E238" s="22">
        <v>44133</v>
      </c>
    </row>
    <row r="239" spans="1:5" x14ac:dyDescent="0.25">
      <c r="A239">
        <v>238</v>
      </c>
      <c r="B239">
        <v>34</v>
      </c>
      <c r="C239">
        <v>238</v>
      </c>
      <c r="D239">
        <v>39</v>
      </c>
      <c r="E239" s="22">
        <v>44133</v>
      </c>
    </row>
    <row r="240" spans="1:5" x14ac:dyDescent="0.25">
      <c r="A240">
        <v>239</v>
      </c>
      <c r="B240">
        <v>39</v>
      </c>
      <c r="C240">
        <v>239</v>
      </c>
      <c r="D240">
        <v>39</v>
      </c>
      <c r="E240" s="22">
        <v>44133</v>
      </c>
    </row>
    <row r="241" spans="1:5" x14ac:dyDescent="0.25">
      <c r="A241">
        <v>240</v>
      </c>
      <c r="B241">
        <v>2</v>
      </c>
      <c r="C241">
        <v>240</v>
      </c>
      <c r="D241">
        <v>39</v>
      </c>
      <c r="E241" s="22">
        <v>44133</v>
      </c>
    </row>
    <row r="242" spans="1:5" x14ac:dyDescent="0.25">
      <c r="A242">
        <v>241</v>
      </c>
      <c r="B242">
        <v>3</v>
      </c>
      <c r="C242">
        <v>241</v>
      </c>
      <c r="D242">
        <v>39</v>
      </c>
      <c r="E242" s="22">
        <v>44133</v>
      </c>
    </row>
    <row r="243" spans="1:5" x14ac:dyDescent="0.25">
      <c r="A243">
        <v>242</v>
      </c>
      <c r="B243">
        <v>39</v>
      </c>
      <c r="C243">
        <v>242</v>
      </c>
      <c r="D243">
        <v>39</v>
      </c>
      <c r="E243" s="22">
        <v>44133</v>
      </c>
    </row>
    <row r="244" spans="1:5" x14ac:dyDescent="0.25">
      <c r="A244">
        <v>243</v>
      </c>
      <c r="B244">
        <v>8</v>
      </c>
      <c r="C244">
        <v>243</v>
      </c>
      <c r="D244">
        <v>39</v>
      </c>
      <c r="E244" s="22">
        <v>44133</v>
      </c>
    </row>
    <row r="245" spans="1:5" x14ac:dyDescent="0.25">
      <c r="A245">
        <v>244</v>
      </c>
      <c r="B245">
        <v>4</v>
      </c>
      <c r="C245">
        <v>244</v>
      </c>
      <c r="D245">
        <v>39</v>
      </c>
      <c r="E245" s="22">
        <v>44133</v>
      </c>
    </row>
    <row r="246" spans="1:5" x14ac:dyDescent="0.25">
      <c r="A246">
        <v>245</v>
      </c>
      <c r="B246">
        <v>9</v>
      </c>
      <c r="C246">
        <v>245</v>
      </c>
      <c r="D246">
        <v>39</v>
      </c>
      <c r="E246" s="22">
        <v>44133</v>
      </c>
    </row>
    <row r="247" spans="1:5" x14ac:dyDescent="0.25">
      <c r="A247">
        <v>246</v>
      </c>
      <c r="B247">
        <v>9</v>
      </c>
      <c r="C247">
        <v>246</v>
      </c>
      <c r="D247">
        <v>39</v>
      </c>
      <c r="E247" s="22">
        <v>44133</v>
      </c>
    </row>
    <row r="248" spans="1:5" x14ac:dyDescent="0.25">
      <c r="A248">
        <v>247</v>
      </c>
      <c r="B248">
        <v>9</v>
      </c>
      <c r="C248">
        <v>247</v>
      </c>
      <c r="D248">
        <v>39</v>
      </c>
      <c r="E248" s="22">
        <v>44133</v>
      </c>
    </row>
    <row r="249" spans="1:5" x14ac:dyDescent="0.25">
      <c r="A249">
        <v>248</v>
      </c>
      <c r="B249">
        <v>9</v>
      </c>
      <c r="C249">
        <v>248</v>
      </c>
      <c r="D249">
        <v>39</v>
      </c>
      <c r="E249" s="22">
        <v>44133</v>
      </c>
    </row>
    <row r="250" spans="1:5" x14ac:dyDescent="0.25">
      <c r="A250">
        <v>249</v>
      </c>
      <c r="B250">
        <v>9</v>
      </c>
      <c r="C250">
        <v>249</v>
      </c>
      <c r="D250">
        <v>39</v>
      </c>
      <c r="E250" s="22">
        <v>44133</v>
      </c>
    </row>
    <row r="251" spans="1:5" x14ac:dyDescent="0.25">
      <c r="A251">
        <v>250</v>
      </c>
      <c r="B251">
        <v>9</v>
      </c>
      <c r="C251">
        <v>250</v>
      </c>
      <c r="D251">
        <v>39</v>
      </c>
      <c r="E251" s="22">
        <v>44133</v>
      </c>
    </row>
    <row r="252" spans="1:5" x14ac:dyDescent="0.25">
      <c r="A252">
        <v>251</v>
      </c>
      <c r="B252">
        <v>9</v>
      </c>
      <c r="C252">
        <v>251</v>
      </c>
      <c r="D252">
        <v>39</v>
      </c>
      <c r="E252" s="22">
        <v>44133</v>
      </c>
    </row>
    <row r="253" spans="1:5" x14ac:dyDescent="0.25">
      <c r="A253">
        <v>252</v>
      </c>
      <c r="B253">
        <v>9</v>
      </c>
      <c r="C253">
        <v>252</v>
      </c>
      <c r="D253">
        <v>39</v>
      </c>
      <c r="E253" s="22">
        <v>44133</v>
      </c>
    </row>
    <row r="254" spans="1:5" x14ac:dyDescent="0.25">
      <c r="A254">
        <v>253</v>
      </c>
      <c r="B254">
        <v>9</v>
      </c>
      <c r="C254">
        <v>253</v>
      </c>
      <c r="D254">
        <v>39</v>
      </c>
      <c r="E254" s="22">
        <v>44133</v>
      </c>
    </row>
    <row r="255" spans="1:5" x14ac:dyDescent="0.25">
      <c r="A255">
        <v>254</v>
      </c>
      <c r="B255">
        <v>9</v>
      </c>
      <c r="C255">
        <v>254</v>
      </c>
      <c r="D255">
        <v>39</v>
      </c>
      <c r="E255" s="22">
        <v>44133</v>
      </c>
    </row>
    <row r="256" spans="1:5" x14ac:dyDescent="0.25">
      <c r="A256">
        <v>255</v>
      </c>
      <c r="B256">
        <v>9</v>
      </c>
      <c r="C256">
        <v>255</v>
      </c>
      <c r="D256">
        <v>39</v>
      </c>
      <c r="E256" s="22">
        <v>44133</v>
      </c>
    </row>
    <row r="257" spans="1:5" x14ac:dyDescent="0.25">
      <c r="A257">
        <v>256</v>
      </c>
      <c r="B257">
        <v>9</v>
      </c>
      <c r="C257">
        <v>256</v>
      </c>
      <c r="D257">
        <v>39</v>
      </c>
      <c r="E257" s="22">
        <v>44133</v>
      </c>
    </row>
    <row r="258" spans="1:5" x14ac:dyDescent="0.25">
      <c r="A258">
        <v>257</v>
      </c>
      <c r="B258">
        <v>9</v>
      </c>
      <c r="C258">
        <v>257</v>
      </c>
      <c r="D258">
        <v>39</v>
      </c>
      <c r="E258" s="22">
        <v>44133</v>
      </c>
    </row>
    <row r="259" spans="1:5" x14ac:dyDescent="0.25">
      <c r="A259">
        <v>258</v>
      </c>
      <c r="B259">
        <v>9</v>
      </c>
      <c r="C259">
        <v>258</v>
      </c>
      <c r="D259">
        <v>39</v>
      </c>
      <c r="E259" s="22">
        <v>44133</v>
      </c>
    </row>
    <row r="260" spans="1:5" x14ac:dyDescent="0.25">
      <c r="A260">
        <v>259</v>
      </c>
      <c r="B260">
        <v>9</v>
      </c>
      <c r="C260">
        <v>259</v>
      </c>
      <c r="D260">
        <v>39</v>
      </c>
      <c r="E260" s="22">
        <v>44133</v>
      </c>
    </row>
    <row r="261" spans="1:5" x14ac:dyDescent="0.25">
      <c r="A261">
        <v>260</v>
      </c>
      <c r="B261">
        <v>9</v>
      </c>
      <c r="C261">
        <v>260</v>
      </c>
      <c r="D261">
        <v>39</v>
      </c>
      <c r="E261" s="22">
        <v>44133</v>
      </c>
    </row>
    <row r="262" spans="1:5" x14ac:dyDescent="0.25">
      <c r="A262">
        <v>261</v>
      </c>
      <c r="B262">
        <v>39</v>
      </c>
      <c r="C262">
        <v>261</v>
      </c>
      <c r="D262">
        <v>4</v>
      </c>
      <c r="E262" s="22">
        <v>44133</v>
      </c>
    </row>
    <row r="263" spans="1:5" x14ac:dyDescent="0.25">
      <c r="A263">
        <v>262</v>
      </c>
      <c r="B263">
        <v>4</v>
      </c>
      <c r="C263">
        <v>262</v>
      </c>
      <c r="D263">
        <v>4</v>
      </c>
      <c r="E263" s="22">
        <v>44133</v>
      </c>
    </row>
    <row r="264" spans="1:5" x14ac:dyDescent="0.25">
      <c r="A264">
        <v>263</v>
      </c>
      <c r="B264">
        <v>9</v>
      </c>
      <c r="C264">
        <v>263</v>
      </c>
      <c r="D264">
        <v>39</v>
      </c>
      <c r="E264" s="22">
        <v>44133</v>
      </c>
    </row>
    <row r="265" spans="1:5" x14ac:dyDescent="0.25">
      <c r="A265">
        <v>264</v>
      </c>
      <c r="B265">
        <v>9</v>
      </c>
      <c r="C265">
        <v>264</v>
      </c>
      <c r="D265">
        <v>39</v>
      </c>
      <c r="E265" s="22">
        <v>44133</v>
      </c>
    </row>
    <row r="266" spans="1:5" x14ac:dyDescent="0.25">
      <c r="A266">
        <v>265</v>
      </c>
      <c r="B266">
        <v>9</v>
      </c>
      <c r="C266">
        <v>265</v>
      </c>
      <c r="D266">
        <v>39</v>
      </c>
      <c r="E266" s="22">
        <v>44133</v>
      </c>
    </row>
    <row r="267" spans="1:5" x14ac:dyDescent="0.25">
      <c r="A267">
        <v>266</v>
      </c>
      <c r="B267">
        <v>9</v>
      </c>
      <c r="C267">
        <v>266</v>
      </c>
      <c r="D267">
        <v>39</v>
      </c>
      <c r="E267" s="22">
        <v>44133</v>
      </c>
    </row>
    <row r="268" spans="1:5" x14ac:dyDescent="0.25">
      <c r="A268">
        <v>267</v>
      </c>
      <c r="B268">
        <v>9</v>
      </c>
      <c r="C268">
        <v>267</v>
      </c>
      <c r="D268">
        <v>39</v>
      </c>
      <c r="E268" s="22">
        <v>44133</v>
      </c>
    </row>
    <row r="269" spans="1:5" x14ac:dyDescent="0.25">
      <c r="A269">
        <v>268</v>
      </c>
      <c r="B269">
        <v>9</v>
      </c>
      <c r="C269">
        <v>268</v>
      </c>
      <c r="D269">
        <v>39</v>
      </c>
      <c r="E269" s="22">
        <v>44133</v>
      </c>
    </row>
    <row r="270" spans="1:5" x14ac:dyDescent="0.25">
      <c r="A270">
        <v>269</v>
      </c>
      <c r="B270">
        <v>9</v>
      </c>
      <c r="C270">
        <v>269</v>
      </c>
      <c r="D270">
        <v>39</v>
      </c>
      <c r="E270" s="22">
        <v>44133</v>
      </c>
    </row>
    <row r="271" spans="1:5" x14ac:dyDescent="0.25">
      <c r="A271">
        <v>270</v>
      </c>
      <c r="B271">
        <v>9</v>
      </c>
      <c r="C271">
        <v>270</v>
      </c>
      <c r="D271">
        <v>39</v>
      </c>
      <c r="E271" s="22">
        <v>44133</v>
      </c>
    </row>
    <row r="272" spans="1:5" x14ac:dyDescent="0.25">
      <c r="A272">
        <v>271</v>
      </c>
      <c r="B272">
        <v>9</v>
      </c>
      <c r="C272">
        <v>271</v>
      </c>
      <c r="D272">
        <v>39</v>
      </c>
      <c r="E272" s="22">
        <v>44133</v>
      </c>
    </row>
    <row r="273" spans="1:5" x14ac:dyDescent="0.25">
      <c r="A273">
        <v>272</v>
      </c>
      <c r="B273">
        <v>9</v>
      </c>
      <c r="C273">
        <v>272</v>
      </c>
      <c r="D273">
        <v>39</v>
      </c>
      <c r="E273" s="22">
        <v>44133</v>
      </c>
    </row>
    <row r="274" spans="1:5" x14ac:dyDescent="0.25">
      <c r="A274">
        <v>273</v>
      </c>
      <c r="B274">
        <v>9</v>
      </c>
      <c r="C274">
        <v>273</v>
      </c>
      <c r="D274">
        <v>39</v>
      </c>
      <c r="E274" s="22">
        <v>44133</v>
      </c>
    </row>
    <row r="275" spans="1:5" x14ac:dyDescent="0.25">
      <c r="A275">
        <v>274</v>
      </c>
      <c r="B275">
        <v>9</v>
      </c>
      <c r="C275">
        <v>274</v>
      </c>
      <c r="D275">
        <v>39</v>
      </c>
      <c r="E275" s="22">
        <v>44133</v>
      </c>
    </row>
    <row r="276" spans="1:5" x14ac:dyDescent="0.25">
      <c r="A276">
        <v>275</v>
      </c>
      <c r="B276">
        <v>9</v>
      </c>
      <c r="C276">
        <v>275</v>
      </c>
      <c r="D276">
        <v>39</v>
      </c>
      <c r="E276" s="22">
        <v>44133</v>
      </c>
    </row>
    <row r="277" spans="1:5" x14ac:dyDescent="0.25">
      <c r="A277">
        <v>276</v>
      </c>
      <c r="B277">
        <v>9</v>
      </c>
      <c r="C277">
        <v>276</v>
      </c>
      <c r="D277">
        <v>39</v>
      </c>
      <c r="E277" s="22">
        <v>44133</v>
      </c>
    </row>
    <row r="278" spans="1:5" x14ac:dyDescent="0.25">
      <c r="A278">
        <v>277</v>
      </c>
      <c r="B278">
        <v>9</v>
      </c>
      <c r="C278">
        <v>277</v>
      </c>
      <c r="D278">
        <v>39</v>
      </c>
      <c r="E278" s="22">
        <v>44133</v>
      </c>
    </row>
    <row r="279" spans="1:5" x14ac:dyDescent="0.25">
      <c r="A279">
        <v>278</v>
      </c>
      <c r="B279">
        <v>9</v>
      </c>
      <c r="C279">
        <v>278</v>
      </c>
      <c r="D279">
        <v>39</v>
      </c>
      <c r="E279" s="22">
        <v>44133</v>
      </c>
    </row>
    <row r="280" spans="1:5" x14ac:dyDescent="0.25">
      <c r="A280">
        <v>279</v>
      </c>
      <c r="B280">
        <v>9</v>
      </c>
      <c r="C280">
        <v>279</v>
      </c>
      <c r="D280">
        <v>39</v>
      </c>
      <c r="E280" s="22">
        <v>44133</v>
      </c>
    </row>
    <row r="281" spans="1:5" x14ac:dyDescent="0.25">
      <c r="A281">
        <v>280</v>
      </c>
      <c r="B281">
        <v>9</v>
      </c>
      <c r="C281">
        <v>280</v>
      </c>
      <c r="D281">
        <v>39</v>
      </c>
      <c r="E281" s="22">
        <v>44133</v>
      </c>
    </row>
    <row r="282" spans="1:5" x14ac:dyDescent="0.25">
      <c r="A282">
        <v>281</v>
      </c>
      <c r="B282">
        <v>9</v>
      </c>
      <c r="C282">
        <v>281</v>
      </c>
      <c r="D282">
        <v>39</v>
      </c>
      <c r="E282" s="22">
        <v>44133</v>
      </c>
    </row>
    <row r="283" spans="1:5" x14ac:dyDescent="0.25">
      <c r="A283">
        <v>282</v>
      </c>
      <c r="B283">
        <v>9</v>
      </c>
      <c r="C283">
        <v>282</v>
      </c>
      <c r="D283">
        <v>39</v>
      </c>
      <c r="E283" s="22">
        <v>44133</v>
      </c>
    </row>
    <row r="284" spans="1:5" x14ac:dyDescent="0.25">
      <c r="A284">
        <v>283</v>
      </c>
      <c r="B284">
        <v>9</v>
      </c>
      <c r="C284">
        <v>283</v>
      </c>
      <c r="D284">
        <v>39</v>
      </c>
      <c r="E284" s="22">
        <v>44133</v>
      </c>
    </row>
    <row r="285" spans="1:5" x14ac:dyDescent="0.25">
      <c r="A285">
        <v>284</v>
      </c>
      <c r="B285">
        <v>9</v>
      </c>
      <c r="C285">
        <v>284</v>
      </c>
      <c r="D285">
        <v>39</v>
      </c>
      <c r="E285" s="22">
        <v>44133</v>
      </c>
    </row>
    <row r="286" spans="1:5" x14ac:dyDescent="0.25">
      <c r="A286">
        <v>285</v>
      </c>
      <c r="B286">
        <v>9</v>
      </c>
      <c r="C286">
        <v>285</v>
      </c>
      <c r="D286">
        <v>39</v>
      </c>
      <c r="E286" s="22">
        <v>44133</v>
      </c>
    </row>
    <row r="287" spans="1:5" x14ac:dyDescent="0.25">
      <c r="A287">
        <v>286</v>
      </c>
      <c r="B287">
        <v>9</v>
      </c>
      <c r="C287">
        <v>286</v>
      </c>
      <c r="D287">
        <v>39</v>
      </c>
      <c r="E287" s="22">
        <v>44133</v>
      </c>
    </row>
    <row r="288" spans="1:5" x14ac:dyDescent="0.25">
      <c r="A288">
        <v>287</v>
      </c>
      <c r="B288">
        <v>9</v>
      </c>
      <c r="C288">
        <v>287</v>
      </c>
      <c r="D288">
        <v>39</v>
      </c>
      <c r="E288" s="22">
        <v>44133</v>
      </c>
    </row>
    <row r="289" spans="1:5" x14ac:dyDescent="0.25">
      <c r="A289">
        <v>288</v>
      </c>
      <c r="B289">
        <v>9</v>
      </c>
      <c r="C289">
        <v>288</v>
      </c>
      <c r="D289">
        <v>39</v>
      </c>
      <c r="E289" s="22">
        <v>44133</v>
      </c>
    </row>
    <row r="290" spans="1:5" x14ac:dyDescent="0.25">
      <c r="A290">
        <v>289</v>
      </c>
      <c r="B290">
        <v>9</v>
      </c>
      <c r="C290">
        <v>289</v>
      </c>
      <c r="D290">
        <v>39</v>
      </c>
      <c r="E290" s="22">
        <v>44133</v>
      </c>
    </row>
    <row r="291" spans="1:5" x14ac:dyDescent="0.25">
      <c r="A291">
        <v>290</v>
      </c>
      <c r="B291">
        <v>9</v>
      </c>
      <c r="C291">
        <v>290</v>
      </c>
      <c r="D291">
        <v>39</v>
      </c>
      <c r="E291" s="22">
        <v>44133</v>
      </c>
    </row>
    <row r="292" spans="1:5" x14ac:dyDescent="0.25">
      <c r="A292">
        <v>291</v>
      </c>
      <c r="B292">
        <v>9</v>
      </c>
      <c r="C292">
        <v>291</v>
      </c>
      <c r="D292">
        <v>39</v>
      </c>
      <c r="E292" s="22">
        <v>44133</v>
      </c>
    </row>
    <row r="293" spans="1:5" x14ac:dyDescent="0.25">
      <c r="A293">
        <v>292</v>
      </c>
      <c r="B293">
        <v>9</v>
      </c>
      <c r="C293">
        <v>292</v>
      </c>
      <c r="D293">
        <v>39</v>
      </c>
      <c r="E293" s="22">
        <v>44133</v>
      </c>
    </row>
    <row r="294" spans="1:5" x14ac:dyDescent="0.25">
      <c r="A294">
        <v>293</v>
      </c>
      <c r="B294">
        <v>9</v>
      </c>
      <c r="C294">
        <v>293</v>
      </c>
      <c r="D294">
        <v>39</v>
      </c>
      <c r="E294" s="22">
        <v>44133</v>
      </c>
    </row>
    <row r="295" spans="1:5" x14ac:dyDescent="0.25">
      <c r="A295">
        <v>294</v>
      </c>
      <c r="B295">
        <v>9</v>
      </c>
      <c r="C295">
        <v>294</v>
      </c>
      <c r="D295">
        <v>39</v>
      </c>
      <c r="E295" s="22">
        <v>44133</v>
      </c>
    </row>
    <row r="296" spans="1:5" x14ac:dyDescent="0.25">
      <c r="A296">
        <v>295</v>
      </c>
      <c r="B296">
        <v>9</v>
      </c>
      <c r="C296">
        <v>295</v>
      </c>
      <c r="D296">
        <v>39</v>
      </c>
      <c r="E296" s="22">
        <v>44133</v>
      </c>
    </row>
    <row r="297" spans="1:5" x14ac:dyDescent="0.25">
      <c r="A297">
        <v>296</v>
      </c>
      <c r="B297">
        <v>9</v>
      </c>
      <c r="C297">
        <v>296</v>
      </c>
      <c r="D297">
        <v>39</v>
      </c>
      <c r="E297" s="22">
        <v>44133</v>
      </c>
    </row>
    <row r="298" spans="1:5" x14ac:dyDescent="0.25">
      <c r="A298">
        <v>297</v>
      </c>
      <c r="B298">
        <v>39</v>
      </c>
      <c r="C298">
        <v>297</v>
      </c>
      <c r="D298">
        <v>39</v>
      </c>
      <c r="E298" s="22">
        <v>44133</v>
      </c>
    </row>
    <row r="299" spans="1:5" x14ac:dyDescent="0.25">
      <c r="A299">
        <v>298</v>
      </c>
      <c r="B299">
        <v>39</v>
      </c>
      <c r="C299">
        <v>298</v>
      </c>
      <c r="D299">
        <v>39</v>
      </c>
      <c r="E299" s="22">
        <v>44133</v>
      </c>
    </row>
    <row r="300" spans="1:5" x14ac:dyDescent="0.25">
      <c r="A300">
        <v>299</v>
      </c>
      <c r="B300">
        <v>39</v>
      </c>
      <c r="C300">
        <v>299</v>
      </c>
      <c r="D300">
        <v>39</v>
      </c>
      <c r="E300" s="22">
        <v>44133</v>
      </c>
    </row>
    <row r="301" spans="1:5" x14ac:dyDescent="0.25">
      <c r="A301">
        <v>300</v>
      </c>
      <c r="B301">
        <v>39</v>
      </c>
      <c r="C301">
        <v>300</v>
      </c>
      <c r="D301">
        <v>39</v>
      </c>
      <c r="E301" s="22">
        <v>44133</v>
      </c>
    </row>
    <row r="302" spans="1:5" x14ac:dyDescent="0.25">
      <c r="A302">
        <v>301</v>
      </c>
      <c r="B302">
        <v>39</v>
      </c>
      <c r="C302">
        <v>301</v>
      </c>
      <c r="D302">
        <v>39</v>
      </c>
      <c r="E302" s="22">
        <v>44133</v>
      </c>
    </row>
    <row r="303" spans="1:5" x14ac:dyDescent="0.25">
      <c r="A303">
        <v>302</v>
      </c>
      <c r="B303">
        <v>39</v>
      </c>
      <c r="C303">
        <v>302</v>
      </c>
      <c r="D303">
        <v>39</v>
      </c>
      <c r="E303" s="22">
        <v>44133</v>
      </c>
    </row>
    <row r="304" spans="1:5" x14ac:dyDescent="0.25">
      <c r="A304">
        <v>303</v>
      </c>
      <c r="B304">
        <v>9</v>
      </c>
      <c r="C304">
        <v>303</v>
      </c>
      <c r="D304">
        <v>39</v>
      </c>
      <c r="E304" s="22">
        <v>44133</v>
      </c>
    </row>
    <row r="305" spans="1:5" x14ac:dyDescent="0.25">
      <c r="A305">
        <v>304</v>
      </c>
      <c r="B305">
        <v>39</v>
      </c>
      <c r="C305">
        <v>304</v>
      </c>
      <c r="D305">
        <v>39</v>
      </c>
      <c r="E305" s="22">
        <v>44133</v>
      </c>
    </row>
    <row r="306" spans="1:5" x14ac:dyDescent="0.25">
      <c r="A306">
        <v>305</v>
      </c>
      <c r="B306">
        <v>34</v>
      </c>
      <c r="C306">
        <v>305</v>
      </c>
      <c r="D306">
        <v>39</v>
      </c>
      <c r="E306" s="22">
        <v>44133</v>
      </c>
    </row>
    <row r="307" spans="1:5" x14ac:dyDescent="0.25">
      <c r="A307">
        <v>306</v>
      </c>
      <c r="B307">
        <v>39</v>
      </c>
      <c r="C307">
        <v>306</v>
      </c>
      <c r="D307">
        <v>39</v>
      </c>
      <c r="E307" s="22">
        <v>44133</v>
      </c>
    </row>
    <row r="308" spans="1:5" x14ac:dyDescent="0.25">
      <c r="A308">
        <v>307</v>
      </c>
      <c r="B308">
        <v>39</v>
      </c>
      <c r="C308">
        <v>307</v>
      </c>
      <c r="D308">
        <v>39</v>
      </c>
      <c r="E308" s="22">
        <v>44133</v>
      </c>
    </row>
    <row r="309" spans="1:5" x14ac:dyDescent="0.25">
      <c r="A309">
        <v>308</v>
      </c>
      <c r="B309">
        <v>39</v>
      </c>
      <c r="C309">
        <v>308</v>
      </c>
      <c r="D309">
        <v>4</v>
      </c>
      <c r="E309" s="22">
        <v>44133</v>
      </c>
    </row>
    <row r="310" spans="1:5" x14ac:dyDescent="0.25">
      <c r="A310">
        <v>309</v>
      </c>
      <c r="B310">
        <v>4</v>
      </c>
      <c r="C310">
        <v>309</v>
      </c>
      <c r="D310">
        <v>4</v>
      </c>
      <c r="E310" s="22">
        <v>44133</v>
      </c>
    </row>
    <row r="311" spans="1:5" x14ac:dyDescent="0.25">
      <c r="A311">
        <v>310</v>
      </c>
      <c r="B311">
        <v>4</v>
      </c>
      <c r="C311">
        <v>310</v>
      </c>
      <c r="D311">
        <v>4</v>
      </c>
      <c r="E311" s="22">
        <v>44133</v>
      </c>
    </row>
    <row r="312" spans="1:5" x14ac:dyDescent="0.25">
      <c r="A312">
        <v>311</v>
      </c>
      <c r="B312">
        <v>4</v>
      </c>
      <c r="C312">
        <v>311</v>
      </c>
      <c r="D312">
        <v>4</v>
      </c>
      <c r="E312" s="22">
        <v>44133</v>
      </c>
    </row>
    <row r="313" spans="1:5" x14ac:dyDescent="0.25">
      <c r="A313">
        <v>312</v>
      </c>
      <c r="B313">
        <v>34</v>
      </c>
      <c r="C313">
        <v>312</v>
      </c>
      <c r="D313">
        <v>4</v>
      </c>
      <c r="E313" s="22">
        <v>44133</v>
      </c>
    </row>
    <row r="314" spans="1:5" x14ac:dyDescent="0.25">
      <c r="A314">
        <v>313</v>
      </c>
      <c r="B314">
        <v>18</v>
      </c>
      <c r="C314">
        <v>313</v>
      </c>
      <c r="D314">
        <v>4</v>
      </c>
      <c r="E314" s="22">
        <v>44133</v>
      </c>
    </row>
    <row r="315" spans="1:5" x14ac:dyDescent="0.25">
      <c r="A315">
        <v>314</v>
      </c>
      <c r="B315">
        <v>26</v>
      </c>
      <c r="C315">
        <v>314</v>
      </c>
      <c r="D315">
        <v>4</v>
      </c>
      <c r="E315" s="22">
        <v>44133</v>
      </c>
    </row>
    <row r="316" spans="1:5" x14ac:dyDescent="0.25">
      <c r="A316">
        <v>315</v>
      </c>
      <c r="B316">
        <v>9</v>
      </c>
      <c r="C316">
        <v>315</v>
      </c>
      <c r="D316">
        <v>4</v>
      </c>
      <c r="E316" s="22">
        <v>44133</v>
      </c>
    </row>
    <row r="317" spans="1:5" x14ac:dyDescent="0.25">
      <c r="A317">
        <v>316</v>
      </c>
      <c r="B317">
        <v>9</v>
      </c>
      <c r="C317">
        <v>316</v>
      </c>
      <c r="D317">
        <v>4</v>
      </c>
      <c r="E317" s="22">
        <v>44133</v>
      </c>
    </row>
    <row r="318" spans="1:5" x14ac:dyDescent="0.25">
      <c r="A318">
        <v>317</v>
      </c>
      <c r="B318">
        <v>9</v>
      </c>
      <c r="C318">
        <v>317</v>
      </c>
      <c r="D318">
        <v>4</v>
      </c>
      <c r="E318" s="22">
        <v>44133</v>
      </c>
    </row>
    <row r="319" spans="1:5" x14ac:dyDescent="0.25">
      <c r="A319">
        <v>318</v>
      </c>
      <c r="B319">
        <v>9</v>
      </c>
      <c r="C319">
        <v>318</v>
      </c>
      <c r="D319">
        <v>4</v>
      </c>
      <c r="E319" s="22">
        <v>44133</v>
      </c>
    </row>
    <row r="320" spans="1:5" x14ac:dyDescent="0.25">
      <c r="A320">
        <v>319</v>
      </c>
      <c r="B320">
        <v>9</v>
      </c>
      <c r="C320">
        <v>319</v>
      </c>
      <c r="D320">
        <v>4</v>
      </c>
      <c r="E320" s="22">
        <v>44133</v>
      </c>
    </row>
    <row r="321" spans="1:5" x14ac:dyDescent="0.25">
      <c r="A321">
        <v>320</v>
      </c>
      <c r="B321">
        <v>9</v>
      </c>
      <c r="C321">
        <v>320</v>
      </c>
      <c r="D321">
        <v>4</v>
      </c>
      <c r="E321" s="22">
        <v>44133</v>
      </c>
    </row>
    <row r="322" spans="1:5" x14ac:dyDescent="0.25">
      <c r="A322">
        <v>321</v>
      </c>
      <c r="B322">
        <v>9</v>
      </c>
      <c r="C322">
        <v>321</v>
      </c>
      <c r="D322">
        <v>4</v>
      </c>
      <c r="E322" s="22">
        <v>44133</v>
      </c>
    </row>
    <row r="323" spans="1:5" x14ac:dyDescent="0.25">
      <c r="A323">
        <v>322</v>
      </c>
      <c r="B323">
        <v>9</v>
      </c>
      <c r="C323">
        <v>322</v>
      </c>
      <c r="D323">
        <v>4</v>
      </c>
      <c r="E323" s="22">
        <v>44133</v>
      </c>
    </row>
    <row r="324" spans="1:5" x14ac:dyDescent="0.25">
      <c r="A324">
        <v>323</v>
      </c>
      <c r="B324">
        <v>9</v>
      </c>
      <c r="C324">
        <v>323</v>
      </c>
      <c r="D324">
        <v>4</v>
      </c>
      <c r="E324" s="22">
        <v>44133</v>
      </c>
    </row>
    <row r="325" spans="1:5" x14ac:dyDescent="0.25">
      <c r="A325">
        <v>324</v>
      </c>
      <c r="B325">
        <v>2</v>
      </c>
      <c r="C325">
        <v>324</v>
      </c>
      <c r="D325">
        <v>4</v>
      </c>
      <c r="E325" s="22">
        <v>44133</v>
      </c>
    </row>
    <row r="326" spans="1:5" x14ac:dyDescent="0.25">
      <c r="A326">
        <v>325</v>
      </c>
      <c r="B326">
        <v>39</v>
      </c>
      <c r="C326">
        <v>325</v>
      </c>
      <c r="D326">
        <v>4</v>
      </c>
      <c r="E326" s="22">
        <v>44133</v>
      </c>
    </row>
    <row r="327" spans="1:5" x14ac:dyDescent="0.25">
      <c r="A327">
        <v>326</v>
      </c>
      <c r="B327">
        <v>39</v>
      </c>
      <c r="C327">
        <v>326</v>
      </c>
      <c r="D327">
        <v>4</v>
      </c>
      <c r="E327" s="22">
        <v>44133</v>
      </c>
    </row>
    <row r="328" spans="1:5" x14ac:dyDescent="0.25">
      <c r="A328">
        <v>327</v>
      </c>
      <c r="B328">
        <v>23</v>
      </c>
      <c r="C328">
        <v>327</v>
      </c>
      <c r="D328">
        <v>4</v>
      </c>
      <c r="E328" s="22">
        <v>44133</v>
      </c>
    </row>
    <row r="329" spans="1:5" x14ac:dyDescent="0.25">
      <c r="A329">
        <v>328</v>
      </c>
      <c r="B329">
        <v>39</v>
      </c>
      <c r="C329">
        <v>328</v>
      </c>
      <c r="D329">
        <v>4</v>
      </c>
      <c r="E329" s="22">
        <v>44133</v>
      </c>
    </row>
    <row r="330" spans="1:5" x14ac:dyDescent="0.25">
      <c r="A330">
        <v>329</v>
      </c>
      <c r="B330">
        <v>8</v>
      </c>
      <c r="C330">
        <v>329</v>
      </c>
      <c r="D330">
        <v>4</v>
      </c>
      <c r="E330" s="22">
        <v>44133</v>
      </c>
    </row>
    <row r="331" spans="1:5" x14ac:dyDescent="0.25">
      <c r="A331">
        <v>330</v>
      </c>
      <c r="B331">
        <v>39</v>
      </c>
      <c r="C331">
        <v>330</v>
      </c>
      <c r="D331">
        <v>4</v>
      </c>
      <c r="E331" s="22">
        <v>44133</v>
      </c>
    </row>
    <row r="332" spans="1:5" x14ac:dyDescent="0.25">
      <c r="A332">
        <v>331</v>
      </c>
      <c r="B332">
        <v>39</v>
      </c>
      <c r="C332">
        <v>331</v>
      </c>
      <c r="D332">
        <v>4</v>
      </c>
      <c r="E332" s="22">
        <v>44133</v>
      </c>
    </row>
    <row r="333" spans="1:5" x14ac:dyDescent="0.25">
      <c r="A333">
        <v>332</v>
      </c>
      <c r="B333">
        <v>18</v>
      </c>
      <c r="C333">
        <v>332</v>
      </c>
      <c r="D333">
        <v>4</v>
      </c>
      <c r="E333" s="22">
        <v>44133</v>
      </c>
    </row>
    <row r="334" spans="1:5" x14ac:dyDescent="0.25">
      <c r="A334">
        <v>333</v>
      </c>
      <c r="B334">
        <v>4</v>
      </c>
      <c r="C334">
        <v>333</v>
      </c>
      <c r="D334">
        <v>4</v>
      </c>
      <c r="E334" s="22">
        <v>44133</v>
      </c>
    </row>
    <row r="335" spans="1:5" x14ac:dyDescent="0.25">
      <c r="A335">
        <v>334</v>
      </c>
      <c r="B335">
        <v>4</v>
      </c>
      <c r="C335">
        <v>334</v>
      </c>
      <c r="D335">
        <v>4</v>
      </c>
      <c r="E335" s="22">
        <v>44133</v>
      </c>
    </row>
    <row r="336" spans="1:5" x14ac:dyDescent="0.25">
      <c r="A336">
        <v>335</v>
      </c>
      <c r="B336">
        <v>4</v>
      </c>
      <c r="C336">
        <v>335</v>
      </c>
      <c r="D336">
        <v>4</v>
      </c>
      <c r="E336" s="22">
        <v>44133</v>
      </c>
    </row>
    <row r="337" spans="1:5" x14ac:dyDescent="0.25">
      <c r="A337">
        <v>336</v>
      </c>
      <c r="B337">
        <v>4</v>
      </c>
      <c r="C337">
        <v>336</v>
      </c>
      <c r="D337">
        <v>4</v>
      </c>
      <c r="E337" s="22">
        <v>44133</v>
      </c>
    </row>
    <row r="338" spans="1:5" x14ac:dyDescent="0.25">
      <c r="A338">
        <v>337</v>
      </c>
      <c r="B338">
        <v>39</v>
      </c>
      <c r="C338">
        <v>337</v>
      </c>
      <c r="D338">
        <v>39</v>
      </c>
      <c r="E338" s="22">
        <v>44133</v>
      </c>
    </row>
    <row r="339" spans="1:5" x14ac:dyDescent="0.25">
      <c r="A339">
        <v>338</v>
      </c>
      <c r="B339">
        <v>4</v>
      </c>
      <c r="C339">
        <v>338</v>
      </c>
      <c r="D339">
        <v>39</v>
      </c>
      <c r="E339" s="22">
        <v>44133</v>
      </c>
    </row>
    <row r="340" spans="1:5" x14ac:dyDescent="0.25">
      <c r="A340">
        <v>339</v>
      </c>
      <c r="B340">
        <v>23</v>
      </c>
      <c r="C340">
        <v>339</v>
      </c>
      <c r="D340">
        <v>39</v>
      </c>
      <c r="E340" s="22">
        <v>44133</v>
      </c>
    </row>
    <row r="341" spans="1:5" x14ac:dyDescent="0.25">
      <c r="A341">
        <v>340</v>
      </c>
      <c r="B341">
        <v>23</v>
      </c>
      <c r="C341">
        <v>340</v>
      </c>
      <c r="D341">
        <v>39</v>
      </c>
      <c r="E341" s="22">
        <v>44133</v>
      </c>
    </row>
    <row r="342" spans="1:5" x14ac:dyDescent="0.25">
      <c r="A342">
        <v>341</v>
      </c>
      <c r="B342">
        <v>15</v>
      </c>
      <c r="C342">
        <v>341</v>
      </c>
      <c r="D342">
        <v>39</v>
      </c>
      <c r="E342" s="22">
        <v>44133</v>
      </c>
    </row>
    <row r="343" spans="1:5" x14ac:dyDescent="0.25">
      <c r="A343">
        <v>342</v>
      </c>
      <c r="B343">
        <v>4</v>
      </c>
      <c r="C343">
        <v>342</v>
      </c>
      <c r="D343">
        <v>4</v>
      </c>
      <c r="E343" s="22">
        <v>44133</v>
      </c>
    </row>
    <row r="344" spans="1:5" x14ac:dyDescent="0.25">
      <c r="A344">
        <v>343</v>
      </c>
      <c r="B344">
        <v>4</v>
      </c>
      <c r="C344">
        <v>343</v>
      </c>
      <c r="D344">
        <v>4</v>
      </c>
      <c r="E344" s="22">
        <v>44133</v>
      </c>
    </row>
    <row r="345" spans="1:5" x14ac:dyDescent="0.25">
      <c r="A345">
        <v>344</v>
      </c>
      <c r="B345">
        <v>9</v>
      </c>
      <c r="C345">
        <v>344</v>
      </c>
      <c r="D345">
        <v>4</v>
      </c>
      <c r="E345" s="22">
        <v>44133</v>
      </c>
    </row>
    <row r="346" spans="1:5" x14ac:dyDescent="0.25">
      <c r="A346">
        <v>345</v>
      </c>
      <c r="B346">
        <v>9</v>
      </c>
      <c r="C346">
        <v>345</v>
      </c>
      <c r="D346">
        <v>4</v>
      </c>
      <c r="E346" s="22">
        <v>44133</v>
      </c>
    </row>
    <row r="347" spans="1:5" x14ac:dyDescent="0.25">
      <c r="A347">
        <v>346</v>
      </c>
      <c r="B347">
        <v>9</v>
      </c>
      <c r="C347">
        <v>346</v>
      </c>
      <c r="D347">
        <v>4</v>
      </c>
      <c r="E347" s="22">
        <v>44133</v>
      </c>
    </row>
    <row r="348" spans="1:5" x14ac:dyDescent="0.25">
      <c r="A348">
        <v>347</v>
      </c>
      <c r="B348">
        <v>3</v>
      </c>
      <c r="C348">
        <v>347</v>
      </c>
      <c r="D348">
        <v>4</v>
      </c>
      <c r="E348" s="22">
        <v>44133</v>
      </c>
    </row>
    <row r="349" spans="1:5" x14ac:dyDescent="0.25">
      <c r="A349">
        <v>348</v>
      </c>
      <c r="B349">
        <v>39</v>
      </c>
      <c r="C349">
        <v>348</v>
      </c>
      <c r="D349">
        <v>4</v>
      </c>
      <c r="E349" s="22">
        <v>44133</v>
      </c>
    </row>
    <row r="350" spans="1:5" x14ac:dyDescent="0.25">
      <c r="A350">
        <v>349</v>
      </c>
      <c r="B350">
        <v>30</v>
      </c>
      <c r="C350">
        <v>349</v>
      </c>
      <c r="D350">
        <v>4</v>
      </c>
      <c r="E350" s="22">
        <v>44133</v>
      </c>
    </row>
    <row r="351" spans="1:5" x14ac:dyDescent="0.25">
      <c r="A351">
        <v>350</v>
      </c>
      <c r="B351">
        <v>26</v>
      </c>
      <c r="C351">
        <v>350</v>
      </c>
      <c r="D351">
        <v>4</v>
      </c>
      <c r="E351" s="22">
        <v>44133</v>
      </c>
    </row>
    <row r="352" spans="1:5" x14ac:dyDescent="0.25">
      <c r="A352">
        <v>351</v>
      </c>
      <c r="B352">
        <v>8</v>
      </c>
      <c r="C352">
        <v>351</v>
      </c>
      <c r="D352">
        <v>4</v>
      </c>
      <c r="E352" s="22">
        <v>44133</v>
      </c>
    </row>
    <row r="353" spans="1:5" x14ac:dyDescent="0.25">
      <c r="A353">
        <v>352</v>
      </c>
      <c r="B353">
        <v>39</v>
      </c>
      <c r="C353">
        <v>352</v>
      </c>
      <c r="D353">
        <v>4</v>
      </c>
      <c r="E353" s="22">
        <v>44133</v>
      </c>
    </row>
    <row r="354" spans="1:5" x14ac:dyDescent="0.25">
      <c r="A354">
        <v>353</v>
      </c>
      <c r="B354">
        <v>37</v>
      </c>
      <c r="C354">
        <v>353</v>
      </c>
      <c r="D354">
        <v>4</v>
      </c>
      <c r="E354" s="22">
        <v>44133</v>
      </c>
    </row>
    <row r="355" spans="1:5" x14ac:dyDescent="0.25">
      <c r="A355">
        <v>354</v>
      </c>
      <c r="B355">
        <v>18</v>
      </c>
      <c r="C355">
        <v>354</v>
      </c>
      <c r="D355">
        <v>4</v>
      </c>
      <c r="E355" s="22">
        <v>44133</v>
      </c>
    </row>
    <row r="356" spans="1:5" x14ac:dyDescent="0.25">
      <c r="A356">
        <v>355</v>
      </c>
      <c r="B356">
        <v>34</v>
      </c>
      <c r="C356">
        <v>355</v>
      </c>
      <c r="D356">
        <v>4</v>
      </c>
      <c r="E356" s="22">
        <v>44133</v>
      </c>
    </row>
    <row r="357" spans="1:5" x14ac:dyDescent="0.25">
      <c r="A357">
        <v>356</v>
      </c>
      <c r="B357">
        <v>39</v>
      </c>
      <c r="C357">
        <v>356</v>
      </c>
      <c r="D357">
        <v>4</v>
      </c>
      <c r="E357" s="22">
        <v>44133</v>
      </c>
    </row>
    <row r="358" spans="1:5" x14ac:dyDescent="0.25">
      <c r="A358">
        <v>357</v>
      </c>
      <c r="B358">
        <v>18</v>
      </c>
      <c r="C358">
        <v>357</v>
      </c>
      <c r="D358">
        <v>4</v>
      </c>
      <c r="E358" s="22">
        <v>44133</v>
      </c>
    </row>
    <row r="359" spans="1:5" x14ac:dyDescent="0.25">
      <c r="A359">
        <v>358</v>
      </c>
      <c r="B359">
        <v>4</v>
      </c>
      <c r="C359">
        <v>358</v>
      </c>
      <c r="D359">
        <v>4</v>
      </c>
      <c r="E359" s="22">
        <v>44133</v>
      </c>
    </row>
    <row r="360" spans="1:5" x14ac:dyDescent="0.25">
      <c r="A360">
        <v>359</v>
      </c>
      <c r="B360">
        <v>4</v>
      </c>
      <c r="C360">
        <v>359</v>
      </c>
      <c r="D360">
        <v>4</v>
      </c>
      <c r="E360" s="22">
        <v>44133</v>
      </c>
    </row>
    <row r="361" spans="1:5" x14ac:dyDescent="0.25">
      <c r="A361">
        <v>360</v>
      </c>
      <c r="B361">
        <v>4</v>
      </c>
      <c r="C361">
        <v>360</v>
      </c>
      <c r="D361">
        <v>4</v>
      </c>
      <c r="E361" s="22">
        <v>44133</v>
      </c>
    </row>
    <row r="362" spans="1:5" x14ac:dyDescent="0.25">
      <c r="A362">
        <v>361</v>
      </c>
      <c r="B362">
        <v>4</v>
      </c>
      <c r="C362">
        <v>361</v>
      </c>
      <c r="D362">
        <v>4</v>
      </c>
      <c r="E362" s="22">
        <v>44133</v>
      </c>
    </row>
    <row r="363" spans="1:5" x14ac:dyDescent="0.25">
      <c r="A363">
        <v>362</v>
      </c>
      <c r="B363">
        <v>9</v>
      </c>
      <c r="C363">
        <v>362</v>
      </c>
      <c r="D363">
        <v>4</v>
      </c>
      <c r="E363" s="22">
        <v>44133</v>
      </c>
    </row>
    <row r="364" spans="1:5" x14ac:dyDescent="0.25">
      <c r="A364">
        <v>363</v>
      </c>
      <c r="B364">
        <v>37</v>
      </c>
      <c r="C364">
        <v>363</v>
      </c>
      <c r="D364">
        <v>4</v>
      </c>
      <c r="E364" s="22">
        <v>44133</v>
      </c>
    </row>
    <row r="365" spans="1:5" x14ac:dyDescent="0.25">
      <c r="A365">
        <v>364</v>
      </c>
      <c r="B365">
        <v>39</v>
      </c>
      <c r="C365">
        <v>364</v>
      </c>
      <c r="D365">
        <v>4</v>
      </c>
      <c r="E365" s="22">
        <v>44133</v>
      </c>
    </row>
    <row r="366" spans="1:5" x14ac:dyDescent="0.25">
      <c r="A366">
        <v>365</v>
      </c>
      <c r="B366">
        <v>37</v>
      </c>
      <c r="C366">
        <v>365</v>
      </c>
      <c r="D366">
        <v>4</v>
      </c>
      <c r="E366" s="22">
        <v>44133</v>
      </c>
    </row>
    <row r="367" spans="1:5" x14ac:dyDescent="0.25">
      <c r="A367">
        <v>366</v>
      </c>
      <c r="B367">
        <v>39</v>
      </c>
      <c r="C367">
        <v>366</v>
      </c>
      <c r="D367">
        <v>4</v>
      </c>
      <c r="E367" s="22">
        <v>44133</v>
      </c>
    </row>
    <row r="368" spans="1:5" x14ac:dyDescent="0.25">
      <c r="A368">
        <v>367</v>
      </c>
      <c r="B368">
        <v>9</v>
      </c>
      <c r="C368">
        <v>367</v>
      </c>
      <c r="D368">
        <v>4</v>
      </c>
      <c r="E368" s="22">
        <v>44133</v>
      </c>
    </row>
    <row r="369" spans="1:5" x14ac:dyDescent="0.25">
      <c r="A369">
        <v>368</v>
      </c>
      <c r="B369">
        <v>39</v>
      </c>
      <c r="C369">
        <v>368</v>
      </c>
      <c r="D369">
        <v>4</v>
      </c>
      <c r="E369" s="22">
        <v>44133</v>
      </c>
    </row>
    <row r="370" spans="1:5" x14ac:dyDescent="0.25">
      <c r="A370">
        <v>369</v>
      </c>
      <c r="B370">
        <v>39</v>
      </c>
      <c r="C370">
        <v>369</v>
      </c>
      <c r="D370">
        <v>4</v>
      </c>
      <c r="E370" s="22">
        <v>44133</v>
      </c>
    </row>
    <row r="371" spans="1:5" x14ac:dyDescent="0.25">
      <c r="A371">
        <v>370</v>
      </c>
      <c r="B371">
        <v>30</v>
      </c>
      <c r="C371">
        <v>370</v>
      </c>
      <c r="D371">
        <v>4</v>
      </c>
      <c r="E371" s="22">
        <v>44133</v>
      </c>
    </row>
    <row r="372" spans="1:5" x14ac:dyDescent="0.25">
      <c r="A372">
        <v>371</v>
      </c>
      <c r="B372">
        <v>4</v>
      </c>
      <c r="C372">
        <v>371</v>
      </c>
      <c r="D372">
        <v>4</v>
      </c>
      <c r="E372" s="22">
        <v>44133</v>
      </c>
    </row>
    <row r="373" spans="1:5" x14ac:dyDescent="0.25">
      <c r="A373">
        <v>372</v>
      </c>
      <c r="B373">
        <v>39</v>
      </c>
      <c r="C373">
        <v>372</v>
      </c>
      <c r="D373">
        <v>4</v>
      </c>
      <c r="E373" s="22">
        <v>44133</v>
      </c>
    </row>
    <row r="374" spans="1:5" x14ac:dyDescent="0.25">
      <c r="A374">
        <v>373</v>
      </c>
      <c r="B374">
        <v>23</v>
      </c>
      <c r="C374">
        <v>373</v>
      </c>
      <c r="D374">
        <v>4</v>
      </c>
      <c r="E374" s="22">
        <v>44133</v>
      </c>
    </row>
    <row r="375" spans="1:5" x14ac:dyDescent="0.25">
      <c r="A375">
        <v>374</v>
      </c>
      <c r="B375">
        <v>30</v>
      </c>
      <c r="C375">
        <v>374</v>
      </c>
      <c r="D375">
        <v>4</v>
      </c>
      <c r="E375" s="22">
        <v>44133</v>
      </c>
    </row>
    <row r="376" spans="1:5" x14ac:dyDescent="0.25">
      <c r="A376">
        <v>375</v>
      </c>
      <c r="B376">
        <v>4</v>
      </c>
      <c r="C376">
        <v>375</v>
      </c>
      <c r="D376">
        <v>4</v>
      </c>
      <c r="E376" s="22">
        <v>44133</v>
      </c>
    </row>
    <row r="377" spans="1:5" x14ac:dyDescent="0.25">
      <c r="A377">
        <v>376</v>
      </c>
      <c r="B377">
        <v>2</v>
      </c>
      <c r="C377">
        <v>376</v>
      </c>
      <c r="D377">
        <v>4</v>
      </c>
      <c r="E377" s="22">
        <v>44133</v>
      </c>
    </row>
    <row r="378" spans="1:5" x14ac:dyDescent="0.25">
      <c r="A378">
        <v>377</v>
      </c>
      <c r="B378">
        <v>23</v>
      </c>
      <c r="C378">
        <v>377</v>
      </c>
      <c r="D378">
        <v>4</v>
      </c>
      <c r="E378" s="22">
        <v>44133</v>
      </c>
    </row>
    <row r="379" spans="1:5" x14ac:dyDescent="0.25">
      <c r="A379">
        <v>378</v>
      </c>
      <c r="B379">
        <v>4</v>
      </c>
      <c r="C379">
        <v>378</v>
      </c>
      <c r="D379">
        <v>4</v>
      </c>
      <c r="E379" s="22">
        <v>44133</v>
      </c>
    </row>
    <row r="380" spans="1:5" x14ac:dyDescent="0.25">
      <c r="A380">
        <v>379</v>
      </c>
      <c r="B380">
        <v>4</v>
      </c>
      <c r="C380">
        <v>379</v>
      </c>
      <c r="D380">
        <v>4</v>
      </c>
      <c r="E380" s="22">
        <v>44133</v>
      </c>
    </row>
    <row r="381" spans="1:5" x14ac:dyDescent="0.25">
      <c r="A381">
        <v>380</v>
      </c>
      <c r="B381">
        <v>39</v>
      </c>
      <c r="C381">
        <v>380</v>
      </c>
      <c r="D381">
        <v>4</v>
      </c>
      <c r="E381" s="22">
        <v>44133</v>
      </c>
    </row>
    <row r="382" spans="1:5" x14ac:dyDescent="0.25">
      <c r="A382">
        <v>381</v>
      </c>
      <c r="B382">
        <v>23</v>
      </c>
      <c r="C382">
        <v>381</v>
      </c>
      <c r="D382">
        <v>4</v>
      </c>
      <c r="E382" s="22">
        <v>44133</v>
      </c>
    </row>
    <row r="383" spans="1:5" x14ac:dyDescent="0.25">
      <c r="A383">
        <v>382</v>
      </c>
      <c r="B383">
        <v>4</v>
      </c>
      <c r="C383">
        <v>382</v>
      </c>
      <c r="D383">
        <v>4</v>
      </c>
      <c r="E383" s="22">
        <v>44133</v>
      </c>
    </row>
    <row r="384" spans="1:5" x14ac:dyDescent="0.25">
      <c r="A384">
        <v>383</v>
      </c>
      <c r="B384">
        <v>9</v>
      </c>
      <c r="C384">
        <v>383</v>
      </c>
      <c r="D384">
        <v>4</v>
      </c>
      <c r="E384" s="22">
        <v>44133</v>
      </c>
    </row>
    <row r="385" spans="1:5" x14ac:dyDescent="0.25">
      <c r="A385">
        <v>384</v>
      </c>
      <c r="B385">
        <v>23</v>
      </c>
      <c r="C385">
        <v>384</v>
      </c>
      <c r="D385">
        <v>39</v>
      </c>
      <c r="E385" s="22">
        <v>44133</v>
      </c>
    </row>
    <row r="386" spans="1:5" x14ac:dyDescent="0.25">
      <c r="A386">
        <v>385</v>
      </c>
      <c r="B386">
        <v>23</v>
      </c>
      <c r="C386">
        <v>385</v>
      </c>
      <c r="D386">
        <v>39</v>
      </c>
      <c r="E386" s="22">
        <v>44133</v>
      </c>
    </row>
    <row r="387" spans="1:5" x14ac:dyDescent="0.25">
      <c r="A387">
        <v>386</v>
      </c>
      <c r="B387">
        <v>39</v>
      </c>
      <c r="C387">
        <v>386</v>
      </c>
      <c r="D387">
        <v>39</v>
      </c>
      <c r="E387" s="22">
        <v>44133</v>
      </c>
    </row>
    <row r="388" spans="1:5" x14ac:dyDescent="0.25">
      <c r="A388">
        <v>387</v>
      </c>
      <c r="B388">
        <v>23</v>
      </c>
      <c r="C388">
        <v>387</v>
      </c>
      <c r="D388">
        <v>39</v>
      </c>
      <c r="E388" s="22">
        <v>44133</v>
      </c>
    </row>
    <row r="389" spans="1:5" x14ac:dyDescent="0.25">
      <c r="A389">
        <v>388</v>
      </c>
      <c r="B389">
        <v>23</v>
      </c>
      <c r="C389">
        <v>388</v>
      </c>
      <c r="D389">
        <v>39</v>
      </c>
      <c r="E389" s="22">
        <v>44133</v>
      </c>
    </row>
    <row r="390" spans="1:5" x14ac:dyDescent="0.25">
      <c r="A390">
        <v>389</v>
      </c>
      <c r="B390">
        <v>9</v>
      </c>
      <c r="C390">
        <v>389</v>
      </c>
      <c r="D390">
        <v>4</v>
      </c>
      <c r="E390" s="22">
        <v>44133</v>
      </c>
    </row>
    <row r="391" spans="1:5" x14ac:dyDescent="0.25">
      <c r="A391">
        <v>390</v>
      </c>
      <c r="B391">
        <v>23</v>
      </c>
      <c r="C391">
        <v>390</v>
      </c>
      <c r="D391">
        <v>39</v>
      </c>
      <c r="E391" s="22">
        <v>44133</v>
      </c>
    </row>
    <row r="392" spans="1:5" x14ac:dyDescent="0.25">
      <c r="A392">
        <v>391</v>
      </c>
      <c r="B392">
        <v>4</v>
      </c>
      <c r="C392">
        <v>391</v>
      </c>
      <c r="D392">
        <v>4</v>
      </c>
      <c r="E392" s="22">
        <v>44133</v>
      </c>
    </row>
    <row r="393" spans="1:5" x14ac:dyDescent="0.25">
      <c r="A393">
        <v>392</v>
      </c>
      <c r="B393">
        <v>4</v>
      </c>
      <c r="C393">
        <v>392</v>
      </c>
      <c r="D393">
        <v>4</v>
      </c>
      <c r="E393" s="22">
        <v>44133</v>
      </c>
    </row>
    <row r="394" spans="1:5" x14ac:dyDescent="0.25">
      <c r="A394">
        <v>393</v>
      </c>
      <c r="B394">
        <v>39</v>
      </c>
      <c r="C394">
        <v>393</v>
      </c>
      <c r="D394">
        <v>4</v>
      </c>
      <c r="E394" s="22">
        <v>44133</v>
      </c>
    </row>
    <row r="395" spans="1:5" x14ac:dyDescent="0.25">
      <c r="A395">
        <v>394</v>
      </c>
      <c r="B395">
        <v>39</v>
      </c>
      <c r="C395">
        <v>394</v>
      </c>
      <c r="D395">
        <v>4</v>
      </c>
      <c r="E395" s="22">
        <v>44133</v>
      </c>
    </row>
    <row r="396" spans="1:5" x14ac:dyDescent="0.25">
      <c r="A396">
        <v>395</v>
      </c>
      <c r="B396">
        <v>2</v>
      </c>
      <c r="C396">
        <v>395</v>
      </c>
      <c r="D396">
        <v>4</v>
      </c>
      <c r="E396" s="22">
        <v>44133</v>
      </c>
    </row>
    <row r="397" spans="1:5" x14ac:dyDescent="0.25">
      <c r="A397">
        <v>396</v>
      </c>
      <c r="B397">
        <v>23</v>
      </c>
      <c r="C397">
        <v>396</v>
      </c>
      <c r="D397">
        <v>39</v>
      </c>
      <c r="E397" s="22">
        <v>44133</v>
      </c>
    </row>
    <row r="398" spans="1:5" x14ac:dyDescent="0.25">
      <c r="A398">
        <v>397</v>
      </c>
      <c r="B398">
        <v>23</v>
      </c>
      <c r="C398">
        <v>397</v>
      </c>
      <c r="D398">
        <v>39</v>
      </c>
      <c r="E398" s="22">
        <v>44133</v>
      </c>
    </row>
    <row r="399" spans="1:5" x14ac:dyDescent="0.25">
      <c r="A399">
        <v>398</v>
      </c>
      <c r="B399">
        <v>39</v>
      </c>
      <c r="C399">
        <v>398</v>
      </c>
      <c r="D399">
        <v>39</v>
      </c>
      <c r="E399" s="22">
        <v>44133</v>
      </c>
    </row>
    <row r="400" spans="1:5" x14ac:dyDescent="0.25">
      <c r="A400">
        <v>399</v>
      </c>
      <c r="B400">
        <v>39</v>
      </c>
      <c r="C400">
        <v>399</v>
      </c>
      <c r="D400">
        <v>39</v>
      </c>
      <c r="E400" s="22">
        <v>44133</v>
      </c>
    </row>
    <row r="401" spans="1:5" x14ac:dyDescent="0.25">
      <c r="A401">
        <v>400</v>
      </c>
      <c r="B401">
        <v>39</v>
      </c>
      <c r="C401">
        <v>400</v>
      </c>
      <c r="D401">
        <v>39</v>
      </c>
      <c r="E401" s="22">
        <v>44133</v>
      </c>
    </row>
    <row r="402" spans="1:5" x14ac:dyDescent="0.25">
      <c r="A402">
        <v>401</v>
      </c>
      <c r="B402">
        <v>39</v>
      </c>
      <c r="C402">
        <v>401</v>
      </c>
      <c r="D402">
        <v>39</v>
      </c>
      <c r="E402" s="22">
        <v>44133</v>
      </c>
    </row>
    <row r="403" spans="1:5" x14ac:dyDescent="0.25">
      <c r="A403">
        <v>402</v>
      </c>
      <c r="B403">
        <v>39</v>
      </c>
      <c r="C403">
        <v>402</v>
      </c>
      <c r="D403">
        <v>39</v>
      </c>
      <c r="E403" s="22">
        <v>44133</v>
      </c>
    </row>
    <row r="404" spans="1:5" x14ac:dyDescent="0.25">
      <c r="A404">
        <v>403</v>
      </c>
      <c r="B404">
        <v>9</v>
      </c>
      <c r="C404">
        <v>403</v>
      </c>
      <c r="D404">
        <v>4</v>
      </c>
      <c r="E404" s="22">
        <v>44133</v>
      </c>
    </row>
    <row r="405" spans="1:5" x14ac:dyDescent="0.25">
      <c r="A405">
        <v>404</v>
      </c>
      <c r="B405">
        <v>39</v>
      </c>
      <c r="C405">
        <v>404</v>
      </c>
      <c r="D405">
        <v>4</v>
      </c>
      <c r="E405" s="22">
        <v>44133</v>
      </c>
    </row>
    <row r="406" spans="1:5" x14ac:dyDescent="0.25">
      <c r="A406">
        <v>405</v>
      </c>
      <c r="B406">
        <v>39</v>
      </c>
      <c r="C406">
        <v>405</v>
      </c>
      <c r="D406">
        <v>39</v>
      </c>
      <c r="E406" s="22">
        <v>44133</v>
      </c>
    </row>
    <row r="407" spans="1:5" x14ac:dyDescent="0.25">
      <c r="A407">
        <v>406</v>
      </c>
      <c r="B407">
        <v>23</v>
      </c>
      <c r="C407">
        <v>406</v>
      </c>
      <c r="D407">
        <v>4</v>
      </c>
      <c r="E407" s="22">
        <v>44133</v>
      </c>
    </row>
    <row r="408" spans="1:5" x14ac:dyDescent="0.25">
      <c r="A408">
        <v>407</v>
      </c>
      <c r="B408">
        <v>39</v>
      </c>
      <c r="C408">
        <v>407</v>
      </c>
      <c r="D408">
        <v>4</v>
      </c>
      <c r="E408" s="22">
        <v>44133</v>
      </c>
    </row>
    <row r="409" spans="1:5" x14ac:dyDescent="0.25">
      <c r="A409">
        <v>408</v>
      </c>
      <c r="B409">
        <v>23</v>
      </c>
      <c r="C409">
        <v>408</v>
      </c>
      <c r="D409">
        <v>4</v>
      </c>
      <c r="E409" s="22">
        <v>44133</v>
      </c>
    </row>
    <row r="410" spans="1:5" x14ac:dyDescent="0.25">
      <c r="A410">
        <v>409</v>
      </c>
      <c r="B410">
        <v>23</v>
      </c>
      <c r="C410">
        <v>409</v>
      </c>
      <c r="D410">
        <v>4</v>
      </c>
      <c r="E410" s="22">
        <v>44133</v>
      </c>
    </row>
    <row r="411" spans="1:5" x14ac:dyDescent="0.25">
      <c r="A411">
        <v>410</v>
      </c>
      <c r="B411">
        <v>4</v>
      </c>
      <c r="C411">
        <v>410</v>
      </c>
      <c r="D411">
        <v>39</v>
      </c>
      <c r="E411" s="22">
        <v>44133</v>
      </c>
    </row>
    <row r="412" spans="1:5" x14ac:dyDescent="0.25">
      <c r="A412">
        <v>411</v>
      </c>
      <c r="B412">
        <v>4</v>
      </c>
      <c r="C412">
        <v>411</v>
      </c>
      <c r="D412">
        <v>39</v>
      </c>
      <c r="E412" s="22">
        <v>44133</v>
      </c>
    </row>
    <row r="413" spans="1:5" x14ac:dyDescent="0.25">
      <c r="A413">
        <v>412</v>
      </c>
      <c r="B413">
        <v>26</v>
      </c>
      <c r="C413">
        <v>412</v>
      </c>
      <c r="D413">
        <v>39</v>
      </c>
      <c r="E413" s="22">
        <v>44133</v>
      </c>
    </row>
    <row r="414" spans="1:5" x14ac:dyDescent="0.25">
      <c r="A414">
        <v>413</v>
      </c>
      <c r="B414">
        <v>9</v>
      </c>
      <c r="C414">
        <v>413</v>
      </c>
      <c r="D414">
        <v>39</v>
      </c>
      <c r="E414" s="22">
        <v>44133</v>
      </c>
    </row>
    <row r="415" spans="1:5" x14ac:dyDescent="0.25">
      <c r="A415">
        <v>414</v>
      </c>
      <c r="B415">
        <v>34</v>
      </c>
      <c r="C415">
        <v>414</v>
      </c>
      <c r="D415">
        <v>4</v>
      </c>
      <c r="E415" s="22">
        <v>44133</v>
      </c>
    </row>
    <row r="416" spans="1:5" x14ac:dyDescent="0.25">
      <c r="A416">
        <v>415</v>
      </c>
      <c r="B416">
        <v>25</v>
      </c>
      <c r="C416">
        <v>415</v>
      </c>
      <c r="D416">
        <v>4</v>
      </c>
      <c r="E416" s="22">
        <v>44133</v>
      </c>
    </row>
    <row r="417" spans="1:5" x14ac:dyDescent="0.25">
      <c r="A417">
        <v>416</v>
      </c>
      <c r="B417">
        <v>9</v>
      </c>
      <c r="C417">
        <v>416</v>
      </c>
      <c r="D417">
        <v>4</v>
      </c>
      <c r="E417" s="22">
        <v>44133</v>
      </c>
    </row>
    <row r="418" spans="1:5" x14ac:dyDescent="0.25">
      <c r="A418">
        <v>417</v>
      </c>
      <c r="B418">
        <v>4</v>
      </c>
      <c r="C418">
        <v>417</v>
      </c>
      <c r="D418">
        <v>4</v>
      </c>
      <c r="E418" s="22">
        <v>44133</v>
      </c>
    </row>
    <row r="419" spans="1:5" x14ac:dyDescent="0.25">
      <c r="A419">
        <v>418</v>
      </c>
      <c r="B419">
        <v>4</v>
      </c>
      <c r="C419">
        <v>418</v>
      </c>
      <c r="D419">
        <v>4</v>
      </c>
      <c r="E419" s="22">
        <v>44133</v>
      </c>
    </row>
    <row r="420" spans="1:5" x14ac:dyDescent="0.25">
      <c r="A420">
        <v>419</v>
      </c>
      <c r="B420">
        <v>4</v>
      </c>
      <c r="C420">
        <v>419</v>
      </c>
      <c r="D420">
        <v>4</v>
      </c>
      <c r="E420" s="22">
        <v>44133</v>
      </c>
    </row>
    <row r="421" spans="1:5" x14ac:dyDescent="0.25">
      <c r="A421">
        <v>420</v>
      </c>
      <c r="B421">
        <v>18</v>
      </c>
      <c r="C421">
        <v>420</v>
      </c>
      <c r="D421">
        <v>4</v>
      </c>
      <c r="E421" s="22">
        <v>44133</v>
      </c>
    </row>
    <row r="422" spans="1:5" x14ac:dyDescent="0.25">
      <c r="A422">
        <v>421</v>
      </c>
      <c r="B422">
        <v>15</v>
      </c>
      <c r="C422">
        <v>421</v>
      </c>
      <c r="D422">
        <v>4</v>
      </c>
      <c r="E422" s="22">
        <v>44133</v>
      </c>
    </row>
    <row r="423" spans="1:5" x14ac:dyDescent="0.25">
      <c r="A423">
        <v>422</v>
      </c>
      <c r="B423">
        <v>39</v>
      </c>
      <c r="C423">
        <v>422</v>
      </c>
      <c r="D423">
        <v>39</v>
      </c>
      <c r="E423" s="22">
        <v>44133</v>
      </c>
    </row>
    <row r="424" spans="1:5" x14ac:dyDescent="0.25">
      <c r="A424">
        <v>423</v>
      </c>
      <c r="B424">
        <v>39</v>
      </c>
      <c r="C424">
        <v>423</v>
      </c>
      <c r="D424">
        <v>39</v>
      </c>
      <c r="E424" s="22">
        <v>44133</v>
      </c>
    </row>
    <row r="425" spans="1:5" x14ac:dyDescent="0.25">
      <c r="A425">
        <v>424</v>
      </c>
      <c r="B425">
        <v>39</v>
      </c>
      <c r="C425">
        <v>424</v>
      </c>
      <c r="D425">
        <v>39</v>
      </c>
      <c r="E425" s="22">
        <v>44133</v>
      </c>
    </row>
    <row r="426" spans="1:5" x14ac:dyDescent="0.25">
      <c r="A426">
        <v>425</v>
      </c>
      <c r="B426">
        <v>39</v>
      </c>
      <c r="C426">
        <v>425</v>
      </c>
      <c r="D426">
        <v>39</v>
      </c>
      <c r="E426" s="22">
        <v>44133</v>
      </c>
    </row>
    <row r="427" spans="1:5" x14ac:dyDescent="0.25">
      <c r="A427">
        <v>426</v>
      </c>
      <c r="B427">
        <v>39</v>
      </c>
      <c r="C427">
        <v>426</v>
      </c>
      <c r="D427">
        <v>39</v>
      </c>
      <c r="E427" s="22">
        <v>44133</v>
      </c>
    </row>
    <row r="428" spans="1:5" x14ac:dyDescent="0.25">
      <c r="A428">
        <v>427</v>
      </c>
      <c r="B428">
        <v>4</v>
      </c>
      <c r="C428">
        <v>427</v>
      </c>
      <c r="D428">
        <v>39</v>
      </c>
      <c r="E428" s="22">
        <v>44133</v>
      </c>
    </row>
    <row r="429" spans="1:5" x14ac:dyDescent="0.25">
      <c r="A429">
        <v>428</v>
      </c>
      <c r="B429">
        <v>4</v>
      </c>
      <c r="C429">
        <v>428</v>
      </c>
      <c r="D429">
        <v>39</v>
      </c>
      <c r="E429" s="22">
        <v>44133</v>
      </c>
    </row>
    <row r="430" spans="1:5" x14ac:dyDescent="0.25">
      <c r="A430">
        <v>429</v>
      </c>
      <c r="B430">
        <v>30</v>
      </c>
      <c r="C430">
        <v>429</v>
      </c>
      <c r="D430">
        <v>39</v>
      </c>
      <c r="E430" s="22">
        <v>44133</v>
      </c>
    </row>
    <row r="431" spans="1:5" x14ac:dyDescent="0.25">
      <c r="A431">
        <v>430</v>
      </c>
      <c r="B431">
        <v>9</v>
      </c>
      <c r="C431">
        <v>430</v>
      </c>
      <c r="D431">
        <v>39</v>
      </c>
      <c r="E431" s="22">
        <v>44133</v>
      </c>
    </row>
    <row r="432" spans="1:5" x14ac:dyDescent="0.25">
      <c r="A432">
        <v>431</v>
      </c>
      <c r="B432">
        <v>9</v>
      </c>
      <c r="C432">
        <v>431</v>
      </c>
      <c r="D432">
        <v>39</v>
      </c>
      <c r="E432" s="22">
        <v>44133</v>
      </c>
    </row>
    <row r="433" spans="1:5" x14ac:dyDescent="0.25">
      <c r="A433">
        <v>432</v>
      </c>
      <c r="B433">
        <v>34</v>
      </c>
      <c r="C433">
        <v>432</v>
      </c>
      <c r="D433">
        <v>4</v>
      </c>
      <c r="E433" s="22">
        <v>44133</v>
      </c>
    </row>
    <row r="434" spans="1:5" x14ac:dyDescent="0.25">
      <c r="A434">
        <v>433</v>
      </c>
      <c r="B434">
        <v>4</v>
      </c>
      <c r="C434">
        <v>433</v>
      </c>
      <c r="D434">
        <v>4</v>
      </c>
      <c r="E434" s="22">
        <v>44133</v>
      </c>
    </row>
    <row r="435" spans="1:5" x14ac:dyDescent="0.25">
      <c r="A435">
        <v>434</v>
      </c>
      <c r="B435">
        <v>4</v>
      </c>
      <c r="C435">
        <v>434</v>
      </c>
      <c r="D435">
        <v>4</v>
      </c>
      <c r="E435" s="22">
        <v>44133</v>
      </c>
    </row>
    <row r="436" spans="1:5" x14ac:dyDescent="0.25">
      <c r="A436">
        <v>435</v>
      </c>
      <c r="B436">
        <v>39</v>
      </c>
      <c r="C436">
        <v>435</v>
      </c>
      <c r="D436">
        <v>39</v>
      </c>
      <c r="E436" s="22">
        <v>44133</v>
      </c>
    </row>
    <row r="437" spans="1:5" x14ac:dyDescent="0.25">
      <c r="A437">
        <v>436</v>
      </c>
      <c r="B437">
        <v>26</v>
      </c>
      <c r="C437">
        <v>436</v>
      </c>
      <c r="D437">
        <v>4</v>
      </c>
      <c r="E437" s="22">
        <v>44133</v>
      </c>
    </row>
    <row r="438" spans="1:5" x14ac:dyDescent="0.25">
      <c r="A438">
        <v>437</v>
      </c>
      <c r="B438">
        <v>4</v>
      </c>
      <c r="C438">
        <v>437</v>
      </c>
      <c r="D438">
        <v>4</v>
      </c>
      <c r="E438" s="22">
        <v>44133</v>
      </c>
    </row>
    <row r="439" spans="1:5" x14ac:dyDescent="0.25">
      <c r="A439">
        <v>438</v>
      </c>
      <c r="B439">
        <v>39</v>
      </c>
      <c r="C439">
        <v>438</v>
      </c>
      <c r="D439">
        <v>4</v>
      </c>
      <c r="E439" s="22">
        <v>44133</v>
      </c>
    </row>
    <row r="440" spans="1:5" x14ac:dyDescent="0.25">
      <c r="A440">
        <v>439</v>
      </c>
      <c r="B440">
        <v>4</v>
      </c>
      <c r="C440">
        <v>439</v>
      </c>
      <c r="D440">
        <v>4</v>
      </c>
      <c r="E440" s="22">
        <v>44133</v>
      </c>
    </row>
    <row r="441" spans="1:5" x14ac:dyDescent="0.25">
      <c r="A441">
        <v>440</v>
      </c>
      <c r="B441">
        <v>2</v>
      </c>
      <c r="C441">
        <v>440</v>
      </c>
      <c r="D441">
        <v>4</v>
      </c>
      <c r="E441" s="22">
        <v>44133</v>
      </c>
    </row>
    <row r="442" spans="1:5" x14ac:dyDescent="0.25">
      <c r="A442">
        <v>441</v>
      </c>
      <c r="B442">
        <v>23</v>
      </c>
      <c r="C442">
        <v>441</v>
      </c>
      <c r="D442">
        <v>4</v>
      </c>
      <c r="E442" s="22">
        <v>44133</v>
      </c>
    </row>
    <row r="443" spans="1:5" x14ac:dyDescent="0.25">
      <c r="A443">
        <v>442</v>
      </c>
      <c r="B443">
        <v>4</v>
      </c>
      <c r="C443">
        <v>442</v>
      </c>
      <c r="D443">
        <v>4</v>
      </c>
      <c r="E443" s="22">
        <v>44133</v>
      </c>
    </row>
    <row r="444" spans="1:5" x14ac:dyDescent="0.25">
      <c r="A444">
        <v>443</v>
      </c>
      <c r="B444">
        <v>39</v>
      </c>
      <c r="C444">
        <v>443</v>
      </c>
      <c r="D444">
        <v>4</v>
      </c>
      <c r="E444" s="22">
        <v>44133</v>
      </c>
    </row>
    <row r="445" spans="1:5" x14ac:dyDescent="0.25">
      <c r="A445">
        <v>444</v>
      </c>
      <c r="B445">
        <v>39</v>
      </c>
      <c r="C445">
        <v>444</v>
      </c>
      <c r="D445">
        <v>4</v>
      </c>
      <c r="E445" s="22">
        <v>44133</v>
      </c>
    </row>
    <row r="446" spans="1:5" x14ac:dyDescent="0.25">
      <c r="A446">
        <v>445</v>
      </c>
      <c r="B446">
        <v>4</v>
      </c>
      <c r="C446">
        <v>445</v>
      </c>
      <c r="D446">
        <v>4</v>
      </c>
      <c r="E446" s="22">
        <v>44133</v>
      </c>
    </row>
    <row r="447" spans="1:5" x14ac:dyDescent="0.25">
      <c r="A447">
        <v>446</v>
      </c>
      <c r="B447">
        <v>39</v>
      </c>
      <c r="C447">
        <v>446</v>
      </c>
      <c r="D447">
        <v>4</v>
      </c>
      <c r="E447" s="22">
        <v>44133</v>
      </c>
    </row>
    <row r="448" spans="1:5" x14ac:dyDescent="0.25">
      <c r="A448">
        <v>447</v>
      </c>
      <c r="B448">
        <v>4</v>
      </c>
      <c r="C448">
        <v>447</v>
      </c>
      <c r="D448">
        <v>4</v>
      </c>
      <c r="E448" s="22">
        <v>44133</v>
      </c>
    </row>
    <row r="449" spans="1:5" x14ac:dyDescent="0.25">
      <c r="A449">
        <v>448</v>
      </c>
      <c r="B449">
        <v>39</v>
      </c>
      <c r="C449">
        <v>448</v>
      </c>
      <c r="D449">
        <v>4</v>
      </c>
      <c r="E449" s="22">
        <v>44133</v>
      </c>
    </row>
    <row r="450" spans="1:5" x14ac:dyDescent="0.25">
      <c r="A450">
        <v>449</v>
      </c>
      <c r="B450">
        <v>4</v>
      </c>
      <c r="C450">
        <v>449</v>
      </c>
      <c r="D450">
        <v>4</v>
      </c>
      <c r="E450" s="22">
        <v>44133</v>
      </c>
    </row>
    <row r="451" spans="1:5" x14ac:dyDescent="0.25">
      <c r="A451">
        <v>450</v>
      </c>
      <c r="B451">
        <v>4</v>
      </c>
      <c r="C451">
        <v>450</v>
      </c>
      <c r="D451">
        <v>4</v>
      </c>
      <c r="E451" s="22">
        <v>44133</v>
      </c>
    </row>
    <row r="452" spans="1:5" x14ac:dyDescent="0.25">
      <c r="A452">
        <v>451</v>
      </c>
      <c r="B452">
        <v>39</v>
      </c>
      <c r="C452">
        <v>451</v>
      </c>
      <c r="D452">
        <v>39</v>
      </c>
      <c r="E452" s="22">
        <v>44133</v>
      </c>
    </row>
    <row r="453" spans="1:5" x14ac:dyDescent="0.25">
      <c r="A453">
        <v>452</v>
      </c>
      <c r="B453">
        <v>39</v>
      </c>
      <c r="C453">
        <v>452</v>
      </c>
      <c r="D453">
        <v>4</v>
      </c>
      <c r="E453" s="22">
        <v>44133</v>
      </c>
    </row>
    <row r="454" spans="1:5" x14ac:dyDescent="0.25">
      <c r="A454">
        <v>453</v>
      </c>
      <c r="B454">
        <v>39</v>
      </c>
      <c r="C454">
        <v>453</v>
      </c>
      <c r="D454">
        <v>4</v>
      </c>
      <c r="E454" s="22">
        <v>44133</v>
      </c>
    </row>
    <row r="455" spans="1:5" x14ac:dyDescent="0.25">
      <c r="A455">
        <v>454</v>
      </c>
      <c r="B455">
        <v>39</v>
      </c>
      <c r="C455">
        <v>454</v>
      </c>
      <c r="D455">
        <v>4</v>
      </c>
      <c r="E455" s="22">
        <v>44133</v>
      </c>
    </row>
    <row r="456" spans="1:5" x14ac:dyDescent="0.25">
      <c r="A456">
        <v>455</v>
      </c>
      <c r="B456">
        <v>26</v>
      </c>
      <c r="C456">
        <v>455</v>
      </c>
      <c r="D456">
        <v>4</v>
      </c>
      <c r="E456" s="22">
        <v>44133</v>
      </c>
    </row>
    <row r="457" spans="1:5" x14ac:dyDescent="0.25">
      <c r="A457">
        <v>456</v>
      </c>
      <c r="B457">
        <v>4</v>
      </c>
      <c r="C457">
        <v>456</v>
      </c>
      <c r="D457">
        <v>4</v>
      </c>
      <c r="E457" s="22">
        <v>44133</v>
      </c>
    </row>
    <row r="458" spans="1:5" x14ac:dyDescent="0.25">
      <c r="A458">
        <v>457</v>
      </c>
      <c r="B458">
        <v>34</v>
      </c>
      <c r="C458">
        <v>457</v>
      </c>
      <c r="D458">
        <v>4</v>
      </c>
      <c r="E458" s="22">
        <v>44133</v>
      </c>
    </row>
    <row r="459" spans="1:5" x14ac:dyDescent="0.25">
      <c r="A459">
        <v>458</v>
      </c>
      <c r="B459">
        <v>39</v>
      </c>
      <c r="C459">
        <v>458</v>
      </c>
      <c r="D459">
        <v>4</v>
      </c>
      <c r="E459" s="22">
        <v>44133</v>
      </c>
    </row>
    <row r="460" spans="1:5" x14ac:dyDescent="0.25">
      <c r="A460">
        <v>459</v>
      </c>
      <c r="B460">
        <v>8</v>
      </c>
      <c r="C460">
        <v>459</v>
      </c>
      <c r="D460">
        <v>4</v>
      </c>
      <c r="E460" s="22">
        <v>44133</v>
      </c>
    </row>
    <row r="461" spans="1:5" x14ac:dyDescent="0.25">
      <c r="A461">
        <v>460</v>
      </c>
      <c r="B461">
        <v>39</v>
      </c>
      <c r="C461">
        <v>460</v>
      </c>
      <c r="D461">
        <v>4</v>
      </c>
      <c r="E461" s="22">
        <v>44133</v>
      </c>
    </row>
    <row r="462" spans="1:5" x14ac:dyDescent="0.25">
      <c r="A462">
        <v>461</v>
      </c>
      <c r="B462">
        <v>39</v>
      </c>
      <c r="C462">
        <v>461</v>
      </c>
      <c r="D462">
        <v>4</v>
      </c>
      <c r="E462" s="22">
        <v>44133</v>
      </c>
    </row>
    <row r="463" spans="1:5" x14ac:dyDescent="0.25">
      <c r="A463">
        <v>462</v>
      </c>
      <c r="B463">
        <v>39</v>
      </c>
      <c r="C463">
        <v>462</v>
      </c>
      <c r="D463">
        <v>4</v>
      </c>
      <c r="E463" s="22">
        <v>44133</v>
      </c>
    </row>
    <row r="464" spans="1:5" x14ac:dyDescent="0.25">
      <c r="A464">
        <v>463</v>
      </c>
      <c r="B464">
        <v>34</v>
      </c>
      <c r="C464">
        <v>463</v>
      </c>
      <c r="D464">
        <v>4</v>
      </c>
      <c r="E464" s="22">
        <v>44133</v>
      </c>
    </row>
    <row r="465" spans="1:5" x14ac:dyDescent="0.25">
      <c r="A465">
        <v>464</v>
      </c>
      <c r="B465">
        <v>30</v>
      </c>
      <c r="C465">
        <v>464</v>
      </c>
      <c r="D465">
        <v>4</v>
      </c>
      <c r="E465" s="22">
        <v>44133</v>
      </c>
    </row>
    <row r="466" spans="1:5" x14ac:dyDescent="0.25">
      <c r="A466">
        <v>465</v>
      </c>
      <c r="B466">
        <v>39</v>
      </c>
      <c r="C466">
        <v>465</v>
      </c>
      <c r="D466">
        <v>4</v>
      </c>
      <c r="E466" s="22">
        <v>44133</v>
      </c>
    </row>
    <row r="467" spans="1:5" x14ac:dyDescent="0.25">
      <c r="A467">
        <v>466</v>
      </c>
      <c r="B467">
        <v>39</v>
      </c>
      <c r="C467">
        <v>466</v>
      </c>
      <c r="D467">
        <v>4</v>
      </c>
      <c r="E467" s="22">
        <v>44133</v>
      </c>
    </row>
    <row r="468" spans="1:5" x14ac:dyDescent="0.25">
      <c r="A468">
        <v>467</v>
      </c>
      <c r="B468">
        <v>26</v>
      </c>
      <c r="C468">
        <v>467</v>
      </c>
      <c r="D468">
        <v>4</v>
      </c>
      <c r="E468" s="22">
        <v>44133</v>
      </c>
    </row>
    <row r="469" spans="1:5" x14ac:dyDescent="0.25">
      <c r="A469">
        <v>468</v>
      </c>
      <c r="B469">
        <v>4</v>
      </c>
      <c r="C469">
        <v>468</v>
      </c>
      <c r="D469">
        <v>4</v>
      </c>
      <c r="E469" s="22">
        <v>44133</v>
      </c>
    </row>
    <row r="470" spans="1:5" x14ac:dyDescent="0.25">
      <c r="A470">
        <v>469</v>
      </c>
      <c r="B470">
        <v>39</v>
      </c>
      <c r="C470">
        <v>469</v>
      </c>
      <c r="D470">
        <v>4</v>
      </c>
      <c r="E470" s="22">
        <v>44133</v>
      </c>
    </row>
    <row r="471" spans="1:5" x14ac:dyDescent="0.25">
      <c r="A471">
        <v>470</v>
      </c>
      <c r="B471">
        <v>26</v>
      </c>
      <c r="C471">
        <v>470</v>
      </c>
      <c r="D471">
        <v>4</v>
      </c>
      <c r="E471" s="22">
        <v>44133</v>
      </c>
    </row>
    <row r="472" spans="1:5" x14ac:dyDescent="0.25">
      <c r="A472">
        <v>471</v>
      </c>
      <c r="B472">
        <v>4</v>
      </c>
      <c r="C472">
        <v>471</v>
      </c>
      <c r="D472">
        <v>4</v>
      </c>
      <c r="E472" s="22">
        <v>44133</v>
      </c>
    </row>
    <row r="473" spans="1:5" x14ac:dyDescent="0.25">
      <c r="A473">
        <v>472</v>
      </c>
      <c r="B473">
        <v>34</v>
      </c>
      <c r="C473">
        <v>472</v>
      </c>
      <c r="D473">
        <v>4</v>
      </c>
      <c r="E473" s="22">
        <v>44133</v>
      </c>
    </row>
    <row r="474" spans="1:5" x14ac:dyDescent="0.25">
      <c r="A474">
        <v>473</v>
      </c>
      <c r="B474">
        <v>39</v>
      </c>
      <c r="C474">
        <v>473</v>
      </c>
      <c r="D474">
        <v>4</v>
      </c>
      <c r="E474" s="22">
        <v>44133</v>
      </c>
    </row>
    <row r="475" spans="1:5" x14ac:dyDescent="0.25">
      <c r="A475">
        <v>474</v>
      </c>
      <c r="B475">
        <v>39</v>
      </c>
      <c r="C475">
        <v>474</v>
      </c>
      <c r="D475">
        <v>4</v>
      </c>
      <c r="E475" s="22">
        <v>44133</v>
      </c>
    </row>
    <row r="476" spans="1:5" x14ac:dyDescent="0.25">
      <c r="A476">
        <v>475</v>
      </c>
      <c r="B476">
        <v>4</v>
      </c>
      <c r="C476">
        <v>475</v>
      </c>
      <c r="D476">
        <v>4</v>
      </c>
      <c r="E476" s="22">
        <v>44133</v>
      </c>
    </row>
    <row r="477" spans="1:5" x14ac:dyDescent="0.25">
      <c r="A477">
        <v>476</v>
      </c>
      <c r="B477">
        <v>39</v>
      </c>
      <c r="C477">
        <v>476</v>
      </c>
      <c r="D477">
        <v>4</v>
      </c>
      <c r="E477" s="22">
        <v>44133</v>
      </c>
    </row>
    <row r="478" spans="1:5" x14ac:dyDescent="0.25">
      <c r="A478">
        <v>477</v>
      </c>
      <c r="B478">
        <v>39</v>
      </c>
      <c r="C478">
        <v>477</v>
      </c>
      <c r="D478">
        <v>4</v>
      </c>
      <c r="E478" s="22">
        <v>44133</v>
      </c>
    </row>
    <row r="479" spans="1:5" x14ac:dyDescent="0.25">
      <c r="A479">
        <v>478</v>
      </c>
      <c r="B479">
        <v>39</v>
      </c>
      <c r="C479">
        <v>478</v>
      </c>
      <c r="D479">
        <v>4</v>
      </c>
      <c r="E479" s="22">
        <v>44133</v>
      </c>
    </row>
    <row r="480" spans="1:5" x14ac:dyDescent="0.25">
      <c r="A480">
        <v>479</v>
      </c>
      <c r="B480">
        <v>18</v>
      </c>
      <c r="C480">
        <v>479</v>
      </c>
      <c r="D480">
        <v>4</v>
      </c>
      <c r="E480" s="22">
        <v>44133</v>
      </c>
    </row>
    <row r="481" spans="1:5" x14ac:dyDescent="0.25">
      <c r="A481">
        <v>480</v>
      </c>
      <c r="B481">
        <v>37</v>
      </c>
      <c r="C481">
        <v>480</v>
      </c>
      <c r="D481">
        <v>4</v>
      </c>
      <c r="E481" s="22">
        <v>44133</v>
      </c>
    </row>
    <row r="482" spans="1:5" x14ac:dyDescent="0.25">
      <c r="A482">
        <v>481</v>
      </c>
      <c r="B482">
        <v>34</v>
      </c>
      <c r="C482">
        <v>481</v>
      </c>
      <c r="D482">
        <v>4</v>
      </c>
      <c r="E482" s="22">
        <v>44133</v>
      </c>
    </row>
    <row r="483" spans="1:5" x14ac:dyDescent="0.25">
      <c r="A483">
        <v>482</v>
      </c>
      <c r="B483">
        <v>39</v>
      </c>
      <c r="C483">
        <v>482</v>
      </c>
      <c r="D483">
        <v>4</v>
      </c>
      <c r="E483" s="22">
        <v>44133</v>
      </c>
    </row>
    <row r="484" spans="1:5" x14ac:dyDescent="0.25">
      <c r="A484">
        <v>483</v>
      </c>
      <c r="B484">
        <v>9</v>
      </c>
      <c r="C484">
        <v>483</v>
      </c>
      <c r="D484">
        <v>39</v>
      </c>
      <c r="E484" s="22">
        <v>44133</v>
      </c>
    </row>
    <row r="485" spans="1:5" x14ac:dyDescent="0.25">
      <c r="A485">
        <v>484</v>
      </c>
      <c r="B485">
        <v>9</v>
      </c>
      <c r="C485">
        <v>484</v>
      </c>
      <c r="D485">
        <v>4</v>
      </c>
      <c r="E485" s="22">
        <v>44133</v>
      </c>
    </row>
    <row r="486" spans="1:5" x14ac:dyDescent="0.25">
      <c r="A486">
        <v>485</v>
      </c>
      <c r="B486">
        <v>39</v>
      </c>
      <c r="C486">
        <v>485</v>
      </c>
      <c r="D486">
        <v>4</v>
      </c>
      <c r="E486" s="22">
        <v>44133</v>
      </c>
    </row>
    <row r="487" spans="1:5" x14ac:dyDescent="0.25">
      <c r="A487">
        <v>486</v>
      </c>
      <c r="B487">
        <v>26</v>
      </c>
      <c r="C487">
        <v>486</v>
      </c>
      <c r="D487">
        <v>4</v>
      </c>
      <c r="E487" s="22">
        <v>44133</v>
      </c>
    </row>
    <row r="488" spans="1:5" x14ac:dyDescent="0.25">
      <c r="A488">
        <v>487</v>
      </c>
      <c r="B488">
        <v>8</v>
      </c>
      <c r="C488">
        <v>487</v>
      </c>
      <c r="D488">
        <v>4</v>
      </c>
      <c r="E488" s="22">
        <v>44133</v>
      </c>
    </row>
    <row r="489" spans="1:5" x14ac:dyDescent="0.25">
      <c r="A489">
        <v>488</v>
      </c>
      <c r="B489">
        <v>30</v>
      </c>
      <c r="C489">
        <v>488</v>
      </c>
      <c r="D489">
        <v>4</v>
      </c>
      <c r="E489" s="22">
        <v>44133</v>
      </c>
    </row>
    <row r="490" spans="1:5" x14ac:dyDescent="0.25">
      <c r="A490">
        <v>489</v>
      </c>
      <c r="B490">
        <v>18</v>
      </c>
      <c r="C490">
        <v>489</v>
      </c>
      <c r="D490">
        <v>4</v>
      </c>
      <c r="E490" s="22">
        <v>44133</v>
      </c>
    </row>
    <row r="491" spans="1:5" x14ac:dyDescent="0.25">
      <c r="A491">
        <v>490</v>
      </c>
      <c r="B491">
        <v>25</v>
      </c>
      <c r="C491">
        <v>490</v>
      </c>
      <c r="D491">
        <v>39</v>
      </c>
      <c r="E491" s="22">
        <v>44133</v>
      </c>
    </row>
    <row r="492" spans="1:5" x14ac:dyDescent="0.25">
      <c r="A492">
        <v>491</v>
      </c>
      <c r="B492">
        <v>25</v>
      </c>
      <c r="C492">
        <v>491</v>
      </c>
      <c r="D492">
        <v>39</v>
      </c>
      <c r="E492" s="22">
        <v>44133</v>
      </c>
    </row>
    <row r="493" spans="1:5" x14ac:dyDescent="0.25">
      <c r="A493">
        <v>492</v>
      </c>
      <c r="B493">
        <v>30</v>
      </c>
      <c r="C493">
        <v>492</v>
      </c>
      <c r="D493">
        <v>4</v>
      </c>
      <c r="E493" s="22">
        <v>44133</v>
      </c>
    </row>
    <row r="494" spans="1:5" x14ac:dyDescent="0.25">
      <c r="A494">
        <v>493</v>
      </c>
      <c r="B494">
        <v>2</v>
      </c>
      <c r="C494">
        <v>493</v>
      </c>
      <c r="D494">
        <v>4</v>
      </c>
      <c r="E494" s="22">
        <v>44133</v>
      </c>
    </row>
    <row r="495" spans="1:5" x14ac:dyDescent="0.25">
      <c r="A495">
        <v>494</v>
      </c>
      <c r="B495">
        <v>2</v>
      </c>
      <c r="C495">
        <v>494</v>
      </c>
      <c r="D495">
        <v>4</v>
      </c>
      <c r="E495" s="22">
        <v>44133</v>
      </c>
    </row>
    <row r="496" spans="1:5" x14ac:dyDescent="0.25">
      <c r="A496">
        <v>495</v>
      </c>
      <c r="B496">
        <v>18</v>
      </c>
      <c r="C496">
        <v>495</v>
      </c>
      <c r="D496">
        <v>39</v>
      </c>
      <c r="E496" s="22">
        <v>44133</v>
      </c>
    </row>
    <row r="497" spans="1:5" x14ac:dyDescent="0.25">
      <c r="A497">
        <v>496</v>
      </c>
      <c r="B497">
        <v>29</v>
      </c>
      <c r="C497">
        <v>496</v>
      </c>
      <c r="D497">
        <v>4</v>
      </c>
      <c r="E497" s="22">
        <v>44133</v>
      </c>
    </row>
    <row r="498" spans="1:5" x14ac:dyDescent="0.25">
      <c r="A498">
        <v>497</v>
      </c>
      <c r="B498">
        <v>9</v>
      </c>
      <c r="C498">
        <v>497</v>
      </c>
      <c r="D498">
        <v>4</v>
      </c>
      <c r="E498" s="22">
        <v>44133</v>
      </c>
    </row>
    <row r="499" spans="1:5" x14ac:dyDescent="0.25">
      <c r="A499">
        <v>498</v>
      </c>
      <c r="B499">
        <v>30</v>
      </c>
      <c r="C499">
        <v>498</v>
      </c>
      <c r="D499">
        <v>4</v>
      </c>
      <c r="E499" s="22">
        <v>44133</v>
      </c>
    </row>
    <row r="500" spans="1:5" x14ac:dyDescent="0.25">
      <c r="A500">
        <v>499</v>
      </c>
      <c r="B500">
        <v>39</v>
      </c>
      <c r="C500">
        <v>499</v>
      </c>
      <c r="D500">
        <v>4</v>
      </c>
      <c r="E500" s="22">
        <v>44133</v>
      </c>
    </row>
    <row r="501" spans="1:5" x14ac:dyDescent="0.25">
      <c r="A501">
        <v>500</v>
      </c>
      <c r="B501">
        <v>39</v>
      </c>
      <c r="C501">
        <v>500</v>
      </c>
      <c r="D501">
        <v>4</v>
      </c>
      <c r="E501" s="22">
        <v>44133</v>
      </c>
    </row>
    <row r="502" spans="1:5" x14ac:dyDescent="0.25">
      <c r="A502">
        <v>501</v>
      </c>
      <c r="B502">
        <v>9</v>
      </c>
      <c r="C502">
        <v>501</v>
      </c>
      <c r="D502">
        <v>4</v>
      </c>
      <c r="E502" s="22">
        <v>44133</v>
      </c>
    </row>
    <row r="503" spans="1:5" x14ac:dyDescent="0.25">
      <c r="A503">
        <v>502</v>
      </c>
      <c r="B503">
        <v>15</v>
      </c>
      <c r="C503">
        <v>502</v>
      </c>
      <c r="D503">
        <v>4</v>
      </c>
      <c r="E503" s="22">
        <v>44133</v>
      </c>
    </row>
    <row r="504" spans="1:5" x14ac:dyDescent="0.25">
      <c r="A504">
        <v>503</v>
      </c>
      <c r="B504">
        <v>3</v>
      </c>
      <c r="C504">
        <v>503</v>
      </c>
      <c r="D504">
        <v>4</v>
      </c>
      <c r="E504" s="22">
        <v>44133</v>
      </c>
    </row>
    <row r="505" spans="1:5" x14ac:dyDescent="0.25">
      <c r="A505">
        <v>504</v>
      </c>
      <c r="B505">
        <v>4</v>
      </c>
      <c r="C505">
        <v>504</v>
      </c>
      <c r="D505">
        <v>4</v>
      </c>
      <c r="E505" s="22">
        <v>44133</v>
      </c>
    </row>
    <row r="506" spans="1:5" x14ac:dyDescent="0.25">
      <c r="A506">
        <v>505</v>
      </c>
      <c r="B506">
        <v>8</v>
      </c>
      <c r="C506">
        <v>505</v>
      </c>
      <c r="D506">
        <v>4</v>
      </c>
      <c r="E506" s="22">
        <v>44133</v>
      </c>
    </row>
    <row r="507" spans="1:5" x14ac:dyDescent="0.25">
      <c r="A507">
        <v>506</v>
      </c>
      <c r="B507">
        <v>8</v>
      </c>
      <c r="C507">
        <v>506</v>
      </c>
      <c r="D507">
        <v>4</v>
      </c>
      <c r="E507" s="22">
        <v>44133</v>
      </c>
    </row>
    <row r="508" spans="1:5" x14ac:dyDescent="0.25">
      <c r="A508">
        <v>507</v>
      </c>
      <c r="B508">
        <v>39</v>
      </c>
      <c r="C508">
        <v>507</v>
      </c>
      <c r="D508">
        <v>4</v>
      </c>
      <c r="E508" s="22">
        <v>44133</v>
      </c>
    </row>
    <row r="509" spans="1:5" x14ac:dyDescent="0.25">
      <c r="A509">
        <v>508</v>
      </c>
      <c r="B509">
        <v>39</v>
      </c>
      <c r="C509">
        <v>508</v>
      </c>
      <c r="D509">
        <v>4</v>
      </c>
      <c r="E509" s="22">
        <v>44133</v>
      </c>
    </row>
    <row r="510" spans="1:5" x14ac:dyDescent="0.25">
      <c r="A510">
        <v>509</v>
      </c>
      <c r="B510">
        <v>29</v>
      </c>
      <c r="C510">
        <v>509</v>
      </c>
      <c r="D510">
        <v>4</v>
      </c>
      <c r="E510" s="22">
        <v>44133</v>
      </c>
    </row>
    <row r="511" spans="1:5" x14ac:dyDescent="0.25">
      <c r="A511">
        <v>510</v>
      </c>
      <c r="B511">
        <v>39</v>
      </c>
      <c r="C511">
        <v>510</v>
      </c>
      <c r="D511">
        <v>4</v>
      </c>
      <c r="E511" s="22">
        <v>44133</v>
      </c>
    </row>
    <row r="512" spans="1:5" x14ac:dyDescent="0.25">
      <c r="A512">
        <v>511</v>
      </c>
      <c r="B512">
        <v>23</v>
      </c>
      <c r="C512">
        <v>511</v>
      </c>
      <c r="D512">
        <v>4</v>
      </c>
      <c r="E512" s="22">
        <v>44133</v>
      </c>
    </row>
    <row r="513" spans="1:5" x14ac:dyDescent="0.25">
      <c r="A513">
        <v>512</v>
      </c>
      <c r="B513">
        <v>39</v>
      </c>
      <c r="C513">
        <v>512</v>
      </c>
      <c r="D513">
        <v>4</v>
      </c>
      <c r="E513" s="22">
        <v>44133</v>
      </c>
    </row>
    <row r="514" spans="1:5" x14ac:dyDescent="0.25">
      <c r="A514">
        <v>513</v>
      </c>
      <c r="B514">
        <v>39</v>
      </c>
      <c r="C514">
        <v>513</v>
      </c>
      <c r="D514">
        <v>4</v>
      </c>
      <c r="E514" s="22">
        <v>44133</v>
      </c>
    </row>
    <row r="515" spans="1:5" x14ac:dyDescent="0.25">
      <c r="A515">
        <v>514</v>
      </c>
      <c r="B515">
        <v>30</v>
      </c>
      <c r="C515">
        <v>514</v>
      </c>
      <c r="D515">
        <v>4</v>
      </c>
      <c r="E515" s="22">
        <v>44133</v>
      </c>
    </row>
    <row r="516" spans="1:5" x14ac:dyDescent="0.25">
      <c r="A516">
        <v>515</v>
      </c>
      <c r="B516">
        <v>26</v>
      </c>
      <c r="C516">
        <v>515</v>
      </c>
      <c r="D516">
        <v>4</v>
      </c>
      <c r="E516" s="22">
        <v>44133</v>
      </c>
    </row>
    <row r="517" spans="1:5" x14ac:dyDescent="0.25">
      <c r="A517">
        <v>516</v>
      </c>
      <c r="B517">
        <v>9</v>
      </c>
      <c r="C517">
        <v>516</v>
      </c>
      <c r="D517">
        <v>4</v>
      </c>
      <c r="E517" s="22">
        <v>44133</v>
      </c>
    </row>
    <row r="518" spans="1:5" x14ac:dyDescent="0.25">
      <c r="A518">
        <v>517</v>
      </c>
      <c r="B518">
        <v>15</v>
      </c>
      <c r="C518">
        <v>517</v>
      </c>
      <c r="D518">
        <v>4</v>
      </c>
      <c r="E518" s="22">
        <v>44133</v>
      </c>
    </row>
    <row r="519" spans="1:5" x14ac:dyDescent="0.25">
      <c r="A519">
        <v>518</v>
      </c>
      <c r="B519">
        <v>3</v>
      </c>
      <c r="C519">
        <v>518</v>
      </c>
      <c r="D519">
        <v>4</v>
      </c>
      <c r="E519" s="22">
        <v>44133</v>
      </c>
    </row>
    <row r="520" spans="1:5" x14ac:dyDescent="0.25">
      <c r="A520">
        <v>519</v>
      </c>
      <c r="B520">
        <v>4</v>
      </c>
      <c r="C520">
        <v>519</v>
      </c>
      <c r="D520">
        <v>4</v>
      </c>
      <c r="E520" s="22">
        <v>44133</v>
      </c>
    </row>
    <row r="521" spans="1:5" x14ac:dyDescent="0.25">
      <c r="A521">
        <v>520</v>
      </c>
      <c r="B521">
        <v>18</v>
      </c>
      <c r="C521">
        <v>520</v>
      </c>
      <c r="D521">
        <v>4</v>
      </c>
      <c r="E521" s="22">
        <v>44133</v>
      </c>
    </row>
    <row r="522" spans="1:5" x14ac:dyDescent="0.25">
      <c r="A522">
        <v>521</v>
      </c>
      <c r="B522">
        <v>30</v>
      </c>
      <c r="C522">
        <v>521</v>
      </c>
      <c r="D522">
        <v>4</v>
      </c>
      <c r="E522" s="22">
        <v>44133</v>
      </c>
    </row>
    <row r="523" spans="1:5" x14ac:dyDescent="0.25">
      <c r="A523">
        <v>522</v>
      </c>
      <c r="B523">
        <v>39</v>
      </c>
      <c r="C523">
        <v>522</v>
      </c>
      <c r="D523">
        <v>4</v>
      </c>
      <c r="E523" s="22">
        <v>44133</v>
      </c>
    </row>
    <row r="524" spans="1:5" x14ac:dyDescent="0.25">
      <c r="A524">
        <v>523</v>
      </c>
      <c r="B524">
        <v>8</v>
      </c>
      <c r="C524">
        <v>523</v>
      </c>
      <c r="D524">
        <v>4</v>
      </c>
      <c r="E524" s="22">
        <v>44133</v>
      </c>
    </row>
    <row r="525" spans="1:5" x14ac:dyDescent="0.25">
      <c r="A525">
        <v>524</v>
      </c>
      <c r="B525">
        <v>9</v>
      </c>
      <c r="C525">
        <v>524</v>
      </c>
      <c r="D525">
        <v>4</v>
      </c>
      <c r="E525" s="22">
        <v>44133</v>
      </c>
    </row>
    <row r="526" spans="1:5" x14ac:dyDescent="0.25">
      <c r="A526">
        <v>525</v>
      </c>
      <c r="B526">
        <v>15</v>
      </c>
      <c r="C526">
        <v>525</v>
      </c>
      <c r="D526">
        <v>4</v>
      </c>
      <c r="E526" s="22">
        <v>44133</v>
      </c>
    </row>
    <row r="527" spans="1:5" x14ac:dyDescent="0.25">
      <c r="A527">
        <v>526</v>
      </c>
      <c r="B527">
        <v>39</v>
      </c>
      <c r="C527">
        <v>526</v>
      </c>
      <c r="D527">
        <v>4</v>
      </c>
      <c r="E527" s="22">
        <v>44133</v>
      </c>
    </row>
    <row r="528" spans="1:5" x14ac:dyDescent="0.25">
      <c r="A528">
        <v>527</v>
      </c>
      <c r="B528">
        <v>4</v>
      </c>
      <c r="C528">
        <v>527</v>
      </c>
      <c r="D528">
        <v>4</v>
      </c>
      <c r="E528" s="22">
        <v>44133</v>
      </c>
    </row>
    <row r="529" spans="1:5" x14ac:dyDescent="0.25">
      <c r="A529">
        <v>528</v>
      </c>
      <c r="B529">
        <v>23</v>
      </c>
      <c r="C529">
        <v>528</v>
      </c>
      <c r="D529">
        <v>4</v>
      </c>
      <c r="E529" s="22">
        <v>44133</v>
      </c>
    </row>
    <row r="530" spans="1:5" x14ac:dyDescent="0.25">
      <c r="A530">
        <v>529</v>
      </c>
      <c r="B530">
        <v>39</v>
      </c>
      <c r="C530">
        <v>529</v>
      </c>
      <c r="D530">
        <v>4</v>
      </c>
      <c r="E530" s="22">
        <v>44133</v>
      </c>
    </row>
    <row r="531" spans="1:5" x14ac:dyDescent="0.25">
      <c r="A531">
        <v>530</v>
      </c>
      <c r="B531">
        <v>39</v>
      </c>
      <c r="C531">
        <v>530</v>
      </c>
      <c r="D531">
        <v>4</v>
      </c>
      <c r="E531" s="22">
        <v>44133</v>
      </c>
    </row>
    <row r="532" spans="1:5" x14ac:dyDescent="0.25">
      <c r="A532">
        <v>531</v>
      </c>
      <c r="B532">
        <v>8</v>
      </c>
      <c r="C532">
        <v>531</v>
      </c>
      <c r="D532">
        <v>4</v>
      </c>
      <c r="E532" s="22">
        <v>44133</v>
      </c>
    </row>
    <row r="533" spans="1:5" x14ac:dyDescent="0.25">
      <c r="A533">
        <v>532</v>
      </c>
      <c r="B533">
        <v>29</v>
      </c>
      <c r="C533">
        <v>532</v>
      </c>
      <c r="D533">
        <v>4</v>
      </c>
      <c r="E533" s="22">
        <v>44133</v>
      </c>
    </row>
    <row r="534" spans="1:5" x14ac:dyDescent="0.25">
      <c r="A534">
        <v>533</v>
      </c>
      <c r="B534">
        <v>23</v>
      </c>
      <c r="C534">
        <v>533</v>
      </c>
      <c r="D534">
        <v>4</v>
      </c>
      <c r="E534" s="22">
        <v>44133</v>
      </c>
    </row>
    <row r="535" spans="1:5" x14ac:dyDescent="0.25">
      <c r="A535">
        <v>534</v>
      </c>
      <c r="B535">
        <v>26</v>
      </c>
      <c r="C535">
        <v>534</v>
      </c>
      <c r="D535">
        <v>4</v>
      </c>
      <c r="E535" s="22">
        <v>44133</v>
      </c>
    </row>
    <row r="536" spans="1:5" x14ac:dyDescent="0.25">
      <c r="A536">
        <v>535</v>
      </c>
      <c r="B536">
        <v>39</v>
      </c>
      <c r="C536">
        <v>535</v>
      </c>
      <c r="D536">
        <v>4</v>
      </c>
      <c r="E536" s="22">
        <v>44133</v>
      </c>
    </row>
    <row r="537" spans="1:5" x14ac:dyDescent="0.25">
      <c r="A537">
        <v>536</v>
      </c>
      <c r="B537">
        <v>30</v>
      </c>
      <c r="C537">
        <v>536</v>
      </c>
      <c r="D537">
        <v>4</v>
      </c>
      <c r="E537" s="22">
        <v>44133</v>
      </c>
    </row>
    <row r="538" spans="1:5" x14ac:dyDescent="0.25">
      <c r="A538">
        <v>537</v>
      </c>
      <c r="B538">
        <v>39</v>
      </c>
      <c r="C538">
        <v>537</v>
      </c>
      <c r="D538">
        <v>4</v>
      </c>
      <c r="E538" s="22">
        <v>44133</v>
      </c>
    </row>
    <row r="539" spans="1:5" x14ac:dyDescent="0.25">
      <c r="A539">
        <v>538</v>
      </c>
      <c r="B539">
        <v>39</v>
      </c>
      <c r="C539">
        <v>538</v>
      </c>
      <c r="D539">
        <v>4</v>
      </c>
      <c r="E539" s="22">
        <v>44133</v>
      </c>
    </row>
    <row r="540" spans="1:5" x14ac:dyDescent="0.25">
      <c r="A540">
        <v>539</v>
      </c>
      <c r="B540">
        <v>9</v>
      </c>
      <c r="C540">
        <v>539</v>
      </c>
      <c r="D540">
        <v>4</v>
      </c>
      <c r="E540" s="22">
        <v>44133</v>
      </c>
    </row>
    <row r="541" spans="1:5" x14ac:dyDescent="0.25">
      <c r="A541">
        <v>540</v>
      </c>
      <c r="B541">
        <v>15</v>
      </c>
      <c r="C541">
        <v>540</v>
      </c>
      <c r="D541">
        <v>4</v>
      </c>
      <c r="E541" s="22">
        <v>44133</v>
      </c>
    </row>
    <row r="542" spans="1:5" x14ac:dyDescent="0.25">
      <c r="A542">
        <v>541</v>
      </c>
      <c r="B542">
        <v>3</v>
      </c>
      <c r="C542">
        <v>541</v>
      </c>
      <c r="D542">
        <v>4</v>
      </c>
      <c r="E542" s="22">
        <v>44133</v>
      </c>
    </row>
    <row r="543" spans="1:5" x14ac:dyDescent="0.25">
      <c r="A543">
        <v>542</v>
      </c>
      <c r="B543">
        <v>4</v>
      </c>
      <c r="C543">
        <v>542</v>
      </c>
      <c r="D543">
        <v>4</v>
      </c>
      <c r="E543" s="22">
        <v>44133</v>
      </c>
    </row>
    <row r="544" spans="1:5" x14ac:dyDescent="0.25">
      <c r="A544">
        <v>543</v>
      </c>
      <c r="B544">
        <v>30</v>
      </c>
      <c r="C544">
        <v>543</v>
      </c>
      <c r="D544">
        <v>4</v>
      </c>
      <c r="E544" s="22">
        <v>44133</v>
      </c>
    </row>
    <row r="545" spans="1:5" x14ac:dyDescent="0.25">
      <c r="A545">
        <v>544</v>
      </c>
      <c r="B545">
        <v>30</v>
      </c>
      <c r="C545">
        <v>544</v>
      </c>
      <c r="D545">
        <v>4</v>
      </c>
      <c r="E545" s="22">
        <v>44133</v>
      </c>
    </row>
    <row r="546" spans="1:5" x14ac:dyDescent="0.25">
      <c r="A546">
        <v>545</v>
      </c>
      <c r="B546">
        <v>30</v>
      </c>
      <c r="C546">
        <v>545</v>
      </c>
      <c r="D546">
        <v>4</v>
      </c>
      <c r="E546" s="22">
        <v>44133</v>
      </c>
    </row>
    <row r="547" spans="1:5" x14ac:dyDescent="0.25">
      <c r="A547">
        <v>546</v>
      </c>
      <c r="B547">
        <v>23</v>
      </c>
      <c r="C547">
        <v>546</v>
      </c>
      <c r="D547">
        <v>4</v>
      </c>
      <c r="E547" s="22">
        <v>44133</v>
      </c>
    </row>
    <row r="548" spans="1:5" x14ac:dyDescent="0.25">
      <c r="A548">
        <v>547</v>
      </c>
      <c r="B548">
        <v>29</v>
      </c>
      <c r="C548">
        <v>547</v>
      </c>
      <c r="D548">
        <v>4</v>
      </c>
      <c r="E548" s="22">
        <v>44133</v>
      </c>
    </row>
    <row r="549" spans="1:5" x14ac:dyDescent="0.25">
      <c r="A549">
        <v>548</v>
      </c>
      <c r="B549">
        <v>37</v>
      </c>
      <c r="C549">
        <v>548</v>
      </c>
      <c r="D549">
        <v>4</v>
      </c>
      <c r="E549" s="22">
        <v>44133</v>
      </c>
    </row>
    <row r="550" spans="1:5" x14ac:dyDescent="0.25">
      <c r="A550">
        <v>549</v>
      </c>
      <c r="B550">
        <v>39</v>
      </c>
      <c r="C550">
        <v>549</v>
      </c>
      <c r="D550">
        <v>4</v>
      </c>
      <c r="E550" s="22">
        <v>44133</v>
      </c>
    </row>
    <row r="551" spans="1:5" x14ac:dyDescent="0.25">
      <c r="A551">
        <v>550</v>
      </c>
      <c r="B551">
        <v>39</v>
      </c>
      <c r="C551">
        <v>550</v>
      </c>
      <c r="D551">
        <v>4</v>
      </c>
      <c r="E551" s="22">
        <v>44133</v>
      </c>
    </row>
    <row r="552" spans="1:5" x14ac:dyDescent="0.25">
      <c r="A552">
        <v>551</v>
      </c>
      <c r="B552">
        <v>26</v>
      </c>
      <c r="C552">
        <v>551</v>
      </c>
      <c r="D552">
        <v>4</v>
      </c>
      <c r="E552" s="22">
        <v>44133</v>
      </c>
    </row>
    <row r="553" spans="1:5" x14ac:dyDescent="0.25">
      <c r="A553">
        <v>552</v>
      </c>
      <c r="B553">
        <v>9</v>
      </c>
      <c r="C553">
        <v>552</v>
      </c>
      <c r="D553">
        <v>4</v>
      </c>
      <c r="E553" s="22">
        <v>44133</v>
      </c>
    </row>
    <row r="554" spans="1:5" x14ac:dyDescent="0.25">
      <c r="A554">
        <v>553</v>
      </c>
      <c r="B554">
        <v>39</v>
      </c>
      <c r="C554">
        <v>553</v>
      </c>
      <c r="D554">
        <v>4</v>
      </c>
      <c r="E554" s="22">
        <v>44133</v>
      </c>
    </row>
    <row r="555" spans="1:5" x14ac:dyDescent="0.25">
      <c r="A555">
        <v>554</v>
      </c>
      <c r="B555">
        <v>8</v>
      </c>
      <c r="C555">
        <v>554</v>
      </c>
      <c r="D555">
        <v>39</v>
      </c>
      <c r="E555" s="22">
        <v>44133</v>
      </c>
    </row>
    <row r="556" spans="1:5" x14ac:dyDescent="0.25">
      <c r="A556">
        <v>555</v>
      </c>
      <c r="B556">
        <v>39</v>
      </c>
      <c r="C556">
        <v>555</v>
      </c>
      <c r="D556">
        <v>39</v>
      </c>
      <c r="E556" s="22">
        <v>44133</v>
      </c>
    </row>
    <row r="557" spans="1:5" x14ac:dyDescent="0.25">
      <c r="A557">
        <v>556</v>
      </c>
      <c r="B557">
        <v>39</v>
      </c>
      <c r="C557">
        <v>556</v>
      </c>
      <c r="D557">
        <v>39</v>
      </c>
      <c r="E557" s="22">
        <v>44133</v>
      </c>
    </row>
    <row r="558" spans="1:5" x14ac:dyDescent="0.25">
      <c r="A558">
        <v>557</v>
      </c>
      <c r="B558">
        <v>39</v>
      </c>
      <c r="C558">
        <v>557</v>
      </c>
      <c r="D558">
        <v>39</v>
      </c>
      <c r="E558" s="22">
        <v>44133</v>
      </c>
    </row>
    <row r="559" spans="1:5" x14ac:dyDescent="0.25">
      <c r="A559">
        <v>558</v>
      </c>
      <c r="B559">
        <v>15</v>
      </c>
      <c r="C559">
        <v>558</v>
      </c>
      <c r="D559">
        <v>39</v>
      </c>
      <c r="E559" s="22">
        <v>44133</v>
      </c>
    </row>
    <row r="560" spans="1:5" x14ac:dyDescent="0.25">
      <c r="A560">
        <v>559</v>
      </c>
      <c r="B560">
        <v>37</v>
      </c>
      <c r="C560">
        <v>559</v>
      </c>
      <c r="D560">
        <v>39</v>
      </c>
      <c r="E560" s="22">
        <v>44133</v>
      </c>
    </row>
    <row r="561" spans="1:5" x14ac:dyDescent="0.25">
      <c r="A561">
        <v>560</v>
      </c>
      <c r="B561">
        <v>8</v>
      </c>
      <c r="C561">
        <v>560</v>
      </c>
      <c r="D561">
        <v>39</v>
      </c>
      <c r="E561" s="22">
        <v>44133</v>
      </c>
    </row>
    <row r="562" spans="1:5" x14ac:dyDescent="0.25">
      <c r="A562">
        <v>561</v>
      </c>
      <c r="B562">
        <v>26</v>
      </c>
      <c r="C562">
        <v>561</v>
      </c>
      <c r="D562">
        <v>39</v>
      </c>
      <c r="E562" s="22">
        <v>44133</v>
      </c>
    </row>
    <row r="563" spans="1:5" x14ac:dyDescent="0.25">
      <c r="A563">
        <v>562</v>
      </c>
      <c r="B563">
        <v>39</v>
      </c>
      <c r="C563">
        <v>562</v>
      </c>
      <c r="D563">
        <v>39</v>
      </c>
      <c r="E563" s="22">
        <v>44133</v>
      </c>
    </row>
    <row r="564" spans="1:5" x14ac:dyDescent="0.25">
      <c r="A564">
        <v>563</v>
      </c>
      <c r="B564">
        <v>15</v>
      </c>
      <c r="C564">
        <v>563</v>
      </c>
      <c r="D564">
        <v>39</v>
      </c>
      <c r="E564" s="22">
        <v>44133</v>
      </c>
    </row>
    <row r="565" spans="1:5" x14ac:dyDescent="0.25">
      <c r="A565">
        <v>564</v>
      </c>
      <c r="B565">
        <v>39</v>
      </c>
      <c r="C565">
        <v>564</v>
      </c>
      <c r="D565">
        <v>39</v>
      </c>
      <c r="E565" s="22">
        <v>44133</v>
      </c>
    </row>
    <row r="566" spans="1:5" x14ac:dyDescent="0.25">
      <c r="A566">
        <v>565</v>
      </c>
      <c r="B566">
        <v>23</v>
      </c>
      <c r="C566">
        <v>565</v>
      </c>
      <c r="D566">
        <v>39</v>
      </c>
      <c r="E566" s="22">
        <v>44133</v>
      </c>
    </row>
    <row r="567" spans="1:5" x14ac:dyDescent="0.25">
      <c r="A567">
        <v>566</v>
      </c>
      <c r="B567">
        <v>26</v>
      </c>
      <c r="C567">
        <v>566</v>
      </c>
      <c r="D567">
        <v>39</v>
      </c>
      <c r="E567" s="22">
        <v>44133</v>
      </c>
    </row>
    <row r="568" spans="1:5" x14ac:dyDescent="0.25">
      <c r="A568">
        <v>567</v>
      </c>
      <c r="B568">
        <v>15</v>
      </c>
      <c r="C568">
        <v>567</v>
      </c>
      <c r="D568">
        <v>39</v>
      </c>
      <c r="E568" s="22">
        <v>44133</v>
      </c>
    </row>
    <row r="569" spans="1:5" x14ac:dyDescent="0.25">
      <c r="A569">
        <v>568</v>
      </c>
      <c r="B569">
        <v>9</v>
      </c>
      <c r="C569">
        <v>568</v>
      </c>
      <c r="D569">
        <v>39</v>
      </c>
      <c r="E569" s="22">
        <v>44133</v>
      </c>
    </row>
    <row r="570" spans="1:5" x14ac:dyDescent="0.25">
      <c r="A570">
        <v>569</v>
      </c>
      <c r="B570">
        <v>25</v>
      </c>
      <c r="C570">
        <v>569</v>
      </c>
      <c r="D570">
        <v>39</v>
      </c>
      <c r="E570" s="22">
        <v>44133</v>
      </c>
    </row>
    <row r="571" spans="1:5" x14ac:dyDescent="0.25">
      <c r="A571">
        <v>570</v>
      </c>
      <c r="B571">
        <v>18</v>
      </c>
      <c r="C571">
        <v>570</v>
      </c>
      <c r="D571">
        <v>39</v>
      </c>
      <c r="E571" s="22">
        <v>44133</v>
      </c>
    </row>
    <row r="572" spans="1:5" x14ac:dyDescent="0.25">
      <c r="A572">
        <v>571</v>
      </c>
      <c r="B572">
        <v>4</v>
      </c>
      <c r="C572">
        <v>571</v>
      </c>
      <c r="D572">
        <v>39</v>
      </c>
      <c r="E572" s="22">
        <v>44133</v>
      </c>
    </row>
    <row r="573" spans="1:5" x14ac:dyDescent="0.25">
      <c r="A573">
        <v>572</v>
      </c>
      <c r="B573">
        <v>15</v>
      </c>
      <c r="C573">
        <v>572</v>
      </c>
      <c r="D573">
        <v>39</v>
      </c>
      <c r="E573" s="22">
        <v>44133</v>
      </c>
    </row>
    <row r="574" spans="1:5" x14ac:dyDescent="0.25">
      <c r="A574">
        <v>573</v>
      </c>
      <c r="B574">
        <v>30</v>
      </c>
      <c r="C574">
        <v>573</v>
      </c>
      <c r="D574">
        <v>39</v>
      </c>
      <c r="E574" s="22">
        <v>44133</v>
      </c>
    </row>
    <row r="575" spans="1:5" x14ac:dyDescent="0.25">
      <c r="A575">
        <v>574</v>
      </c>
      <c r="B575">
        <v>37</v>
      </c>
      <c r="C575">
        <v>574</v>
      </c>
      <c r="D575">
        <v>39</v>
      </c>
      <c r="E575" s="22">
        <v>44133</v>
      </c>
    </row>
    <row r="576" spans="1:5" x14ac:dyDescent="0.25">
      <c r="A576">
        <v>575</v>
      </c>
      <c r="B576">
        <v>8</v>
      </c>
      <c r="C576">
        <v>575</v>
      </c>
      <c r="D576">
        <v>39</v>
      </c>
      <c r="E576" s="22">
        <v>44133</v>
      </c>
    </row>
    <row r="577" spans="1:5" x14ac:dyDescent="0.25">
      <c r="A577">
        <v>576</v>
      </c>
      <c r="B577">
        <v>8</v>
      </c>
      <c r="C577">
        <v>576</v>
      </c>
      <c r="D577">
        <v>39</v>
      </c>
      <c r="E577" s="22">
        <v>44133</v>
      </c>
    </row>
    <row r="578" spans="1:5" x14ac:dyDescent="0.25">
      <c r="A578">
        <v>577</v>
      </c>
      <c r="B578">
        <v>8</v>
      </c>
      <c r="C578">
        <v>577</v>
      </c>
      <c r="D578">
        <v>39</v>
      </c>
      <c r="E578" s="22">
        <v>44133</v>
      </c>
    </row>
    <row r="579" spans="1:5" x14ac:dyDescent="0.25">
      <c r="A579">
        <v>578</v>
      </c>
      <c r="B579">
        <v>39</v>
      </c>
      <c r="C579">
        <v>578</v>
      </c>
      <c r="D579">
        <v>39</v>
      </c>
      <c r="E579" s="22">
        <v>44133</v>
      </c>
    </row>
    <row r="580" spans="1:5" x14ac:dyDescent="0.25">
      <c r="A580">
        <v>579</v>
      </c>
      <c r="B580">
        <v>9</v>
      </c>
      <c r="C580">
        <v>579</v>
      </c>
      <c r="D580">
        <v>39</v>
      </c>
      <c r="E580" s="22">
        <v>44133</v>
      </c>
    </row>
    <row r="581" spans="1:5" x14ac:dyDescent="0.25">
      <c r="A581">
        <v>580</v>
      </c>
      <c r="B581">
        <v>9</v>
      </c>
      <c r="C581">
        <v>580</v>
      </c>
      <c r="D581">
        <v>39</v>
      </c>
      <c r="E581" s="22">
        <v>44133</v>
      </c>
    </row>
    <row r="582" spans="1:5" x14ac:dyDescent="0.25">
      <c r="A582">
        <v>581</v>
      </c>
      <c r="B582">
        <v>9</v>
      </c>
      <c r="C582">
        <v>581</v>
      </c>
      <c r="D582">
        <v>39</v>
      </c>
      <c r="E582" s="22">
        <v>44133</v>
      </c>
    </row>
    <row r="583" spans="1:5" x14ac:dyDescent="0.25">
      <c r="A583">
        <v>582</v>
      </c>
      <c r="B583">
        <v>9</v>
      </c>
      <c r="C583">
        <v>582</v>
      </c>
      <c r="D583">
        <v>39</v>
      </c>
      <c r="E583" s="22">
        <v>44133</v>
      </c>
    </row>
    <row r="584" spans="1:5" x14ac:dyDescent="0.25">
      <c r="A584">
        <v>583</v>
      </c>
      <c r="B584">
        <v>9</v>
      </c>
      <c r="C584">
        <v>583</v>
      </c>
      <c r="D584">
        <v>39</v>
      </c>
      <c r="E584" s="22">
        <v>44133</v>
      </c>
    </row>
    <row r="585" spans="1:5" x14ac:dyDescent="0.25">
      <c r="A585">
        <v>584</v>
      </c>
      <c r="B585">
        <v>9</v>
      </c>
      <c r="C585">
        <v>584</v>
      </c>
      <c r="D585">
        <v>39</v>
      </c>
      <c r="E585" s="22">
        <v>44133</v>
      </c>
    </row>
    <row r="586" spans="1:5" x14ac:dyDescent="0.25">
      <c r="A586">
        <v>585</v>
      </c>
      <c r="B586">
        <v>39</v>
      </c>
      <c r="C586">
        <v>585</v>
      </c>
      <c r="D586">
        <v>39</v>
      </c>
      <c r="E586" s="22">
        <v>44133</v>
      </c>
    </row>
    <row r="587" spans="1:5" x14ac:dyDescent="0.25">
      <c r="A587">
        <v>586</v>
      </c>
      <c r="B587">
        <v>9</v>
      </c>
      <c r="C587">
        <v>586</v>
      </c>
      <c r="D587">
        <v>39</v>
      </c>
      <c r="E587" s="22">
        <v>44133</v>
      </c>
    </row>
    <row r="588" spans="1:5" x14ac:dyDescent="0.25">
      <c r="A588">
        <v>587</v>
      </c>
      <c r="B588">
        <v>9</v>
      </c>
      <c r="C588">
        <v>587</v>
      </c>
      <c r="D588">
        <v>39</v>
      </c>
      <c r="E588" s="22">
        <v>44133</v>
      </c>
    </row>
    <row r="589" spans="1:5" x14ac:dyDescent="0.25">
      <c r="A589">
        <v>588</v>
      </c>
      <c r="B589">
        <v>9</v>
      </c>
      <c r="C589">
        <v>588</v>
      </c>
      <c r="D589">
        <v>39</v>
      </c>
      <c r="E589" s="22">
        <v>44133</v>
      </c>
    </row>
    <row r="590" spans="1:5" x14ac:dyDescent="0.25">
      <c r="A590">
        <v>589</v>
      </c>
      <c r="B590">
        <v>4</v>
      </c>
      <c r="C590">
        <v>589</v>
      </c>
      <c r="D590">
        <v>4</v>
      </c>
      <c r="E590" s="22">
        <v>44133</v>
      </c>
    </row>
    <row r="591" spans="1:5" x14ac:dyDescent="0.25">
      <c r="A591">
        <v>590</v>
      </c>
      <c r="B591">
        <v>39</v>
      </c>
      <c r="C591">
        <v>590</v>
      </c>
      <c r="D591">
        <v>4</v>
      </c>
      <c r="E591" s="22">
        <v>44133</v>
      </c>
    </row>
    <row r="592" spans="1:5" x14ac:dyDescent="0.25">
      <c r="A592">
        <v>591</v>
      </c>
      <c r="B592">
        <v>39</v>
      </c>
      <c r="C592">
        <v>591</v>
      </c>
      <c r="D592">
        <v>4</v>
      </c>
      <c r="E592" s="22">
        <v>44133</v>
      </c>
    </row>
    <row r="593" spans="1:5" x14ac:dyDescent="0.25">
      <c r="A593">
        <v>592</v>
      </c>
      <c r="B593">
        <v>9</v>
      </c>
      <c r="C593">
        <v>592</v>
      </c>
      <c r="D593">
        <v>4</v>
      </c>
      <c r="E593" s="22">
        <v>44133</v>
      </c>
    </row>
    <row r="594" spans="1:5" x14ac:dyDescent="0.25">
      <c r="A594">
        <v>593</v>
      </c>
      <c r="B594">
        <v>2</v>
      </c>
      <c r="C594">
        <v>593</v>
      </c>
      <c r="D594">
        <v>4</v>
      </c>
      <c r="E594" s="22">
        <v>44133</v>
      </c>
    </row>
    <row r="595" spans="1:5" x14ac:dyDescent="0.25">
      <c r="A595">
        <v>594</v>
      </c>
      <c r="B595">
        <v>15</v>
      </c>
      <c r="C595">
        <v>594</v>
      </c>
      <c r="D595">
        <v>4</v>
      </c>
      <c r="E595" s="22">
        <v>44133</v>
      </c>
    </row>
    <row r="596" spans="1:5" x14ac:dyDescent="0.25">
      <c r="A596">
        <v>595</v>
      </c>
      <c r="B596">
        <v>9</v>
      </c>
      <c r="C596">
        <v>595</v>
      </c>
      <c r="D596">
        <v>4</v>
      </c>
      <c r="E596" s="22">
        <v>44133</v>
      </c>
    </row>
    <row r="597" spans="1:5" x14ac:dyDescent="0.25">
      <c r="A597">
        <v>596</v>
      </c>
      <c r="B597">
        <v>23</v>
      </c>
      <c r="C597">
        <v>596</v>
      </c>
      <c r="D597">
        <v>4</v>
      </c>
      <c r="E597" s="22">
        <v>44133</v>
      </c>
    </row>
    <row r="598" spans="1:5" x14ac:dyDescent="0.25">
      <c r="A598">
        <v>597</v>
      </c>
      <c r="B598">
        <v>25</v>
      </c>
      <c r="C598">
        <v>597</v>
      </c>
      <c r="D598">
        <v>4</v>
      </c>
      <c r="E598" s="22">
        <v>44133</v>
      </c>
    </row>
    <row r="599" spans="1:5" x14ac:dyDescent="0.25">
      <c r="A599">
        <v>598</v>
      </c>
      <c r="B599">
        <v>39</v>
      </c>
      <c r="C599">
        <v>598</v>
      </c>
      <c r="D599">
        <v>4</v>
      </c>
      <c r="E599" s="22">
        <v>44133</v>
      </c>
    </row>
    <row r="600" spans="1:5" x14ac:dyDescent="0.25">
      <c r="A600">
        <v>599</v>
      </c>
      <c r="B600">
        <v>3</v>
      </c>
      <c r="C600">
        <v>599</v>
      </c>
      <c r="D600">
        <v>4</v>
      </c>
      <c r="E600" s="22">
        <v>44133</v>
      </c>
    </row>
    <row r="601" spans="1:5" x14ac:dyDescent="0.25">
      <c r="A601">
        <v>600</v>
      </c>
      <c r="B601">
        <v>30</v>
      </c>
      <c r="C601">
        <v>600</v>
      </c>
      <c r="D601">
        <v>4</v>
      </c>
      <c r="E601" s="22">
        <v>44133</v>
      </c>
    </row>
    <row r="602" spans="1:5" x14ac:dyDescent="0.25">
      <c r="A602">
        <v>601</v>
      </c>
      <c r="B602">
        <v>34</v>
      </c>
      <c r="C602">
        <v>601</v>
      </c>
      <c r="D602">
        <v>4</v>
      </c>
      <c r="E602" s="22">
        <v>44133</v>
      </c>
    </row>
    <row r="603" spans="1:5" x14ac:dyDescent="0.25">
      <c r="A603">
        <v>602</v>
      </c>
      <c r="B603">
        <v>39</v>
      </c>
      <c r="C603">
        <v>602</v>
      </c>
      <c r="D603">
        <v>4</v>
      </c>
      <c r="E603" s="22">
        <v>44133</v>
      </c>
    </row>
    <row r="604" spans="1:5" x14ac:dyDescent="0.25">
      <c r="A604">
        <v>603</v>
      </c>
      <c r="B604">
        <v>30</v>
      </c>
      <c r="C604">
        <v>603</v>
      </c>
      <c r="D604">
        <v>4</v>
      </c>
      <c r="E604" s="22">
        <v>44133</v>
      </c>
    </row>
    <row r="605" spans="1:5" x14ac:dyDescent="0.25">
      <c r="A605">
        <v>604</v>
      </c>
      <c r="B605">
        <v>4</v>
      </c>
      <c r="C605">
        <v>604</v>
      </c>
      <c r="D605">
        <v>4</v>
      </c>
      <c r="E605" s="22">
        <v>44133</v>
      </c>
    </row>
    <row r="606" spans="1:5" x14ac:dyDescent="0.25">
      <c r="A606">
        <v>605</v>
      </c>
      <c r="B606">
        <v>39</v>
      </c>
      <c r="C606">
        <v>605</v>
      </c>
      <c r="D606">
        <v>4</v>
      </c>
      <c r="E606" s="22">
        <v>44133</v>
      </c>
    </row>
    <row r="607" spans="1:5" x14ac:dyDescent="0.25">
      <c r="A607">
        <v>606</v>
      </c>
      <c r="B607">
        <v>3</v>
      </c>
      <c r="C607">
        <v>606</v>
      </c>
      <c r="D607">
        <v>4</v>
      </c>
      <c r="E607" s="22">
        <v>44133</v>
      </c>
    </row>
    <row r="608" spans="1:5" x14ac:dyDescent="0.25">
      <c r="A608">
        <v>607</v>
      </c>
      <c r="B608">
        <v>34</v>
      </c>
      <c r="C608">
        <v>607</v>
      </c>
      <c r="D608">
        <v>4</v>
      </c>
      <c r="E608" s="22">
        <v>44133</v>
      </c>
    </row>
    <row r="609" spans="1:5" x14ac:dyDescent="0.25">
      <c r="A609">
        <v>608</v>
      </c>
      <c r="B609">
        <v>25</v>
      </c>
      <c r="C609">
        <v>608</v>
      </c>
      <c r="D609">
        <v>4</v>
      </c>
      <c r="E609" s="22">
        <v>44133</v>
      </c>
    </row>
    <row r="610" spans="1:5" x14ac:dyDescent="0.25">
      <c r="A610">
        <v>609</v>
      </c>
      <c r="B610">
        <v>37</v>
      </c>
      <c r="C610">
        <v>609</v>
      </c>
      <c r="D610">
        <v>4</v>
      </c>
      <c r="E610" s="22">
        <v>44133</v>
      </c>
    </row>
    <row r="611" spans="1:5" x14ac:dyDescent="0.25">
      <c r="A611">
        <v>610</v>
      </c>
      <c r="B611">
        <v>25</v>
      </c>
      <c r="C611">
        <v>610</v>
      </c>
      <c r="D611">
        <v>4</v>
      </c>
      <c r="E611" s="22">
        <v>44133</v>
      </c>
    </row>
    <row r="612" spans="1:5" x14ac:dyDescent="0.25">
      <c r="A612">
        <v>611</v>
      </c>
      <c r="B612">
        <v>9</v>
      </c>
      <c r="C612">
        <v>611</v>
      </c>
      <c r="D612">
        <v>4</v>
      </c>
      <c r="E612" s="22">
        <v>44133</v>
      </c>
    </row>
    <row r="613" spans="1:5" x14ac:dyDescent="0.25">
      <c r="A613">
        <v>612</v>
      </c>
      <c r="B613">
        <v>9</v>
      </c>
      <c r="C613">
        <v>612</v>
      </c>
      <c r="D613">
        <v>4</v>
      </c>
      <c r="E613" s="22">
        <v>44133</v>
      </c>
    </row>
    <row r="614" spans="1:5" x14ac:dyDescent="0.25">
      <c r="A614">
        <v>613</v>
      </c>
      <c r="B614">
        <v>9</v>
      </c>
      <c r="C614">
        <v>613</v>
      </c>
      <c r="D614">
        <v>4</v>
      </c>
      <c r="E614" s="22">
        <v>44133</v>
      </c>
    </row>
    <row r="615" spans="1:5" x14ac:dyDescent="0.25">
      <c r="A615">
        <v>614</v>
      </c>
      <c r="B615">
        <v>8</v>
      </c>
      <c r="C615">
        <v>614</v>
      </c>
      <c r="D615">
        <v>4</v>
      </c>
      <c r="E615" s="22">
        <v>44133</v>
      </c>
    </row>
    <row r="616" spans="1:5" x14ac:dyDescent="0.25">
      <c r="A616">
        <v>615</v>
      </c>
      <c r="B616">
        <v>39</v>
      </c>
      <c r="C616">
        <v>615</v>
      </c>
      <c r="D616">
        <v>4</v>
      </c>
      <c r="E616" s="22">
        <v>44133</v>
      </c>
    </row>
    <row r="617" spans="1:5" x14ac:dyDescent="0.25">
      <c r="A617">
        <v>616</v>
      </c>
      <c r="B617">
        <v>23</v>
      </c>
      <c r="C617">
        <v>616</v>
      </c>
      <c r="D617">
        <v>4</v>
      </c>
      <c r="E617" s="22">
        <v>44133</v>
      </c>
    </row>
    <row r="618" spans="1:5" x14ac:dyDescent="0.25">
      <c r="A618">
        <v>617</v>
      </c>
      <c r="B618">
        <v>8</v>
      </c>
      <c r="C618">
        <v>617</v>
      </c>
      <c r="D618">
        <v>4</v>
      </c>
      <c r="E618" s="22">
        <v>44133</v>
      </c>
    </row>
    <row r="619" spans="1:5" x14ac:dyDescent="0.25">
      <c r="A619">
        <v>618</v>
      </c>
      <c r="B619">
        <v>8</v>
      </c>
      <c r="C619">
        <v>618</v>
      </c>
      <c r="D619">
        <v>4</v>
      </c>
      <c r="E619" s="22">
        <v>44133</v>
      </c>
    </row>
    <row r="620" spans="1:5" x14ac:dyDescent="0.25">
      <c r="A620">
        <v>619</v>
      </c>
      <c r="B620">
        <v>34</v>
      </c>
      <c r="C620">
        <v>619</v>
      </c>
      <c r="D620">
        <v>4</v>
      </c>
      <c r="E620" s="22">
        <v>44133</v>
      </c>
    </row>
    <row r="621" spans="1:5" x14ac:dyDescent="0.25">
      <c r="A621">
        <v>620</v>
      </c>
      <c r="B621">
        <v>2</v>
      </c>
      <c r="C621">
        <v>620</v>
      </c>
      <c r="D621">
        <v>4</v>
      </c>
      <c r="E621" s="22">
        <v>44133</v>
      </c>
    </row>
    <row r="622" spans="1:5" x14ac:dyDescent="0.25">
      <c r="A622">
        <v>621</v>
      </c>
      <c r="B622">
        <v>4</v>
      </c>
      <c r="C622">
        <v>621</v>
      </c>
      <c r="D622">
        <v>4</v>
      </c>
      <c r="E622" s="22">
        <v>44133</v>
      </c>
    </row>
    <row r="623" spans="1:5" x14ac:dyDescent="0.25">
      <c r="A623">
        <v>622</v>
      </c>
      <c r="B623">
        <v>4</v>
      </c>
      <c r="C623">
        <v>622</v>
      </c>
      <c r="D623">
        <v>4</v>
      </c>
      <c r="E623" s="22">
        <v>44133</v>
      </c>
    </row>
    <row r="624" spans="1:5" x14ac:dyDescent="0.25">
      <c r="A624">
        <v>623</v>
      </c>
      <c r="B624">
        <v>39</v>
      </c>
      <c r="C624">
        <v>623</v>
      </c>
      <c r="D624">
        <v>4</v>
      </c>
      <c r="E624" s="22">
        <v>44133</v>
      </c>
    </row>
    <row r="625" spans="1:5" x14ac:dyDescent="0.25">
      <c r="A625">
        <v>624</v>
      </c>
      <c r="B625">
        <v>39</v>
      </c>
      <c r="C625">
        <v>624</v>
      </c>
      <c r="D625">
        <v>4</v>
      </c>
      <c r="E625" s="22">
        <v>44133</v>
      </c>
    </row>
    <row r="626" spans="1:5" x14ac:dyDescent="0.25">
      <c r="A626">
        <v>625</v>
      </c>
      <c r="B626">
        <v>39</v>
      </c>
      <c r="C626">
        <v>625</v>
      </c>
      <c r="D626">
        <v>4</v>
      </c>
      <c r="E626" s="22">
        <v>44133</v>
      </c>
    </row>
    <row r="627" spans="1:5" x14ac:dyDescent="0.25">
      <c r="A627">
        <v>626</v>
      </c>
      <c r="B627">
        <v>4</v>
      </c>
      <c r="C627">
        <v>626</v>
      </c>
      <c r="D627">
        <v>4</v>
      </c>
      <c r="E627" s="22">
        <v>44133</v>
      </c>
    </row>
    <row r="628" spans="1:5" x14ac:dyDescent="0.25">
      <c r="A628">
        <v>627</v>
      </c>
      <c r="B628">
        <v>4</v>
      </c>
      <c r="C628">
        <v>627</v>
      </c>
      <c r="D628">
        <v>4</v>
      </c>
      <c r="E628" s="22">
        <v>44133</v>
      </c>
    </row>
    <row r="629" spans="1:5" x14ac:dyDescent="0.25">
      <c r="A629">
        <v>628</v>
      </c>
      <c r="B629">
        <v>4</v>
      </c>
      <c r="C629">
        <v>628</v>
      </c>
      <c r="D629">
        <v>39</v>
      </c>
      <c r="E629" s="22">
        <v>44133</v>
      </c>
    </row>
    <row r="630" spans="1:5" x14ac:dyDescent="0.25">
      <c r="A630">
        <v>629</v>
      </c>
      <c r="B630">
        <v>37</v>
      </c>
      <c r="C630">
        <v>629</v>
      </c>
      <c r="D630">
        <v>4</v>
      </c>
      <c r="E630" s="22">
        <v>44133</v>
      </c>
    </row>
    <row r="631" spans="1:5" x14ac:dyDescent="0.25">
      <c r="A631">
        <v>630</v>
      </c>
      <c r="B631">
        <v>4</v>
      </c>
      <c r="C631">
        <v>630</v>
      </c>
      <c r="D631">
        <v>4</v>
      </c>
      <c r="E631" s="22">
        <v>44133</v>
      </c>
    </row>
    <row r="632" spans="1:5" x14ac:dyDescent="0.25">
      <c r="A632">
        <v>631</v>
      </c>
      <c r="B632">
        <v>4</v>
      </c>
      <c r="C632">
        <v>631</v>
      </c>
      <c r="D632">
        <v>4</v>
      </c>
      <c r="E632" s="22">
        <v>44133</v>
      </c>
    </row>
    <row r="633" spans="1:5" x14ac:dyDescent="0.25">
      <c r="A633">
        <v>632</v>
      </c>
      <c r="B633">
        <v>4</v>
      </c>
      <c r="C633">
        <v>632</v>
      </c>
      <c r="D633">
        <v>4</v>
      </c>
      <c r="E633" s="22">
        <v>44133</v>
      </c>
    </row>
    <row r="634" spans="1:5" x14ac:dyDescent="0.25">
      <c r="A634">
        <v>633</v>
      </c>
      <c r="B634">
        <v>4</v>
      </c>
      <c r="C634">
        <v>633</v>
      </c>
      <c r="D634">
        <v>4</v>
      </c>
      <c r="E634" s="22">
        <v>44133</v>
      </c>
    </row>
    <row r="635" spans="1:5" x14ac:dyDescent="0.25">
      <c r="A635">
        <v>634</v>
      </c>
      <c r="B635">
        <v>4</v>
      </c>
      <c r="C635">
        <v>634</v>
      </c>
      <c r="D635">
        <v>4</v>
      </c>
      <c r="E635" s="22">
        <v>44133</v>
      </c>
    </row>
    <row r="636" spans="1:5" x14ac:dyDescent="0.25">
      <c r="A636">
        <v>635</v>
      </c>
      <c r="B636">
        <v>4</v>
      </c>
      <c r="C636">
        <v>635</v>
      </c>
      <c r="D636">
        <v>4</v>
      </c>
      <c r="E636" s="22">
        <v>44133</v>
      </c>
    </row>
    <row r="637" spans="1:5" x14ac:dyDescent="0.25">
      <c r="A637">
        <v>636</v>
      </c>
      <c r="B637">
        <v>4</v>
      </c>
      <c r="C637">
        <v>636</v>
      </c>
      <c r="D637">
        <v>4</v>
      </c>
      <c r="E637" s="22">
        <v>44133</v>
      </c>
    </row>
    <row r="638" spans="1:5" x14ac:dyDescent="0.25">
      <c r="A638">
        <v>637</v>
      </c>
      <c r="B638">
        <v>23</v>
      </c>
      <c r="C638">
        <v>637</v>
      </c>
      <c r="D638">
        <v>39</v>
      </c>
      <c r="E638" s="22">
        <v>44133</v>
      </c>
    </row>
    <row r="639" spans="1:5" x14ac:dyDescent="0.25">
      <c r="A639">
        <v>638</v>
      </c>
      <c r="B639">
        <v>23</v>
      </c>
      <c r="C639">
        <v>638</v>
      </c>
      <c r="D639">
        <v>39</v>
      </c>
      <c r="E639" s="22">
        <v>44133</v>
      </c>
    </row>
    <row r="640" spans="1:5" x14ac:dyDescent="0.25">
      <c r="A640">
        <v>639</v>
      </c>
      <c r="B640">
        <v>23</v>
      </c>
      <c r="C640">
        <v>639</v>
      </c>
      <c r="D640">
        <v>39</v>
      </c>
      <c r="E640" s="22">
        <v>44133</v>
      </c>
    </row>
    <row r="641" spans="1:5" x14ac:dyDescent="0.25">
      <c r="A641">
        <v>640</v>
      </c>
      <c r="B641">
        <v>23</v>
      </c>
      <c r="C641">
        <v>640</v>
      </c>
      <c r="D641">
        <v>39</v>
      </c>
      <c r="E641" s="22">
        <v>44133</v>
      </c>
    </row>
    <row r="642" spans="1:5" x14ac:dyDescent="0.25">
      <c r="A642">
        <v>641</v>
      </c>
      <c r="B642">
        <v>23</v>
      </c>
      <c r="C642">
        <v>641</v>
      </c>
      <c r="D642">
        <v>39</v>
      </c>
      <c r="E642" s="22">
        <v>44133</v>
      </c>
    </row>
    <row r="643" spans="1:5" x14ac:dyDescent="0.25">
      <c r="A643">
        <v>642</v>
      </c>
      <c r="B643">
        <v>23</v>
      </c>
      <c r="C643">
        <v>642</v>
      </c>
      <c r="D643">
        <v>39</v>
      </c>
      <c r="E643" s="22">
        <v>44133</v>
      </c>
    </row>
    <row r="644" spans="1:5" x14ac:dyDescent="0.25">
      <c r="A644">
        <v>643</v>
      </c>
      <c r="B644">
        <v>23</v>
      </c>
      <c r="C644">
        <v>643</v>
      </c>
      <c r="D644">
        <v>39</v>
      </c>
      <c r="E644" s="22">
        <v>44133</v>
      </c>
    </row>
    <row r="645" spans="1:5" x14ac:dyDescent="0.25">
      <c r="A645">
        <v>644</v>
      </c>
      <c r="B645">
        <v>23</v>
      </c>
      <c r="C645">
        <v>644</v>
      </c>
      <c r="D645">
        <v>39</v>
      </c>
      <c r="E645" s="22">
        <v>44133</v>
      </c>
    </row>
    <row r="646" spans="1:5" x14ac:dyDescent="0.25">
      <c r="A646">
        <v>645</v>
      </c>
      <c r="B646">
        <v>23</v>
      </c>
      <c r="C646">
        <v>645</v>
      </c>
      <c r="D646">
        <v>39</v>
      </c>
      <c r="E646" s="22">
        <v>44133</v>
      </c>
    </row>
    <row r="647" spans="1:5" x14ac:dyDescent="0.25">
      <c r="A647">
        <v>646</v>
      </c>
      <c r="B647">
        <v>9</v>
      </c>
      <c r="C647">
        <v>646</v>
      </c>
      <c r="D647">
        <v>39</v>
      </c>
      <c r="E647" s="22">
        <v>44133</v>
      </c>
    </row>
    <row r="648" spans="1:5" x14ac:dyDescent="0.25">
      <c r="A648">
        <v>647</v>
      </c>
      <c r="B648">
        <v>4</v>
      </c>
      <c r="C648">
        <v>647</v>
      </c>
      <c r="D648">
        <v>4</v>
      </c>
      <c r="E648" s="22">
        <v>44133</v>
      </c>
    </row>
    <row r="649" spans="1:5" x14ac:dyDescent="0.25">
      <c r="A649">
        <v>648</v>
      </c>
      <c r="B649">
        <v>15</v>
      </c>
      <c r="C649">
        <v>648</v>
      </c>
      <c r="D649">
        <v>4</v>
      </c>
      <c r="E649" s="22">
        <v>44133</v>
      </c>
    </row>
    <row r="650" spans="1:5" x14ac:dyDescent="0.25">
      <c r="A650">
        <v>649</v>
      </c>
      <c r="B650">
        <v>2</v>
      </c>
      <c r="C650">
        <v>649</v>
      </c>
      <c r="D650">
        <v>4</v>
      </c>
      <c r="E650" s="22">
        <v>44133</v>
      </c>
    </row>
    <row r="651" spans="1:5" x14ac:dyDescent="0.25">
      <c r="A651">
        <v>650</v>
      </c>
      <c r="B651">
        <v>2</v>
      </c>
      <c r="C651">
        <v>650</v>
      </c>
      <c r="D651">
        <v>4</v>
      </c>
      <c r="E651" s="22">
        <v>44133</v>
      </c>
    </row>
    <row r="652" spans="1:5" x14ac:dyDescent="0.25">
      <c r="A652">
        <v>651</v>
      </c>
      <c r="B652">
        <v>39</v>
      </c>
      <c r="C652">
        <v>651</v>
      </c>
      <c r="D652">
        <v>4</v>
      </c>
      <c r="E652" s="22">
        <v>44133</v>
      </c>
    </row>
    <row r="653" spans="1:5" x14ac:dyDescent="0.25">
      <c r="A653">
        <v>652</v>
      </c>
      <c r="B653">
        <v>23</v>
      </c>
      <c r="C653">
        <v>652</v>
      </c>
      <c r="D653">
        <v>4</v>
      </c>
      <c r="E653" s="22">
        <v>44133</v>
      </c>
    </row>
    <row r="654" spans="1:5" x14ac:dyDescent="0.25">
      <c r="A654">
        <v>653</v>
      </c>
      <c r="B654">
        <v>39</v>
      </c>
      <c r="C654">
        <v>653</v>
      </c>
      <c r="D654">
        <v>4</v>
      </c>
      <c r="E654" s="22">
        <v>44133</v>
      </c>
    </row>
    <row r="655" spans="1:5" x14ac:dyDescent="0.25">
      <c r="A655">
        <v>654</v>
      </c>
      <c r="B655">
        <v>23</v>
      </c>
      <c r="C655">
        <v>654</v>
      </c>
      <c r="D655">
        <v>4</v>
      </c>
      <c r="E655" s="22">
        <v>44133</v>
      </c>
    </row>
    <row r="656" spans="1:5" x14ac:dyDescent="0.25">
      <c r="A656">
        <v>655</v>
      </c>
      <c r="B656">
        <v>39</v>
      </c>
      <c r="C656">
        <v>655</v>
      </c>
      <c r="D656">
        <v>4</v>
      </c>
      <c r="E656" s="22">
        <v>44133</v>
      </c>
    </row>
    <row r="657" spans="1:5" x14ac:dyDescent="0.25">
      <c r="A657">
        <v>656</v>
      </c>
      <c r="B657">
        <v>30</v>
      </c>
      <c r="C657">
        <v>656</v>
      </c>
      <c r="D657">
        <v>4</v>
      </c>
      <c r="E657" s="22">
        <v>44133</v>
      </c>
    </row>
    <row r="658" spans="1:5" x14ac:dyDescent="0.25">
      <c r="A658">
        <v>657</v>
      </c>
      <c r="B658">
        <v>39</v>
      </c>
      <c r="C658">
        <v>657</v>
      </c>
      <c r="D658">
        <v>4</v>
      </c>
      <c r="E658" s="22">
        <v>44133</v>
      </c>
    </row>
    <row r="659" spans="1:5" x14ac:dyDescent="0.25">
      <c r="A659">
        <v>658</v>
      </c>
      <c r="B659">
        <v>4</v>
      </c>
      <c r="C659">
        <v>658</v>
      </c>
      <c r="D659">
        <v>39</v>
      </c>
      <c r="E659" s="22">
        <v>44133</v>
      </c>
    </row>
    <row r="660" spans="1:5" x14ac:dyDescent="0.25">
      <c r="A660">
        <v>659</v>
      </c>
      <c r="B660">
        <v>39</v>
      </c>
      <c r="C660">
        <v>659</v>
      </c>
      <c r="D660">
        <v>4</v>
      </c>
      <c r="E660" s="22">
        <v>44133</v>
      </c>
    </row>
    <row r="661" spans="1:5" x14ac:dyDescent="0.25">
      <c r="A661">
        <v>660</v>
      </c>
      <c r="B661">
        <v>39</v>
      </c>
      <c r="C661">
        <v>660</v>
      </c>
      <c r="D661">
        <v>4</v>
      </c>
      <c r="E661" s="22">
        <v>44133</v>
      </c>
    </row>
    <row r="662" spans="1:5" x14ac:dyDescent="0.25">
      <c r="A662">
        <v>661</v>
      </c>
      <c r="B662">
        <v>4</v>
      </c>
      <c r="C662">
        <v>661</v>
      </c>
      <c r="D662">
        <v>4</v>
      </c>
      <c r="E662" s="22">
        <v>44133</v>
      </c>
    </row>
    <row r="663" spans="1:5" x14ac:dyDescent="0.25">
      <c r="A663">
        <v>662</v>
      </c>
      <c r="B663">
        <v>15</v>
      </c>
      <c r="C663">
        <v>662</v>
      </c>
      <c r="D663">
        <v>4</v>
      </c>
      <c r="E663" s="22">
        <v>44133</v>
      </c>
    </row>
    <row r="664" spans="1:5" x14ac:dyDescent="0.25">
      <c r="A664">
        <v>663</v>
      </c>
      <c r="B664">
        <v>23</v>
      </c>
      <c r="C664">
        <v>663</v>
      </c>
      <c r="D664">
        <v>4</v>
      </c>
      <c r="E664" s="22">
        <v>44133</v>
      </c>
    </row>
    <row r="665" spans="1:5" x14ac:dyDescent="0.25">
      <c r="A665">
        <v>664</v>
      </c>
      <c r="B665">
        <v>2</v>
      </c>
      <c r="C665">
        <v>664</v>
      </c>
      <c r="D665">
        <v>4</v>
      </c>
      <c r="E665" s="22">
        <v>44133</v>
      </c>
    </row>
    <row r="666" spans="1:5" x14ac:dyDescent="0.25">
      <c r="A666">
        <v>665</v>
      </c>
      <c r="B666">
        <v>26</v>
      </c>
      <c r="C666">
        <v>665</v>
      </c>
      <c r="D666">
        <v>4</v>
      </c>
      <c r="E666" s="22">
        <v>44133</v>
      </c>
    </row>
    <row r="667" spans="1:5" x14ac:dyDescent="0.25">
      <c r="A667">
        <v>666</v>
      </c>
      <c r="B667">
        <v>39</v>
      </c>
      <c r="C667">
        <v>666</v>
      </c>
      <c r="D667">
        <v>4</v>
      </c>
      <c r="E667" s="22">
        <v>44133</v>
      </c>
    </row>
    <row r="668" spans="1:5" x14ac:dyDescent="0.25">
      <c r="A668">
        <v>667</v>
      </c>
      <c r="B668">
        <v>39</v>
      </c>
      <c r="C668">
        <v>667</v>
      </c>
      <c r="D668">
        <v>4</v>
      </c>
      <c r="E668" s="22">
        <v>44133</v>
      </c>
    </row>
    <row r="669" spans="1:5" x14ac:dyDescent="0.25">
      <c r="A669">
        <v>668</v>
      </c>
      <c r="B669">
        <v>30</v>
      </c>
      <c r="C669">
        <v>668</v>
      </c>
      <c r="D669">
        <v>4</v>
      </c>
      <c r="E669" s="22">
        <v>44133</v>
      </c>
    </row>
    <row r="670" spans="1:5" x14ac:dyDescent="0.25">
      <c r="A670">
        <v>669</v>
      </c>
      <c r="B670">
        <v>39</v>
      </c>
      <c r="C670">
        <v>669</v>
      </c>
      <c r="D670">
        <v>4</v>
      </c>
      <c r="E670" s="22">
        <v>44133</v>
      </c>
    </row>
    <row r="671" spans="1:5" x14ac:dyDescent="0.25">
      <c r="A671">
        <v>670</v>
      </c>
      <c r="B671">
        <v>2</v>
      </c>
      <c r="C671">
        <v>670</v>
      </c>
      <c r="D671">
        <v>4</v>
      </c>
      <c r="E671" s="22">
        <v>44133</v>
      </c>
    </row>
    <row r="672" spans="1:5" x14ac:dyDescent="0.25">
      <c r="A672">
        <v>671</v>
      </c>
      <c r="B672">
        <v>4</v>
      </c>
      <c r="C672">
        <v>671</v>
      </c>
      <c r="D672">
        <v>4</v>
      </c>
      <c r="E672" s="22">
        <v>44133</v>
      </c>
    </row>
    <row r="673" spans="1:5" x14ac:dyDescent="0.25">
      <c r="A673">
        <v>672</v>
      </c>
      <c r="B673">
        <v>4</v>
      </c>
      <c r="C673">
        <v>672</v>
      </c>
      <c r="D673">
        <v>4</v>
      </c>
      <c r="E673" s="22">
        <v>44133</v>
      </c>
    </row>
    <row r="674" spans="1:5" x14ac:dyDescent="0.25">
      <c r="A674">
        <v>673</v>
      </c>
      <c r="B674">
        <v>4</v>
      </c>
      <c r="C674">
        <v>673</v>
      </c>
      <c r="D674">
        <v>4</v>
      </c>
      <c r="E674" s="22">
        <v>44133</v>
      </c>
    </row>
    <row r="675" spans="1:5" x14ac:dyDescent="0.25">
      <c r="A675">
        <v>674</v>
      </c>
      <c r="B675">
        <v>4</v>
      </c>
      <c r="C675">
        <v>674</v>
      </c>
      <c r="D675">
        <v>4</v>
      </c>
      <c r="E675" s="22">
        <v>44133</v>
      </c>
    </row>
    <row r="676" spans="1:5" x14ac:dyDescent="0.25">
      <c r="A676">
        <v>675</v>
      </c>
      <c r="B676">
        <v>4</v>
      </c>
      <c r="C676">
        <v>675</v>
      </c>
      <c r="D676">
        <v>4</v>
      </c>
      <c r="E676" s="22">
        <v>44133</v>
      </c>
    </row>
    <row r="677" spans="1:5" x14ac:dyDescent="0.25">
      <c r="A677">
        <v>676</v>
      </c>
      <c r="B677">
        <v>23</v>
      </c>
      <c r="C677">
        <v>676</v>
      </c>
      <c r="D677">
        <v>4</v>
      </c>
      <c r="E677" s="22">
        <v>44133</v>
      </c>
    </row>
    <row r="678" spans="1:5" x14ac:dyDescent="0.25">
      <c r="A678">
        <v>677</v>
      </c>
      <c r="B678">
        <v>39</v>
      </c>
      <c r="C678">
        <v>677</v>
      </c>
      <c r="D678">
        <v>4</v>
      </c>
      <c r="E678" s="22">
        <v>44133</v>
      </c>
    </row>
    <row r="679" spans="1:5" x14ac:dyDescent="0.25">
      <c r="A679">
        <v>678</v>
      </c>
      <c r="B679">
        <v>4</v>
      </c>
      <c r="C679">
        <v>678</v>
      </c>
      <c r="D679">
        <v>4</v>
      </c>
      <c r="E679" s="22">
        <v>44133</v>
      </c>
    </row>
    <row r="680" spans="1:5" x14ac:dyDescent="0.25">
      <c r="A680">
        <v>679</v>
      </c>
      <c r="B680">
        <v>30</v>
      </c>
      <c r="C680">
        <v>679</v>
      </c>
      <c r="D680">
        <v>4</v>
      </c>
      <c r="E680" s="22">
        <v>44133</v>
      </c>
    </row>
    <row r="681" spans="1:5" x14ac:dyDescent="0.25">
      <c r="A681">
        <v>680</v>
      </c>
      <c r="B681">
        <v>39</v>
      </c>
      <c r="C681">
        <v>680</v>
      </c>
      <c r="D681">
        <v>4</v>
      </c>
      <c r="E681" s="22">
        <v>44133</v>
      </c>
    </row>
    <row r="682" spans="1:5" x14ac:dyDescent="0.25">
      <c r="A682">
        <v>681</v>
      </c>
      <c r="B682">
        <v>15</v>
      </c>
      <c r="C682">
        <v>681</v>
      </c>
      <c r="D682">
        <v>4</v>
      </c>
      <c r="E682" s="22">
        <v>44133</v>
      </c>
    </row>
    <row r="683" spans="1:5" x14ac:dyDescent="0.25">
      <c r="A683">
        <v>682</v>
      </c>
      <c r="B683">
        <v>39</v>
      </c>
      <c r="C683">
        <v>682</v>
      </c>
      <c r="D683">
        <v>4</v>
      </c>
      <c r="E683" s="22">
        <v>44133</v>
      </c>
    </row>
    <row r="684" spans="1:5" x14ac:dyDescent="0.25">
      <c r="A684">
        <v>683</v>
      </c>
      <c r="B684">
        <v>39</v>
      </c>
      <c r="C684">
        <v>683</v>
      </c>
      <c r="D684">
        <v>4</v>
      </c>
      <c r="E684" s="22">
        <v>44133</v>
      </c>
    </row>
    <row r="685" spans="1:5" x14ac:dyDescent="0.25">
      <c r="A685">
        <v>684</v>
      </c>
      <c r="B685">
        <v>4</v>
      </c>
      <c r="C685">
        <v>684</v>
      </c>
      <c r="D685">
        <v>4</v>
      </c>
      <c r="E685" s="22">
        <v>44133</v>
      </c>
    </row>
    <row r="686" spans="1:5" x14ac:dyDescent="0.25">
      <c r="A686">
        <v>685</v>
      </c>
      <c r="B686">
        <v>18</v>
      </c>
      <c r="C686">
        <v>685</v>
      </c>
      <c r="D686">
        <v>4</v>
      </c>
      <c r="E686" s="22">
        <v>44133</v>
      </c>
    </row>
    <row r="687" spans="1:5" x14ac:dyDescent="0.25">
      <c r="A687">
        <v>686</v>
      </c>
      <c r="B687">
        <v>23</v>
      </c>
      <c r="C687">
        <v>686</v>
      </c>
      <c r="D687">
        <v>4</v>
      </c>
      <c r="E687" s="22">
        <v>44133</v>
      </c>
    </row>
    <row r="688" spans="1:5" x14ac:dyDescent="0.25">
      <c r="A688">
        <v>687</v>
      </c>
      <c r="B688">
        <v>39</v>
      </c>
      <c r="C688">
        <v>687</v>
      </c>
      <c r="D688">
        <v>4</v>
      </c>
      <c r="E688" s="22">
        <v>44133</v>
      </c>
    </row>
    <row r="689" spans="1:5" x14ac:dyDescent="0.25">
      <c r="A689">
        <v>688</v>
      </c>
      <c r="B689">
        <v>2</v>
      </c>
      <c r="C689">
        <v>688</v>
      </c>
      <c r="D689">
        <v>4</v>
      </c>
      <c r="E689" s="22">
        <v>44133</v>
      </c>
    </row>
    <row r="690" spans="1:5" x14ac:dyDescent="0.25">
      <c r="A690">
        <v>689</v>
      </c>
      <c r="B690">
        <v>30</v>
      </c>
      <c r="C690">
        <v>689</v>
      </c>
      <c r="D690">
        <v>4</v>
      </c>
      <c r="E690" s="22">
        <v>44133</v>
      </c>
    </row>
    <row r="691" spans="1:5" x14ac:dyDescent="0.25">
      <c r="A691">
        <v>690</v>
      </c>
      <c r="B691">
        <v>30</v>
      </c>
      <c r="C691">
        <v>690</v>
      </c>
      <c r="D691">
        <v>4</v>
      </c>
      <c r="E691" s="22">
        <v>44133</v>
      </c>
    </row>
    <row r="692" spans="1:5" x14ac:dyDescent="0.25">
      <c r="A692">
        <v>691</v>
      </c>
      <c r="B692">
        <v>39</v>
      </c>
      <c r="C692">
        <v>691</v>
      </c>
      <c r="D692">
        <v>4</v>
      </c>
      <c r="E692" s="22">
        <v>44133</v>
      </c>
    </row>
    <row r="693" spans="1:5" x14ac:dyDescent="0.25">
      <c r="A693">
        <v>692</v>
      </c>
      <c r="B693">
        <v>15</v>
      </c>
      <c r="C693">
        <v>692</v>
      </c>
      <c r="D693">
        <v>4</v>
      </c>
      <c r="E693" s="22">
        <v>44133</v>
      </c>
    </row>
    <row r="694" spans="1:5" x14ac:dyDescent="0.25">
      <c r="A694">
        <v>693</v>
      </c>
      <c r="B694">
        <v>39</v>
      </c>
      <c r="C694">
        <v>693</v>
      </c>
      <c r="D694">
        <v>4</v>
      </c>
      <c r="E694" s="22">
        <v>44133</v>
      </c>
    </row>
    <row r="695" spans="1:5" x14ac:dyDescent="0.25">
      <c r="A695">
        <v>694</v>
      </c>
      <c r="B695">
        <v>2</v>
      </c>
      <c r="C695">
        <v>694</v>
      </c>
      <c r="D695">
        <v>4</v>
      </c>
      <c r="E695" s="22">
        <v>44133</v>
      </c>
    </row>
    <row r="696" spans="1:5" x14ac:dyDescent="0.25">
      <c r="A696">
        <v>695</v>
      </c>
      <c r="B696">
        <v>39</v>
      </c>
      <c r="C696">
        <v>695</v>
      </c>
      <c r="D696">
        <v>4</v>
      </c>
      <c r="E696" s="22">
        <v>44133</v>
      </c>
    </row>
    <row r="697" spans="1:5" x14ac:dyDescent="0.25">
      <c r="A697">
        <v>696</v>
      </c>
      <c r="B697">
        <v>39</v>
      </c>
      <c r="C697">
        <v>696</v>
      </c>
      <c r="D697">
        <v>4</v>
      </c>
      <c r="E697" s="22">
        <v>44133</v>
      </c>
    </row>
    <row r="698" spans="1:5" x14ac:dyDescent="0.25">
      <c r="A698">
        <v>697</v>
      </c>
      <c r="B698">
        <v>39</v>
      </c>
      <c r="C698">
        <v>697</v>
      </c>
      <c r="D698">
        <v>4</v>
      </c>
      <c r="E698" s="22">
        <v>44133</v>
      </c>
    </row>
    <row r="699" spans="1:5" x14ac:dyDescent="0.25">
      <c r="A699">
        <v>698</v>
      </c>
      <c r="B699">
        <v>39</v>
      </c>
      <c r="C699">
        <v>698</v>
      </c>
      <c r="D699">
        <v>4</v>
      </c>
      <c r="E699" s="22">
        <v>44133</v>
      </c>
    </row>
    <row r="700" spans="1:5" x14ac:dyDescent="0.25">
      <c r="A700">
        <v>699</v>
      </c>
      <c r="B700">
        <v>2</v>
      </c>
      <c r="C700">
        <v>699</v>
      </c>
      <c r="D700">
        <v>4</v>
      </c>
      <c r="E700" s="22">
        <v>44133</v>
      </c>
    </row>
    <row r="701" spans="1:5" x14ac:dyDescent="0.25">
      <c r="A701">
        <v>700</v>
      </c>
      <c r="B701">
        <v>2</v>
      </c>
      <c r="C701">
        <v>700</v>
      </c>
      <c r="D701">
        <v>4</v>
      </c>
      <c r="E701" s="22">
        <v>44133</v>
      </c>
    </row>
    <row r="702" spans="1:5" x14ac:dyDescent="0.25">
      <c r="A702">
        <v>701</v>
      </c>
      <c r="B702">
        <v>4</v>
      </c>
      <c r="C702">
        <v>701</v>
      </c>
      <c r="D702">
        <v>4</v>
      </c>
      <c r="E702" s="22">
        <v>44133</v>
      </c>
    </row>
    <row r="703" spans="1:5" x14ac:dyDescent="0.25">
      <c r="A703">
        <v>702</v>
      </c>
      <c r="B703">
        <v>39</v>
      </c>
      <c r="C703">
        <v>702</v>
      </c>
      <c r="D703">
        <v>4</v>
      </c>
      <c r="E703" s="22">
        <v>44133</v>
      </c>
    </row>
    <row r="704" spans="1:5" x14ac:dyDescent="0.25">
      <c r="A704">
        <v>703</v>
      </c>
      <c r="B704">
        <v>39</v>
      </c>
      <c r="C704">
        <v>703</v>
      </c>
      <c r="D704">
        <v>4</v>
      </c>
      <c r="E704" s="22">
        <v>44133</v>
      </c>
    </row>
    <row r="705" spans="1:5" x14ac:dyDescent="0.25">
      <c r="A705">
        <v>704</v>
      </c>
      <c r="B705">
        <v>39</v>
      </c>
      <c r="C705">
        <v>704</v>
      </c>
      <c r="D705">
        <v>4</v>
      </c>
      <c r="E705" s="22">
        <v>44133</v>
      </c>
    </row>
    <row r="706" spans="1:5" x14ac:dyDescent="0.25">
      <c r="A706">
        <v>705</v>
      </c>
      <c r="B706">
        <v>39</v>
      </c>
      <c r="C706">
        <v>705</v>
      </c>
      <c r="D706">
        <v>4</v>
      </c>
      <c r="E706" s="22">
        <v>44133</v>
      </c>
    </row>
    <row r="707" spans="1:5" x14ac:dyDescent="0.25">
      <c r="A707">
        <v>706</v>
      </c>
      <c r="B707">
        <v>8</v>
      </c>
      <c r="C707">
        <v>706</v>
      </c>
      <c r="D707">
        <v>4</v>
      </c>
      <c r="E707" s="22">
        <v>44133</v>
      </c>
    </row>
    <row r="708" spans="1:5" x14ac:dyDescent="0.25">
      <c r="A708">
        <v>707</v>
      </c>
      <c r="B708">
        <v>9</v>
      </c>
      <c r="C708">
        <v>707</v>
      </c>
      <c r="D708">
        <v>4</v>
      </c>
      <c r="E708" s="22">
        <v>44133</v>
      </c>
    </row>
    <row r="709" spans="1:5" x14ac:dyDescent="0.25">
      <c r="A709">
        <v>708</v>
      </c>
      <c r="B709">
        <v>8</v>
      </c>
      <c r="C709">
        <v>708</v>
      </c>
      <c r="D709">
        <v>4</v>
      </c>
      <c r="E709" s="22">
        <v>44133</v>
      </c>
    </row>
    <row r="710" spans="1:5" x14ac:dyDescent="0.25">
      <c r="A710">
        <v>709</v>
      </c>
      <c r="B710">
        <v>9</v>
      </c>
      <c r="C710">
        <v>709</v>
      </c>
      <c r="D710">
        <v>4</v>
      </c>
      <c r="E710" s="22">
        <v>44133</v>
      </c>
    </row>
    <row r="711" spans="1:5" x14ac:dyDescent="0.25">
      <c r="A711">
        <v>710</v>
      </c>
      <c r="B711">
        <v>9</v>
      </c>
      <c r="C711">
        <v>710</v>
      </c>
      <c r="D711">
        <v>4</v>
      </c>
      <c r="E711" s="22">
        <v>44133</v>
      </c>
    </row>
    <row r="712" spans="1:5" x14ac:dyDescent="0.25">
      <c r="A712">
        <v>711</v>
      </c>
      <c r="B712">
        <v>25</v>
      </c>
      <c r="C712">
        <v>711</v>
      </c>
      <c r="D712">
        <v>4</v>
      </c>
      <c r="E712" s="22">
        <v>44133</v>
      </c>
    </row>
    <row r="713" spans="1:5" x14ac:dyDescent="0.25">
      <c r="A713">
        <v>712</v>
      </c>
      <c r="B713">
        <v>39</v>
      </c>
      <c r="C713">
        <v>712</v>
      </c>
      <c r="D713">
        <v>39</v>
      </c>
      <c r="E713" s="22">
        <v>44133</v>
      </c>
    </row>
    <row r="714" spans="1:5" x14ac:dyDescent="0.25">
      <c r="A714">
        <v>713</v>
      </c>
      <c r="B714">
        <v>39</v>
      </c>
      <c r="C714">
        <v>713</v>
      </c>
      <c r="D714">
        <v>39</v>
      </c>
      <c r="E714" s="22">
        <v>44133</v>
      </c>
    </row>
    <row r="715" spans="1:5" x14ac:dyDescent="0.25">
      <c r="A715">
        <v>714</v>
      </c>
      <c r="B715">
        <v>39</v>
      </c>
      <c r="C715">
        <v>714</v>
      </c>
      <c r="D715">
        <v>39</v>
      </c>
      <c r="E715" s="22">
        <v>44133</v>
      </c>
    </row>
    <row r="716" spans="1:5" x14ac:dyDescent="0.25">
      <c r="A716">
        <v>715</v>
      </c>
      <c r="B716">
        <v>39</v>
      </c>
      <c r="C716">
        <v>715</v>
      </c>
      <c r="D716">
        <v>39</v>
      </c>
      <c r="E716" s="22">
        <v>44133</v>
      </c>
    </row>
    <row r="717" spans="1:5" x14ac:dyDescent="0.25">
      <c r="A717">
        <v>716</v>
      </c>
      <c r="B717">
        <v>39</v>
      </c>
      <c r="C717">
        <v>716</v>
      </c>
      <c r="D717">
        <v>39</v>
      </c>
      <c r="E717" s="22">
        <v>44133</v>
      </c>
    </row>
    <row r="718" spans="1:5" x14ac:dyDescent="0.25">
      <c r="A718">
        <v>717</v>
      </c>
      <c r="B718">
        <v>39</v>
      </c>
      <c r="C718">
        <v>717</v>
      </c>
      <c r="D718">
        <v>39</v>
      </c>
      <c r="E718" s="22">
        <v>44133</v>
      </c>
    </row>
    <row r="719" spans="1:5" x14ac:dyDescent="0.25">
      <c r="A719">
        <v>718</v>
      </c>
      <c r="B719">
        <v>29</v>
      </c>
      <c r="C719">
        <v>718</v>
      </c>
      <c r="D719">
        <v>39</v>
      </c>
      <c r="E719" s="22">
        <v>44133</v>
      </c>
    </row>
    <row r="720" spans="1:5" x14ac:dyDescent="0.25">
      <c r="A720">
        <v>719</v>
      </c>
      <c r="B720">
        <v>9</v>
      </c>
      <c r="C720">
        <v>719</v>
      </c>
      <c r="D720">
        <v>39</v>
      </c>
      <c r="E720" s="22">
        <v>44133</v>
      </c>
    </row>
    <row r="721" spans="1:5" x14ac:dyDescent="0.25">
      <c r="A721">
        <v>720</v>
      </c>
      <c r="B721">
        <v>4</v>
      </c>
      <c r="C721">
        <v>720</v>
      </c>
      <c r="D721">
        <v>39</v>
      </c>
      <c r="E721" s="22">
        <v>44133</v>
      </c>
    </row>
    <row r="722" spans="1:5" x14ac:dyDescent="0.25">
      <c r="A722">
        <v>721</v>
      </c>
      <c r="B722">
        <v>30</v>
      </c>
      <c r="C722">
        <v>721</v>
      </c>
      <c r="D722">
        <v>39</v>
      </c>
      <c r="E722" s="22">
        <v>44133</v>
      </c>
    </row>
    <row r="723" spans="1:5" x14ac:dyDescent="0.25">
      <c r="A723">
        <v>722</v>
      </c>
      <c r="B723">
        <v>34</v>
      </c>
      <c r="C723">
        <v>722</v>
      </c>
      <c r="D723">
        <v>39</v>
      </c>
      <c r="E723" s="22">
        <v>44133</v>
      </c>
    </row>
    <row r="724" spans="1:5" x14ac:dyDescent="0.25">
      <c r="A724">
        <v>723</v>
      </c>
      <c r="B724">
        <v>18</v>
      </c>
      <c r="C724">
        <v>723</v>
      </c>
      <c r="D724">
        <v>39</v>
      </c>
      <c r="E724" s="22">
        <v>44133</v>
      </c>
    </row>
    <row r="725" spans="1:5" x14ac:dyDescent="0.25">
      <c r="A725">
        <v>724</v>
      </c>
      <c r="B725">
        <v>26</v>
      </c>
      <c r="C725">
        <v>724</v>
      </c>
      <c r="D725">
        <v>39</v>
      </c>
      <c r="E725" s="22">
        <v>44133</v>
      </c>
    </row>
    <row r="726" spans="1:5" x14ac:dyDescent="0.25">
      <c r="A726">
        <v>725</v>
      </c>
      <c r="B726">
        <v>39</v>
      </c>
      <c r="C726">
        <v>725</v>
      </c>
      <c r="D726">
        <v>4</v>
      </c>
      <c r="E726" s="22">
        <v>44133</v>
      </c>
    </row>
    <row r="727" spans="1:5" x14ac:dyDescent="0.25">
      <c r="A727">
        <v>726</v>
      </c>
      <c r="B727">
        <v>39</v>
      </c>
      <c r="C727">
        <v>726</v>
      </c>
      <c r="D727">
        <v>4</v>
      </c>
      <c r="E727" s="22">
        <v>44133</v>
      </c>
    </row>
    <row r="728" spans="1:5" x14ac:dyDescent="0.25">
      <c r="A728">
        <v>727</v>
      </c>
      <c r="B728">
        <v>39</v>
      </c>
      <c r="C728">
        <v>727</v>
      </c>
      <c r="D728">
        <v>4</v>
      </c>
      <c r="E728" s="22">
        <v>44133</v>
      </c>
    </row>
    <row r="729" spans="1:5" x14ac:dyDescent="0.25">
      <c r="A729">
        <v>728</v>
      </c>
      <c r="B729">
        <v>23</v>
      </c>
      <c r="C729">
        <v>728</v>
      </c>
      <c r="D729">
        <v>4</v>
      </c>
      <c r="E729" s="22">
        <v>44133</v>
      </c>
    </row>
    <row r="730" spans="1:5" x14ac:dyDescent="0.25">
      <c r="A730">
        <v>729</v>
      </c>
      <c r="B730">
        <v>39</v>
      </c>
      <c r="C730">
        <v>729</v>
      </c>
      <c r="D730">
        <v>4</v>
      </c>
      <c r="E730" s="22">
        <v>44133</v>
      </c>
    </row>
    <row r="731" spans="1:5" x14ac:dyDescent="0.25">
      <c r="A731">
        <v>730</v>
      </c>
      <c r="B731">
        <v>39</v>
      </c>
      <c r="C731">
        <v>730</v>
      </c>
      <c r="D731">
        <v>4</v>
      </c>
      <c r="E731" s="22">
        <v>44133</v>
      </c>
    </row>
    <row r="732" spans="1:5" x14ac:dyDescent="0.25">
      <c r="A732">
        <v>731</v>
      </c>
      <c r="B732">
        <v>39</v>
      </c>
      <c r="C732">
        <v>731</v>
      </c>
      <c r="D732">
        <v>4</v>
      </c>
      <c r="E732" s="22">
        <v>44133</v>
      </c>
    </row>
    <row r="733" spans="1:5" x14ac:dyDescent="0.25">
      <c r="A733">
        <v>732</v>
      </c>
      <c r="B733">
        <v>39</v>
      </c>
      <c r="C733">
        <v>732</v>
      </c>
      <c r="D733">
        <v>4</v>
      </c>
      <c r="E733" s="22">
        <v>44133</v>
      </c>
    </row>
    <row r="734" spans="1:5" x14ac:dyDescent="0.25">
      <c r="A734">
        <v>733</v>
      </c>
      <c r="B734">
        <v>39</v>
      </c>
      <c r="C734">
        <v>733</v>
      </c>
      <c r="D734">
        <v>4</v>
      </c>
      <c r="E734" s="22">
        <v>44133</v>
      </c>
    </row>
    <row r="735" spans="1:5" x14ac:dyDescent="0.25">
      <c r="A735">
        <v>734</v>
      </c>
      <c r="B735">
        <v>39</v>
      </c>
      <c r="C735">
        <v>734</v>
      </c>
      <c r="D735">
        <v>4</v>
      </c>
      <c r="E735" s="22">
        <v>44133</v>
      </c>
    </row>
    <row r="736" spans="1:5" x14ac:dyDescent="0.25">
      <c r="A736">
        <v>735</v>
      </c>
      <c r="B736">
        <v>39</v>
      </c>
      <c r="C736">
        <v>735</v>
      </c>
      <c r="D736">
        <v>4</v>
      </c>
      <c r="E736" s="22">
        <v>44133</v>
      </c>
    </row>
    <row r="737" spans="1:5" x14ac:dyDescent="0.25">
      <c r="A737">
        <v>736</v>
      </c>
      <c r="B737">
        <v>39</v>
      </c>
      <c r="C737">
        <v>736</v>
      </c>
      <c r="D737">
        <v>4</v>
      </c>
      <c r="E737" s="22">
        <v>44133</v>
      </c>
    </row>
    <row r="738" spans="1:5" x14ac:dyDescent="0.25">
      <c r="A738">
        <v>737</v>
      </c>
      <c r="B738">
        <v>39</v>
      </c>
      <c r="C738">
        <v>737</v>
      </c>
      <c r="D738">
        <v>4</v>
      </c>
      <c r="E738" s="22">
        <v>44133</v>
      </c>
    </row>
    <row r="739" spans="1:5" x14ac:dyDescent="0.25">
      <c r="A739">
        <v>738</v>
      </c>
      <c r="B739">
        <v>39</v>
      </c>
      <c r="C739">
        <v>738</v>
      </c>
      <c r="D739">
        <v>4</v>
      </c>
      <c r="E739" s="22">
        <v>44133</v>
      </c>
    </row>
    <row r="740" spans="1:5" x14ac:dyDescent="0.25">
      <c r="A740">
        <v>739</v>
      </c>
      <c r="B740">
        <v>39</v>
      </c>
      <c r="C740">
        <v>739</v>
      </c>
      <c r="D740">
        <v>4</v>
      </c>
      <c r="E740" s="22">
        <v>44133</v>
      </c>
    </row>
    <row r="741" spans="1:5" x14ac:dyDescent="0.25">
      <c r="A741">
        <v>740</v>
      </c>
      <c r="B741">
        <v>39</v>
      </c>
      <c r="C741">
        <v>740</v>
      </c>
      <c r="D741">
        <v>4</v>
      </c>
      <c r="E741" s="22">
        <v>44133</v>
      </c>
    </row>
    <row r="742" spans="1:5" x14ac:dyDescent="0.25">
      <c r="A742">
        <v>741</v>
      </c>
      <c r="B742">
        <v>39</v>
      </c>
      <c r="C742">
        <v>741</v>
      </c>
      <c r="D742">
        <v>4</v>
      </c>
      <c r="E742" s="22">
        <v>44133</v>
      </c>
    </row>
    <row r="743" spans="1:5" x14ac:dyDescent="0.25">
      <c r="A743">
        <v>742</v>
      </c>
      <c r="B743">
        <v>39</v>
      </c>
      <c r="C743">
        <v>742</v>
      </c>
      <c r="D743">
        <v>39</v>
      </c>
      <c r="E743" s="22">
        <v>44133</v>
      </c>
    </row>
    <row r="744" spans="1:5" x14ac:dyDescent="0.25">
      <c r="A744">
        <v>743</v>
      </c>
      <c r="B744">
        <v>8</v>
      </c>
      <c r="C744">
        <v>743</v>
      </c>
      <c r="D744">
        <v>39</v>
      </c>
      <c r="E744" s="22">
        <v>44133</v>
      </c>
    </row>
    <row r="745" spans="1:5" x14ac:dyDescent="0.25">
      <c r="A745">
        <v>744</v>
      </c>
      <c r="B745">
        <v>8</v>
      </c>
      <c r="C745">
        <v>744</v>
      </c>
      <c r="D745">
        <v>39</v>
      </c>
      <c r="E745" s="22">
        <v>44133</v>
      </c>
    </row>
    <row r="746" spans="1:5" x14ac:dyDescent="0.25">
      <c r="A746">
        <v>745</v>
      </c>
      <c r="B746">
        <v>39</v>
      </c>
      <c r="C746">
        <v>745</v>
      </c>
      <c r="D746">
        <v>39</v>
      </c>
      <c r="E746" s="22">
        <v>44133</v>
      </c>
    </row>
    <row r="747" spans="1:5" x14ac:dyDescent="0.25">
      <c r="A747">
        <v>746</v>
      </c>
      <c r="B747">
        <v>25</v>
      </c>
      <c r="C747">
        <v>746</v>
      </c>
      <c r="D747">
        <v>39</v>
      </c>
      <c r="E747" s="22">
        <v>44133</v>
      </c>
    </row>
    <row r="748" spans="1:5" x14ac:dyDescent="0.25">
      <c r="A748">
        <v>747</v>
      </c>
      <c r="B748">
        <v>23</v>
      </c>
      <c r="C748">
        <v>747</v>
      </c>
      <c r="D748">
        <v>4</v>
      </c>
      <c r="E748" s="22">
        <v>44133</v>
      </c>
    </row>
    <row r="749" spans="1:5" x14ac:dyDescent="0.25">
      <c r="A749">
        <v>748</v>
      </c>
      <c r="B749">
        <v>39</v>
      </c>
      <c r="C749">
        <v>748</v>
      </c>
      <c r="D749">
        <v>4</v>
      </c>
      <c r="E749" s="22">
        <v>44133</v>
      </c>
    </row>
    <row r="750" spans="1:5" x14ac:dyDescent="0.25">
      <c r="A750">
        <v>749</v>
      </c>
      <c r="B750">
        <v>39</v>
      </c>
      <c r="C750">
        <v>749</v>
      </c>
      <c r="D750">
        <v>4</v>
      </c>
      <c r="E750" s="22">
        <v>44133</v>
      </c>
    </row>
    <row r="751" spans="1:5" x14ac:dyDescent="0.25">
      <c r="A751">
        <v>750</v>
      </c>
      <c r="B751">
        <v>39</v>
      </c>
      <c r="C751">
        <v>750</v>
      </c>
      <c r="D751">
        <v>4</v>
      </c>
      <c r="E751" s="22">
        <v>44133</v>
      </c>
    </row>
    <row r="752" spans="1:5" x14ac:dyDescent="0.25">
      <c r="A752">
        <v>751</v>
      </c>
      <c r="B752">
        <v>39</v>
      </c>
      <c r="C752">
        <v>751</v>
      </c>
      <c r="D752">
        <v>4</v>
      </c>
      <c r="E752" s="22">
        <v>44133</v>
      </c>
    </row>
    <row r="753" spans="1:5" x14ac:dyDescent="0.25">
      <c r="A753">
        <v>752</v>
      </c>
      <c r="B753">
        <v>39</v>
      </c>
      <c r="C753">
        <v>752</v>
      </c>
      <c r="D753">
        <v>4</v>
      </c>
      <c r="E753" s="22">
        <v>44133</v>
      </c>
    </row>
    <row r="754" spans="1:5" x14ac:dyDescent="0.25">
      <c r="A754">
        <v>753</v>
      </c>
      <c r="B754">
        <v>23</v>
      </c>
      <c r="C754">
        <v>753</v>
      </c>
      <c r="D754">
        <v>4</v>
      </c>
      <c r="E754" s="22">
        <v>44133</v>
      </c>
    </row>
    <row r="755" spans="1:5" x14ac:dyDescent="0.25">
      <c r="A755">
        <v>754</v>
      </c>
      <c r="B755">
        <v>23</v>
      </c>
      <c r="C755">
        <v>754</v>
      </c>
      <c r="D755">
        <v>4</v>
      </c>
      <c r="E755" s="22">
        <v>44133</v>
      </c>
    </row>
    <row r="756" spans="1:5" x14ac:dyDescent="0.25">
      <c r="A756">
        <v>755</v>
      </c>
      <c r="B756">
        <v>23</v>
      </c>
      <c r="C756">
        <v>755</v>
      </c>
      <c r="D756">
        <v>4</v>
      </c>
      <c r="E756" s="22">
        <v>44133</v>
      </c>
    </row>
    <row r="757" spans="1:5" x14ac:dyDescent="0.25">
      <c r="A757">
        <v>756</v>
      </c>
      <c r="B757">
        <v>23</v>
      </c>
      <c r="C757">
        <v>756</v>
      </c>
      <c r="D757">
        <v>4</v>
      </c>
      <c r="E757" s="22">
        <v>44133</v>
      </c>
    </row>
    <row r="758" spans="1:5" x14ac:dyDescent="0.25">
      <c r="A758">
        <v>757</v>
      </c>
      <c r="B758">
        <v>23</v>
      </c>
      <c r="C758">
        <v>757</v>
      </c>
      <c r="D758">
        <v>4</v>
      </c>
      <c r="E758" s="22">
        <v>44133</v>
      </c>
    </row>
    <row r="759" spans="1:5" x14ac:dyDescent="0.25">
      <c r="A759">
        <v>758</v>
      </c>
      <c r="B759">
        <v>23</v>
      </c>
      <c r="C759">
        <v>758</v>
      </c>
      <c r="D759">
        <v>4</v>
      </c>
      <c r="E759" s="22">
        <v>44133</v>
      </c>
    </row>
    <row r="760" spans="1:5" x14ac:dyDescent="0.25">
      <c r="A760">
        <v>759</v>
      </c>
      <c r="B760">
        <v>23</v>
      </c>
      <c r="C760">
        <v>759</v>
      </c>
      <c r="D760">
        <v>4</v>
      </c>
      <c r="E760" s="22">
        <v>44133</v>
      </c>
    </row>
    <row r="761" spans="1:5" x14ac:dyDescent="0.25">
      <c r="A761">
        <v>760</v>
      </c>
      <c r="B761">
        <v>23</v>
      </c>
      <c r="C761">
        <v>760</v>
      </c>
      <c r="D761">
        <v>4</v>
      </c>
      <c r="E761" s="22">
        <v>44133</v>
      </c>
    </row>
    <row r="762" spans="1:5" x14ac:dyDescent="0.25">
      <c r="A762">
        <v>761</v>
      </c>
      <c r="B762">
        <v>23</v>
      </c>
      <c r="C762">
        <v>761</v>
      </c>
      <c r="D762">
        <v>4</v>
      </c>
      <c r="E762" s="22">
        <v>44133</v>
      </c>
    </row>
    <row r="763" spans="1:5" x14ac:dyDescent="0.25">
      <c r="A763">
        <v>762</v>
      </c>
      <c r="B763">
        <v>23</v>
      </c>
      <c r="C763">
        <v>762</v>
      </c>
      <c r="D763">
        <v>4</v>
      </c>
      <c r="E763" s="22">
        <v>44133</v>
      </c>
    </row>
    <row r="764" spans="1:5" x14ac:dyDescent="0.25">
      <c r="A764">
        <v>763</v>
      </c>
      <c r="B764">
        <v>39</v>
      </c>
      <c r="C764">
        <v>763</v>
      </c>
      <c r="D764">
        <v>4</v>
      </c>
      <c r="E764" s="22">
        <v>44133</v>
      </c>
    </row>
    <row r="765" spans="1:5" x14ac:dyDescent="0.25">
      <c r="A765">
        <v>764</v>
      </c>
      <c r="B765">
        <v>39</v>
      </c>
      <c r="C765">
        <v>764</v>
      </c>
      <c r="D765">
        <v>4</v>
      </c>
      <c r="E765" s="22">
        <v>44133</v>
      </c>
    </row>
    <row r="766" spans="1:5" x14ac:dyDescent="0.25">
      <c r="A766">
        <v>765</v>
      </c>
      <c r="B766">
        <v>23</v>
      </c>
      <c r="C766">
        <v>765</v>
      </c>
      <c r="D766">
        <v>4</v>
      </c>
      <c r="E766" s="22">
        <v>44133</v>
      </c>
    </row>
    <row r="767" spans="1:5" x14ac:dyDescent="0.25">
      <c r="A767">
        <v>766</v>
      </c>
      <c r="B767">
        <v>23</v>
      </c>
      <c r="C767">
        <v>766</v>
      </c>
      <c r="D767">
        <v>4</v>
      </c>
      <c r="E767" s="22">
        <v>44133</v>
      </c>
    </row>
    <row r="768" spans="1:5" x14ac:dyDescent="0.25">
      <c r="A768">
        <v>767</v>
      </c>
      <c r="B768">
        <v>4</v>
      </c>
      <c r="C768">
        <v>767</v>
      </c>
      <c r="D768">
        <v>4</v>
      </c>
      <c r="E768" s="22">
        <v>44133</v>
      </c>
    </row>
    <row r="769" spans="1:5" x14ac:dyDescent="0.25">
      <c r="A769">
        <v>768</v>
      </c>
      <c r="B769">
        <v>4</v>
      </c>
      <c r="C769">
        <v>768</v>
      </c>
      <c r="D769">
        <v>4</v>
      </c>
      <c r="E769" s="22">
        <v>44133</v>
      </c>
    </row>
    <row r="770" spans="1:5" x14ac:dyDescent="0.25">
      <c r="A770">
        <v>769</v>
      </c>
      <c r="B770">
        <v>4</v>
      </c>
      <c r="C770">
        <v>769</v>
      </c>
      <c r="D770">
        <v>4</v>
      </c>
      <c r="E770" s="22">
        <v>44133</v>
      </c>
    </row>
    <row r="771" spans="1:5" x14ac:dyDescent="0.25">
      <c r="A771">
        <v>770</v>
      </c>
      <c r="B771">
        <v>4</v>
      </c>
      <c r="C771">
        <v>770</v>
      </c>
      <c r="D771">
        <v>4</v>
      </c>
      <c r="E771" s="22">
        <v>44133</v>
      </c>
    </row>
    <row r="772" spans="1:5" x14ac:dyDescent="0.25">
      <c r="A772">
        <v>771</v>
      </c>
      <c r="B772">
        <v>4</v>
      </c>
      <c r="C772">
        <v>771</v>
      </c>
      <c r="D772">
        <v>4</v>
      </c>
      <c r="E772" s="22">
        <v>44133</v>
      </c>
    </row>
    <row r="773" spans="1:5" x14ac:dyDescent="0.25">
      <c r="A773">
        <v>772</v>
      </c>
      <c r="B773">
        <v>4</v>
      </c>
      <c r="C773">
        <v>772</v>
      </c>
      <c r="D773">
        <v>4</v>
      </c>
      <c r="E773" s="22">
        <v>44133</v>
      </c>
    </row>
    <row r="774" spans="1:5" x14ac:dyDescent="0.25">
      <c r="A774">
        <v>773</v>
      </c>
      <c r="B774">
        <v>4</v>
      </c>
      <c r="C774">
        <v>773</v>
      </c>
      <c r="D774">
        <v>4</v>
      </c>
      <c r="E774" s="22">
        <v>44133</v>
      </c>
    </row>
    <row r="775" spans="1:5" x14ac:dyDescent="0.25">
      <c r="A775">
        <v>774</v>
      </c>
      <c r="B775">
        <v>4</v>
      </c>
      <c r="C775">
        <v>774</v>
      </c>
      <c r="D775">
        <v>4</v>
      </c>
      <c r="E775" s="22">
        <v>44133</v>
      </c>
    </row>
    <row r="776" spans="1:5" x14ac:dyDescent="0.25">
      <c r="A776">
        <v>775</v>
      </c>
      <c r="B776">
        <v>4</v>
      </c>
      <c r="C776">
        <v>775</v>
      </c>
      <c r="D776">
        <v>4</v>
      </c>
      <c r="E776" s="22">
        <v>44133</v>
      </c>
    </row>
    <row r="777" spans="1:5" x14ac:dyDescent="0.25">
      <c r="A777">
        <v>776</v>
      </c>
      <c r="B777">
        <v>4</v>
      </c>
      <c r="C777">
        <v>776</v>
      </c>
      <c r="D777">
        <v>4</v>
      </c>
      <c r="E777" s="22">
        <v>44133</v>
      </c>
    </row>
    <row r="778" spans="1:5" x14ac:dyDescent="0.25">
      <c r="A778">
        <v>777</v>
      </c>
      <c r="B778">
        <v>4</v>
      </c>
      <c r="C778">
        <v>777</v>
      </c>
      <c r="D778">
        <v>4</v>
      </c>
      <c r="E778" s="22">
        <v>44133</v>
      </c>
    </row>
    <row r="779" spans="1:5" x14ac:dyDescent="0.25">
      <c r="A779">
        <v>778</v>
      </c>
      <c r="B779">
        <v>4</v>
      </c>
      <c r="C779">
        <v>778</v>
      </c>
      <c r="D779">
        <v>4</v>
      </c>
      <c r="E779" s="22">
        <v>44133</v>
      </c>
    </row>
    <row r="780" spans="1:5" x14ac:dyDescent="0.25">
      <c r="A780">
        <v>779</v>
      </c>
      <c r="B780">
        <v>4</v>
      </c>
      <c r="C780">
        <v>779</v>
      </c>
      <c r="D780">
        <v>4</v>
      </c>
      <c r="E780" s="22">
        <v>44133</v>
      </c>
    </row>
    <row r="781" spans="1:5" x14ac:dyDescent="0.25">
      <c r="A781">
        <v>780</v>
      </c>
      <c r="B781">
        <v>4</v>
      </c>
      <c r="C781">
        <v>780</v>
      </c>
      <c r="D781">
        <v>4</v>
      </c>
      <c r="E781" s="22">
        <v>44133</v>
      </c>
    </row>
    <row r="782" spans="1:5" x14ac:dyDescent="0.25">
      <c r="A782">
        <v>781</v>
      </c>
      <c r="B782">
        <v>4</v>
      </c>
      <c r="C782">
        <v>781</v>
      </c>
      <c r="D782">
        <v>4</v>
      </c>
      <c r="E782" s="22">
        <v>44133</v>
      </c>
    </row>
    <row r="783" spans="1:5" x14ac:dyDescent="0.25">
      <c r="A783">
        <v>782</v>
      </c>
      <c r="B783">
        <v>39</v>
      </c>
      <c r="C783">
        <v>782</v>
      </c>
      <c r="D783">
        <v>4</v>
      </c>
      <c r="E783" s="22">
        <v>44133</v>
      </c>
    </row>
    <row r="784" spans="1:5" x14ac:dyDescent="0.25">
      <c r="A784">
        <v>783</v>
      </c>
      <c r="B784">
        <v>39</v>
      </c>
      <c r="C784">
        <v>783</v>
      </c>
      <c r="D784">
        <v>4</v>
      </c>
      <c r="E784" s="22">
        <v>44133</v>
      </c>
    </row>
    <row r="785" spans="1:5" x14ac:dyDescent="0.25">
      <c r="A785">
        <v>784</v>
      </c>
      <c r="B785">
        <v>4</v>
      </c>
      <c r="C785">
        <v>784</v>
      </c>
      <c r="D785">
        <v>4</v>
      </c>
      <c r="E785" s="22">
        <v>44133</v>
      </c>
    </row>
    <row r="786" spans="1:5" x14ac:dyDescent="0.25">
      <c r="A786">
        <v>785</v>
      </c>
      <c r="B786">
        <v>8</v>
      </c>
      <c r="C786">
        <v>785</v>
      </c>
      <c r="D786">
        <v>4</v>
      </c>
      <c r="E786" s="22">
        <v>44133</v>
      </c>
    </row>
    <row r="787" spans="1:5" x14ac:dyDescent="0.25">
      <c r="A787">
        <v>786</v>
      </c>
      <c r="B787">
        <v>25</v>
      </c>
      <c r="C787">
        <v>786</v>
      </c>
      <c r="D787">
        <v>4</v>
      </c>
      <c r="E787" s="22">
        <v>44133</v>
      </c>
    </row>
    <row r="788" spans="1:5" x14ac:dyDescent="0.25">
      <c r="A788">
        <v>787</v>
      </c>
      <c r="B788">
        <v>4</v>
      </c>
      <c r="C788">
        <v>787</v>
      </c>
      <c r="D788">
        <v>4</v>
      </c>
      <c r="E788" s="22">
        <v>44133</v>
      </c>
    </row>
    <row r="789" spans="1:5" x14ac:dyDescent="0.25">
      <c r="A789">
        <v>788</v>
      </c>
      <c r="B789">
        <v>4</v>
      </c>
      <c r="C789">
        <v>788</v>
      </c>
      <c r="D789">
        <v>4</v>
      </c>
      <c r="E789" s="22">
        <v>44133</v>
      </c>
    </row>
    <row r="790" spans="1:5" x14ac:dyDescent="0.25">
      <c r="A790">
        <v>789</v>
      </c>
      <c r="B790">
        <v>4</v>
      </c>
      <c r="C790">
        <v>789</v>
      </c>
      <c r="D790">
        <v>4</v>
      </c>
      <c r="E790" s="22">
        <v>44133</v>
      </c>
    </row>
    <row r="791" spans="1:5" x14ac:dyDescent="0.25">
      <c r="A791">
        <v>790</v>
      </c>
      <c r="B791">
        <v>4</v>
      </c>
      <c r="C791">
        <v>790</v>
      </c>
      <c r="D791">
        <v>4</v>
      </c>
      <c r="E791" s="22">
        <v>44133</v>
      </c>
    </row>
    <row r="792" spans="1:5" x14ac:dyDescent="0.25">
      <c r="A792">
        <v>791</v>
      </c>
      <c r="B792">
        <v>4</v>
      </c>
      <c r="C792">
        <v>791</v>
      </c>
      <c r="D792">
        <v>4</v>
      </c>
      <c r="E792" s="22">
        <v>44133</v>
      </c>
    </row>
    <row r="793" spans="1:5" x14ac:dyDescent="0.25">
      <c r="A793">
        <v>792</v>
      </c>
      <c r="B793">
        <v>4</v>
      </c>
      <c r="C793">
        <v>792</v>
      </c>
      <c r="D793">
        <v>4</v>
      </c>
      <c r="E793" s="22">
        <v>44133</v>
      </c>
    </row>
    <row r="794" spans="1:5" x14ac:dyDescent="0.25">
      <c r="A794">
        <v>793</v>
      </c>
      <c r="B794">
        <v>4</v>
      </c>
      <c r="C794">
        <v>793</v>
      </c>
      <c r="D794">
        <v>4</v>
      </c>
      <c r="E794" s="22">
        <v>44133</v>
      </c>
    </row>
    <row r="795" spans="1:5" x14ac:dyDescent="0.25">
      <c r="A795">
        <v>794</v>
      </c>
      <c r="B795">
        <v>4</v>
      </c>
      <c r="C795">
        <v>794</v>
      </c>
      <c r="D795">
        <v>4</v>
      </c>
      <c r="E795" s="22">
        <v>44133</v>
      </c>
    </row>
    <row r="796" spans="1:5" x14ac:dyDescent="0.25">
      <c r="A796">
        <v>795</v>
      </c>
      <c r="B796">
        <v>4</v>
      </c>
      <c r="C796">
        <v>795</v>
      </c>
      <c r="D796">
        <v>4</v>
      </c>
      <c r="E796" s="22">
        <v>44133</v>
      </c>
    </row>
    <row r="797" spans="1:5" x14ac:dyDescent="0.25">
      <c r="A797">
        <v>796</v>
      </c>
      <c r="B797">
        <v>4</v>
      </c>
      <c r="C797">
        <v>796</v>
      </c>
      <c r="D797">
        <v>4</v>
      </c>
      <c r="E797" s="22">
        <v>44133</v>
      </c>
    </row>
    <row r="798" spans="1:5" x14ac:dyDescent="0.25">
      <c r="A798">
        <v>797</v>
      </c>
      <c r="B798">
        <v>4</v>
      </c>
      <c r="C798">
        <v>797</v>
      </c>
      <c r="D798">
        <v>4</v>
      </c>
      <c r="E798" s="22">
        <v>44133</v>
      </c>
    </row>
    <row r="799" spans="1:5" x14ac:dyDescent="0.25">
      <c r="A799">
        <v>798</v>
      </c>
      <c r="B799">
        <v>4</v>
      </c>
      <c r="C799">
        <v>798</v>
      </c>
      <c r="D799">
        <v>4</v>
      </c>
      <c r="E799" s="22">
        <v>44133</v>
      </c>
    </row>
    <row r="800" spans="1:5" x14ac:dyDescent="0.25">
      <c r="A800">
        <v>799</v>
      </c>
      <c r="B800">
        <v>4</v>
      </c>
      <c r="C800">
        <v>799</v>
      </c>
      <c r="D800">
        <v>4</v>
      </c>
      <c r="E800" s="22">
        <v>44133</v>
      </c>
    </row>
    <row r="801" spans="1:5" x14ac:dyDescent="0.25">
      <c r="A801">
        <v>800</v>
      </c>
      <c r="B801">
        <v>4</v>
      </c>
      <c r="C801">
        <v>800</v>
      </c>
      <c r="D801">
        <v>4</v>
      </c>
      <c r="E801" s="22">
        <v>44133</v>
      </c>
    </row>
    <row r="802" spans="1:5" x14ac:dyDescent="0.25">
      <c r="A802">
        <v>801</v>
      </c>
      <c r="B802">
        <v>4</v>
      </c>
      <c r="C802">
        <v>801</v>
      </c>
      <c r="D802">
        <v>4</v>
      </c>
      <c r="E802" s="22">
        <v>44133</v>
      </c>
    </row>
    <row r="803" spans="1:5" x14ac:dyDescent="0.25">
      <c r="A803">
        <v>802</v>
      </c>
      <c r="B803">
        <v>4</v>
      </c>
      <c r="C803">
        <v>802</v>
      </c>
      <c r="D803">
        <v>4</v>
      </c>
      <c r="E803" s="22">
        <v>44133</v>
      </c>
    </row>
    <row r="804" spans="1:5" x14ac:dyDescent="0.25">
      <c r="A804">
        <v>803</v>
      </c>
      <c r="B804">
        <v>4</v>
      </c>
      <c r="C804">
        <v>803</v>
      </c>
      <c r="D804">
        <v>4</v>
      </c>
      <c r="E804" s="22">
        <v>44133</v>
      </c>
    </row>
    <row r="805" spans="1:5" x14ac:dyDescent="0.25">
      <c r="A805">
        <v>804</v>
      </c>
      <c r="B805">
        <v>4</v>
      </c>
      <c r="C805">
        <v>804</v>
      </c>
      <c r="D805">
        <v>4</v>
      </c>
      <c r="E805" s="22">
        <v>44133</v>
      </c>
    </row>
    <row r="806" spans="1:5" x14ac:dyDescent="0.25">
      <c r="A806">
        <v>805</v>
      </c>
      <c r="B806">
        <v>4</v>
      </c>
      <c r="C806">
        <v>805</v>
      </c>
      <c r="D806">
        <v>4</v>
      </c>
      <c r="E806" s="22">
        <v>44133</v>
      </c>
    </row>
    <row r="807" spans="1:5" x14ac:dyDescent="0.25">
      <c r="A807">
        <v>806</v>
      </c>
      <c r="B807">
        <v>4</v>
      </c>
      <c r="C807">
        <v>806</v>
      </c>
      <c r="D807">
        <v>4</v>
      </c>
      <c r="E807" s="22">
        <v>44133</v>
      </c>
    </row>
    <row r="808" spans="1:5" x14ac:dyDescent="0.25">
      <c r="A808">
        <v>807</v>
      </c>
      <c r="B808">
        <v>4</v>
      </c>
      <c r="C808">
        <v>807</v>
      </c>
      <c r="D808">
        <v>4</v>
      </c>
      <c r="E808" s="22">
        <v>44133</v>
      </c>
    </row>
    <row r="809" spans="1:5" x14ac:dyDescent="0.25">
      <c r="A809">
        <v>808</v>
      </c>
      <c r="B809">
        <v>4</v>
      </c>
      <c r="C809">
        <v>808</v>
      </c>
      <c r="D809">
        <v>4</v>
      </c>
      <c r="E809" s="22">
        <v>44133</v>
      </c>
    </row>
    <row r="810" spans="1:5" x14ac:dyDescent="0.25">
      <c r="A810">
        <v>809</v>
      </c>
      <c r="B810">
        <v>4</v>
      </c>
      <c r="C810">
        <v>809</v>
      </c>
      <c r="D810">
        <v>4</v>
      </c>
      <c r="E810" s="22">
        <v>44133</v>
      </c>
    </row>
    <row r="811" spans="1:5" x14ac:dyDescent="0.25">
      <c r="A811">
        <v>810</v>
      </c>
      <c r="B811">
        <v>4</v>
      </c>
      <c r="C811">
        <v>810</v>
      </c>
      <c r="D811">
        <v>4</v>
      </c>
      <c r="E811" s="22">
        <v>44133</v>
      </c>
    </row>
    <row r="812" spans="1:5" x14ac:dyDescent="0.25">
      <c r="A812">
        <v>811</v>
      </c>
      <c r="B812">
        <v>4</v>
      </c>
      <c r="C812">
        <v>811</v>
      </c>
      <c r="D812">
        <v>4</v>
      </c>
      <c r="E812" s="22">
        <v>44133</v>
      </c>
    </row>
    <row r="813" spans="1:5" x14ac:dyDescent="0.25">
      <c r="A813">
        <v>812</v>
      </c>
      <c r="B813">
        <v>4</v>
      </c>
      <c r="C813">
        <v>812</v>
      </c>
      <c r="D813">
        <v>4</v>
      </c>
      <c r="E813" s="22">
        <v>44133</v>
      </c>
    </row>
    <row r="814" spans="1:5" x14ac:dyDescent="0.25">
      <c r="A814">
        <v>813</v>
      </c>
      <c r="B814">
        <v>4</v>
      </c>
      <c r="C814">
        <v>813</v>
      </c>
      <c r="D814">
        <v>4</v>
      </c>
      <c r="E814" s="22">
        <v>44133</v>
      </c>
    </row>
    <row r="815" spans="1:5" x14ac:dyDescent="0.25">
      <c r="A815">
        <v>814</v>
      </c>
      <c r="B815">
        <v>4</v>
      </c>
      <c r="C815">
        <v>814</v>
      </c>
      <c r="D815">
        <v>4</v>
      </c>
      <c r="E815" s="22">
        <v>44133</v>
      </c>
    </row>
    <row r="816" spans="1:5" x14ac:dyDescent="0.25">
      <c r="A816">
        <v>815</v>
      </c>
      <c r="B816">
        <v>4</v>
      </c>
      <c r="C816">
        <v>815</v>
      </c>
      <c r="D816">
        <v>4</v>
      </c>
      <c r="E816" s="22">
        <v>44133</v>
      </c>
    </row>
    <row r="817" spans="1:5" x14ac:dyDescent="0.25">
      <c r="A817">
        <v>816</v>
      </c>
      <c r="B817">
        <v>4</v>
      </c>
      <c r="C817">
        <v>816</v>
      </c>
      <c r="D817">
        <v>4</v>
      </c>
      <c r="E817" s="22">
        <v>44133</v>
      </c>
    </row>
    <row r="818" spans="1:5" x14ac:dyDescent="0.25">
      <c r="A818">
        <v>817</v>
      </c>
      <c r="B818">
        <v>4</v>
      </c>
      <c r="C818">
        <v>817</v>
      </c>
      <c r="D818">
        <v>4</v>
      </c>
      <c r="E818" s="22">
        <v>44133</v>
      </c>
    </row>
    <row r="819" spans="1:5" x14ac:dyDescent="0.25">
      <c r="A819">
        <v>818</v>
      </c>
      <c r="B819">
        <v>4</v>
      </c>
      <c r="C819">
        <v>818</v>
      </c>
      <c r="D819">
        <v>4</v>
      </c>
      <c r="E819" s="22">
        <v>44133</v>
      </c>
    </row>
    <row r="820" spans="1:5" x14ac:dyDescent="0.25">
      <c r="A820">
        <v>819</v>
      </c>
      <c r="B820">
        <v>4</v>
      </c>
      <c r="C820">
        <v>819</v>
      </c>
      <c r="D820">
        <v>4</v>
      </c>
      <c r="E820" s="22">
        <v>44133</v>
      </c>
    </row>
    <row r="821" spans="1:5" x14ac:dyDescent="0.25">
      <c r="A821">
        <v>820</v>
      </c>
      <c r="B821">
        <v>4</v>
      </c>
      <c r="C821">
        <v>820</v>
      </c>
      <c r="D821">
        <v>4</v>
      </c>
      <c r="E821" s="22">
        <v>44133</v>
      </c>
    </row>
    <row r="822" spans="1:5" x14ac:dyDescent="0.25">
      <c r="A822">
        <v>821</v>
      </c>
      <c r="B822">
        <v>4</v>
      </c>
      <c r="C822">
        <v>821</v>
      </c>
      <c r="D822">
        <v>4</v>
      </c>
      <c r="E822" s="22">
        <v>44133</v>
      </c>
    </row>
    <row r="823" spans="1:5" x14ac:dyDescent="0.25">
      <c r="A823">
        <v>822</v>
      </c>
      <c r="B823">
        <v>4</v>
      </c>
      <c r="C823">
        <v>822</v>
      </c>
      <c r="D823">
        <v>4</v>
      </c>
      <c r="E823" s="22">
        <v>44133</v>
      </c>
    </row>
    <row r="824" spans="1:5" x14ac:dyDescent="0.25">
      <c r="A824">
        <v>823</v>
      </c>
      <c r="B824">
        <v>39</v>
      </c>
      <c r="C824">
        <v>823</v>
      </c>
      <c r="D824">
        <v>4</v>
      </c>
      <c r="E824" s="22">
        <v>44133</v>
      </c>
    </row>
    <row r="825" spans="1:5" x14ac:dyDescent="0.25">
      <c r="A825">
        <v>824</v>
      </c>
      <c r="B825">
        <v>4</v>
      </c>
      <c r="C825">
        <v>824</v>
      </c>
      <c r="D825">
        <v>4</v>
      </c>
      <c r="E825" s="22">
        <v>44133</v>
      </c>
    </row>
    <row r="826" spans="1:5" x14ac:dyDescent="0.25">
      <c r="A826">
        <v>825</v>
      </c>
      <c r="B826">
        <v>4</v>
      </c>
      <c r="C826">
        <v>825</v>
      </c>
      <c r="D826">
        <v>4</v>
      </c>
      <c r="E826" s="22">
        <v>44133</v>
      </c>
    </row>
    <row r="827" spans="1:5" x14ac:dyDescent="0.25">
      <c r="A827">
        <v>826</v>
      </c>
      <c r="B827">
        <v>4</v>
      </c>
      <c r="C827">
        <v>826</v>
      </c>
      <c r="D827">
        <v>4</v>
      </c>
      <c r="E827" s="22">
        <v>44133</v>
      </c>
    </row>
    <row r="828" spans="1:5" x14ac:dyDescent="0.25">
      <c r="A828">
        <v>827</v>
      </c>
      <c r="B828">
        <v>4</v>
      </c>
      <c r="C828">
        <v>827</v>
      </c>
      <c r="D828">
        <v>4</v>
      </c>
      <c r="E828" s="22">
        <v>44133</v>
      </c>
    </row>
    <row r="829" spans="1:5" x14ac:dyDescent="0.25">
      <c r="A829">
        <v>828</v>
      </c>
      <c r="B829">
        <v>4</v>
      </c>
      <c r="C829">
        <v>828</v>
      </c>
      <c r="D829">
        <v>4</v>
      </c>
      <c r="E829" s="22">
        <v>44133</v>
      </c>
    </row>
    <row r="830" spans="1:5" x14ac:dyDescent="0.25">
      <c r="A830">
        <v>829</v>
      </c>
      <c r="B830">
        <v>4</v>
      </c>
      <c r="C830">
        <v>829</v>
      </c>
      <c r="D830">
        <v>4</v>
      </c>
      <c r="E830" s="22">
        <v>44133</v>
      </c>
    </row>
    <row r="831" spans="1:5" x14ac:dyDescent="0.25">
      <c r="A831">
        <v>830</v>
      </c>
      <c r="B831">
        <v>4</v>
      </c>
      <c r="C831">
        <v>830</v>
      </c>
      <c r="D831">
        <v>4</v>
      </c>
      <c r="E831" s="22">
        <v>44133</v>
      </c>
    </row>
    <row r="832" spans="1:5" x14ac:dyDescent="0.25">
      <c r="A832">
        <v>831</v>
      </c>
      <c r="B832">
        <v>4</v>
      </c>
      <c r="C832">
        <v>831</v>
      </c>
      <c r="D832">
        <v>4</v>
      </c>
      <c r="E832" s="22">
        <v>44133</v>
      </c>
    </row>
    <row r="833" spans="1:5" x14ac:dyDescent="0.25">
      <c r="A833">
        <v>832</v>
      </c>
      <c r="B833">
        <v>23</v>
      </c>
      <c r="C833">
        <v>832</v>
      </c>
      <c r="D833">
        <v>39</v>
      </c>
      <c r="E833" s="22">
        <v>44133</v>
      </c>
    </row>
    <row r="834" spans="1:5" x14ac:dyDescent="0.25">
      <c r="A834">
        <v>833</v>
      </c>
      <c r="B834">
        <v>23</v>
      </c>
      <c r="C834">
        <v>833</v>
      </c>
      <c r="D834">
        <v>39</v>
      </c>
      <c r="E834" s="22">
        <v>44133</v>
      </c>
    </row>
    <row r="835" spans="1:5" x14ac:dyDescent="0.25">
      <c r="A835">
        <v>834</v>
      </c>
      <c r="B835">
        <v>23</v>
      </c>
      <c r="C835">
        <v>834</v>
      </c>
      <c r="D835">
        <v>39</v>
      </c>
      <c r="E835" s="22">
        <v>44133</v>
      </c>
    </row>
    <row r="836" spans="1:5" x14ac:dyDescent="0.25">
      <c r="A836">
        <v>835</v>
      </c>
      <c r="B836">
        <v>23</v>
      </c>
      <c r="C836">
        <v>835</v>
      </c>
      <c r="D836">
        <v>39</v>
      </c>
      <c r="E836" s="22">
        <v>44133</v>
      </c>
    </row>
    <row r="837" spans="1:5" x14ac:dyDescent="0.25">
      <c r="A837">
        <v>836</v>
      </c>
      <c r="B837">
        <v>23</v>
      </c>
      <c r="C837">
        <v>836</v>
      </c>
      <c r="D837">
        <v>39</v>
      </c>
      <c r="E837" s="22">
        <v>44133</v>
      </c>
    </row>
    <row r="838" spans="1:5" x14ac:dyDescent="0.25">
      <c r="A838">
        <v>837</v>
      </c>
      <c r="B838">
        <v>23</v>
      </c>
      <c r="C838">
        <v>837</v>
      </c>
      <c r="D838">
        <v>39</v>
      </c>
      <c r="E838" s="22">
        <v>44133</v>
      </c>
    </row>
    <row r="839" spans="1:5" x14ac:dyDescent="0.25">
      <c r="A839">
        <v>838</v>
      </c>
      <c r="B839">
        <v>23</v>
      </c>
      <c r="C839">
        <v>838</v>
      </c>
      <c r="D839">
        <v>39</v>
      </c>
      <c r="E839" s="22">
        <v>44133</v>
      </c>
    </row>
    <row r="840" spans="1:5" x14ac:dyDescent="0.25">
      <c r="A840">
        <v>839</v>
      </c>
      <c r="B840">
        <v>23</v>
      </c>
      <c r="C840">
        <v>839</v>
      </c>
      <c r="D840">
        <v>39</v>
      </c>
      <c r="E840" s="22">
        <v>44133</v>
      </c>
    </row>
    <row r="841" spans="1:5" x14ac:dyDescent="0.25">
      <c r="A841">
        <v>840</v>
      </c>
      <c r="B841">
        <v>23</v>
      </c>
      <c r="C841">
        <v>840</v>
      </c>
      <c r="D841">
        <v>39</v>
      </c>
      <c r="E841" s="22">
        <v>44133</v>
      </c>
    </row>
    <row r="842" spans="1:5" x14ac:dyDescent="0.25">
      <c r="A842">
        <v>841</v>
      </c>
      <c r="B842">
        <v>23</v>
      </c>
      <c r="C842">
        <v>841</v>
      </c>
      <c r="D842">
        <v>39</v>
      </c>
      <c r="E842" s="22">
        <v>44133</v>
      </c>
    </row>
    <row r="843" spans="1:5" x14ac:dyDescent="0.25">
      <c r="A843">
        <v>842</v>
      </c>
      <c r="B843">
        <v>23</v>
      </c>
      <c r="C843">
        <v>842</v>
      </c>
      <c r="D843">
        <v>39</v>
      </c>
      <c r="E843" s="22">
        <v>44133</v>
      </c>
    </row>
    <row r="844" spans="1:5" x14ac:dyDescent="0.25">
      <c r="A844">
        <v>843</v>
      </c>
      <c r="B844">
        <v>23</v>
      </c>
      <c r="C844">
        <v>843</v>
      </c>
      <c r="D844">
        <v>39</v>
      </c>
      <c r="E844" s="22">
        <v>44133</v>
      </c>
    </row>
    <row r="845" spans="1:5" x14ac:dyDescent="0.25">
      <c r="A845">
        <v>844</v>
      </c>
      <c r="B845">
        <v>23</v>
      </c>
      <c r="C845">
        <v>844</v>
      </c>
      <c r="D845">
        <v>39</v>
      </c>
      <c r="E845" s="22">
        <v>44133</v>
      </c>
    </row>
    <row r="846" spans="1:5" x14ac:dyDescent="0.25">
      <c r="A846">
        <v>845</v>
      </c>
      <c r="B846">
        <v>23</v>
      </c>
      <c r="C846">
        <v>845</v>
      </c>
      <c r="D846">
        <v>39</v>
      </c>
      <c r="E846" s="22">
        <v>44133</v>
      </c>
    </row>
    <row r="847" spans="1:5" x14ac:dyDescent="0.25">
      <c r="A847">
        <v>846</v>
      </c>
      <c r="B847">
        <v>23</v>
      </c>
      <c r="C847">
        <v>846</v>
      </c>
      <c r="D847">
        <v>39</v>
      </c>
      <c r="E847" s="22">
        <v>44133</v>
      </c>
    </row>
    <row r="848" spans="1:5" x14ac:dyDescent="0.25">
      <c r="A848">
        <v>847</v>
      </c>
      <c r="B848">
        <v>23</v>
      </c>
      <c r="C848">
        <v>847</v>
      </c>
      <c r="D848">
        <v>39</v>
      </c>
      <c r="E848" s="22">
        <v>44133</v>
      </c>
    </row>
    <row r="849" spans="1:5" x14ac:dyDescent="0.25">
      <c r="A849">
        <v>848</v>
      </c>
      <c r="B849">
        <v>23</v>
      </c>
      <c r="C849">
        <v>848</v>
      </c>
      <c r="D849">
        <v>39</v>
      </c>
      <c r="E849" s="22">
        <v>44133</v>
      </c>
    </row>
    <row r="850" spans="1:5" x14ac:dyDescent="0.25">
      <c r="A850">
        <v>849</v>
      </c>
      <c r="B850">
        <v>23</v>
      </c>
      <c r="C850">
        <v>849</v>
      </c>
      <c r="D850">
        <v>39</v>
      </c>
      <c r="E850" s="22">
        <v>44133</v>
      </c>
    </row>
    <row r="851" spans="1:5" x14ac:dyDescent="0.25">
      <c r="A851">
        <v>850</v>
      </c>
      <c r="B851">
        <v>23</v>
      </c>
      <c r="C851">
        <v>850</v>
      </c>
      <c r="D851">
        <v>39</v>
      </c>
      <c r="E851" s="22">
        <v>44133</v>
      </c>
    </row>
    <row r="852" spans="1:5" x14ac:dyDescent="0.25">
      <c r="A852">
        <v>851</v>
      </c>
      <c r="B852">
        <v>23</v>
      </c>
      <c r="C852">
        <v>851</v>
      </c>
      <c r="D852">
        <v>39</v>
      </c>
      <c r="E852" s="22">
        <v>44133</v>
      </c>
    </row>
    <row r="853" spans="1:5" x14ac:dyDescent="0.25">
      <c r="A853">
        <v>852</v>
      </c>
      <c r="B853">
        <v>23</v>
      </c>
      <c r="C853">
        <v>852</v>
      </c>
      <c r="D853">
        <v>39</v>
      </c>
      <c r="E853" s="22">
        <v>44133</v>
      </c>
    </row>
    <row r="854" spans="1:5" x14ac:dyDescent="0.25">
      <c r="A854">
        <v>853</v>
      </c>
      <c r="B854">
        <v>23</v>
      </c>
      <c r="C854">
        <v>853</v>
      </c>
      <c r="D854">
        <v>39</v>
      </c>
      <c r="E854" s="22">
        <v>44133</v>
      </c>
    </row>
    <row r="855" spans="1:5" x14ac:dyDescent="0.25">
      <c r="A855">
        <v>854</v>
      </c>
      <c r="B855">
        <v>23</v>
      </c>
      <c r="C855">
        <v>854</v>
      </c>
      <c r="D855">
        <v>39</v>
      </c>
      <c r="E855" s="22">
        <v>44133</v>
      </c>
    </row>
    <row r="856" spans="1:5" x14ac:dyDescent="0.25">
      <c r="A856">
        <v>855</v>
      </c>
      <c r="B856">
        <v>23</v>
      </c>
      <c r="C856">
        <v>855</v>
      </c>
      <c r="D856">
        <v>39</v>
      </c>
      <c r="E856" s="22">
        <v>44133</v>
      </c>
    </row>
    <row r="857" spans="1:5" x14ac:dyDescent="0.25">
      <c r="A857">
        <v>856</v>
      </c>
      <c r="B857">
        <v>23</v>
      </c>
      <c r="C857">
        <v>856</v>
      </c>
      <c r="D857">
        <v>39</v>
      </c>
      <c r="E857" s="22">
        <v>44133</v>
      </c>
    </row>
    <row r="858" spans="1:5" x14ac:dyDescent="0.25">
      <c r="A858">
        <v>857</v>
      </c>
      <c r="B858">
        <v>23</v>
      </c>
      <c r="C858">
        <v>857</v>
      </c>
      <c r="D858">
        <v>39</v>
      </c>
      <c r="E858" s="22">
        <v>44133</v>
      </c>
    </row>
    <row r="859" spans="1:5" x14ac:dyDescent="0.25">
      <c r="A859">
        <v>858</v>
      </c>
      <c r="B859">
        <v>23</v>
      </c>
      <c r="C859">
        <v>858</v>
      </c>
      <c r="D859">
        <v>39</v>
      </c>
      <c r="E859" s="22">
        <v>44133</v>
      </c>
    </row>
    <row r="860" spans="1:5" x14ac:dyDescent="0.25">
      <c r="A860">
        <v>859</v>
      </c>
      <c r="B860">
        <v>23</v>
      </c>
      <c r="C860">
        <v>859</v>
      </c>
      <c r="D860">
        <v>39</v>
      </c>
      <c r="E860" s="22">
        <v>44133</v>
      </c>
    </row>
    <row r="861" spans="1:5" x14ac:dyDescent="0.25">
      <c r="A861">
        <v>860</v>
      </c>
      <c r="B861">
        <v>23</v>
      </c>
      <c r="C861">
        <v>860</v>
      </c>
      <c r="D861">
        <v>39</v>
      </c>
      <c r="E861" s="22">
        <v>44133</v>
      </c>
    </row>
    <row r="862" spans="1:5" x14ac:dyDescent="0.25">
      <c r="A862">
        <v>861</v>
      </c>
      <c r="B862">
        <v>23</v>
      </c>
      <c r="C862">
        <v>861</v>
      </c>
      <c r="D862">
        <v>39</v>
      </c>
      <c r="E862" s="22">
        <v>44133</v>
      </c>
    </row>
    <row r="863" spans="1:5" x14ac:dyDescent="0.25">
      <c r="A863">
        <v>862</v>
      </c>
      <c r="B863">
        <v>23</v>
      </c>
      <c r="C863">
        <v>862</v>
      </c>
      <c r="D863">
        <v>39</v>
      </c>
      <c r="E863" s="22">
        <v>44133</v>
      </c>
    </row>
    <row r="864" spans="1:5" x14ac:dyDescent="0.25">
      <c r="A864">
        <v>863</v>
      </c>
      <c r="B864">
        <v>23</v>
      </c>
      <c r="C864">
        <v>863</v>
      </c>
      <c r="D864">
        <v>39</v>
      </c>
      <c r="E864" s="22">
        <v>44133</v>
      </c>
    </row>
    <row r="865" spans="1:5" x14ac:dyDescent="0.25">
      <c r="A865">
        <v>864</v>
      </c>
      <c r="B865">
        <v>23</v>
      </c>
      <c r="C865">
        <v>864</v>
      </c>
      <c r="D865">
        <v>39</v>
      </c>
      <c r="E865" s="22">
        <v>44133</v>
      </c>
    </row>
    <row r="866" spans="1:5" x14ac:dyDescent="0.25">
      <c r="A866">
        <v>865</v>
      </c>
      <c r="B866">
        <v>23</v>
      </c>
      <c r="C866">
        <v>865</v>
      </c>
      <c r="D866">
        <v>39</v>
      </c>
      <c r="E866" s="22">
        <v>44133</v>
      </c>
    </row>
    <row r="867" spans="1:5" x14ac:dyDescent="0.25">
      <c r="A867">
        <v>866</v>
      </c>
      <c r="B867">
        <v>23</v>
      </c>
      <c r="C867">
        <v>866</v>
      </c>
      <c r="D867">
        <v>39</v>
      </c>
      <c r="E867" s="22">
        <v>44133</v>
      </c>
    </row>
    <row r="868" spans="1:5" x14ac:dyDescent="0.25">
      <c r="A868">
        <v>867</v>
      </c>
      <c r="B868">
        <v>23</v>
      </c>
      <c r="C868">
        <v>867</v>
      </c>
      <c r="D868">
        <v>39</v>
      </c>
      <c r="E868" s="22">
        <v>44133</v>
      </c>
    </row>
    <row r="869" spans="1:5" x14ac:dyDescent="0.25">
      <c r="A869">
        <v>868</v>
      </c>
      <c r="B869">
        <v>23</v>
      </c>
      <c r="C869">
        <v>868</v>
      </c>
      <c r="D869">
        <v>39</v>
      </c>
      <c r="E869" s="22">
        <v>44133</v>
      </c>
    </row>
    <row r="870" spans="1:5" x14ac:dyDescent="0.25">
      <c r="A870">
        <v>869</v>
      </c>
      <c r="B870">
        <v>23</v>
      </c>
      <c r="C870">
        <v>869</v>
      </c>
      <c r="D870">
        <v>39</v>
      </c>
      <c r="E870" s="22">
        <v>44133</v>
      </c>
    </row>
    <row r="871" spans="1:5" x14ac:dyDescent="0.25">
      <c r="A871">
        <v>870</v>
      </c>
      <c r="B871">
        <v>23</v>
      </c>
      <c r="C871">
        <v>870</v>
      </c>
      <c r="D871">
        <v>39</v>
      </c>
      <c r="E871" s="22">
        <v>44133</v>
      </c>
    </row>
    <row r="872" spans="1:5" x14ac:dyDescent="0.25">
      <c r="A872">
        <v>871</v>
      </c>
      <c r="B872">
        <v>23</v>
      </c>
      <c r="C872">
        <v>871</v>
      </c>
      <c r="D872">
        <v>39</v>
      </c>
      <c r="E872" s="22">
        <v>44133</v>
      </c>
    </row>
    <row r="873" spans="1:5" x14ac:dyDescent="0.25">
      <c r="A873">
        <v>872</v>
      </c>
      <c r="B873">
        <v>4</v>
      </c>
      <c r="C873">
        <v>872</v>
      </c>
      <c r="D873">
        <v>4</v>
      </c>
      <c r="E873" s="22">
        <v>44133</v>
      </c>
    </row>
    <row r="874" spans="1:5" x14ac:dyDescent="0.25">
      <c r="A874">
        <v>873</v>
      </c>
      <c r="B874">
        <v>4</v>
      </c>
      <c r="C874">
        <v>873</v>
      </c>
      <c r="D874">
        <v>4</v>
      </c>
      <c r="E874" s="22">
        <v>44133</v>
      </c>
    </row>
    <row r="875" spans="1:5" x14ac:dyDescent="0.25">
      <c r="A875">
        <v>874</v>
      </c>
      <c r="B875">
        <v>9</v>
      </c>
      <c r="C875">
        <v>874</v>
      </c>
      <c r="D875">
        <v>4</v>
      </c>
      <c r="E875" s="22">
        <v>44133</v>
      </c>
    </row>
    <row r="876" spans="1:5" x14ac:dyDescent="0.25">
      <c r="A876">
        <v>875</v>
      </c>
      <c r="B876">
        <v>4</v>
      </c>
      <c r="C876">
        <v>875</v>
      </c>
      <c r="D876">
        <v>4</v>
      </c>
      <c r="E876" s="22">
        <v>44133</v>
      </c>
    </row>
    <row r="877" spans="1:5" x14ac:dyDescent="0.25">
      <c r="A877">
        <v>876</v>
      </c>
      <c r="B877">
        <v>8</v>
      </c>
      <c r="C877">
        <v>876</v>
      </c>
      <c r="D877">
        <v>4</v>
      </c>
      <c r="E877" s="22">
        <v>44133</v>
      </c>
    </row>
    <row r="878" spans="1:5" x14ac:dyDescent="0.25">
      <c r="A878">
        <v>877</v>
      </c>
      <c r="B878">
        <v>39</v>
      </c>
      <c r="C878">
        <v>877</v>
      </c>
      <c r="D878">
        <v>39</v>
      </c>
      <c r="E878" s="22">
        <v>44133</v>
      </c>
    </row>
    <row r="879" spans="1:5" x14ac:dyDescent="0.25">
      <c r="A879">
        <v>878</v>
      </c>
      <c r="B879">
        <v>30</v>
      </c>
      <c r="C879">
        <v>878</v>
      </c>
      <c r="D879">
        <v>39</v>
      </c>
      <c r="E879" s="22">
        <v>44133</v>
      </c>
    </row>
    <row r="880" spans="1:5" x14ac:dyDescent="0.25">
      <c r="A880">
        <v>879</v>
      </c>
      <c r="B880">
        <v>9</v>
      </c>
      <c r="C880">
        <v>879</v>
      </c>
      <c r="D880">
        <v>39</v>
      </c>
      <c r="E880" s="22">
        <v>44133</v>
      </c>
    </row>
    <row r="881" spans="1:5" x14ac:dyDescent="0.25">
      <c r="A881">
        <v>880</v>
      </c>
      <c r="B881">
        <v>26</v>
      </c>
      <c r="C881">
        <v>880</v>
      </c>
      <c r="D881">
        <v>39</v>
      </c>
      <c r="E881" s="22">
        <v>44133</v>
      </c>
    </row>
    <row r="882" spans="1:5" x14ac:dyDescent="0.25">
      <c r="A882">
        <v>881</v>
      </c>
      <c r="B882">
        <v>18</v>
      </c>
      <c r="C882">
        <v>881</v>
      </c>
      <c r="D882">
        <v>39</v>
      </c>
      <c r="E882" s="22">
        <v>44133</v>
      </c>
    </row>
    <row r="883" spans="1:5" x14ac:dyDescent="0.25">
      <c r="A883">
        <v>882</v>
      </c>
      <c r="B883">
        <v>30</v>
      </c>
      <c r="C883">
        <v>882</v>
      </c>
      <c r="D883">
        <v>39</v>
      </c>
      <c r="E883" s="22">
        <v>44133</v>
      </c>
    </row>
    <row r="884" spans="1:5" x14ac:dyDescent="0.25">
      <c r="A884">
        <v>883</v>
      </c>
      <c r="B884">
        <v>25</v>
      </c>
      <c r="C884">
        <v>883</v>
      </c>
      <c r="D884">
        <v>39</v>
      </c>
      <c r="E884" s="22">
        <v>44133</v>
      </c>
    </row>
    <row r="885" spans="1:5" x14ac:dyDescent="0.25">
      <c r="A885">
        <v>884</v>
      </c>
      <c r="B885">
        <v>26</v>
      </c>
      <c r="C885">
        <v>884</v>
      </c>
      <c r="D885">
        <v>39</v>
      </c>
      <c r="E885" s="22">
        <v>44133</v>
      </c>
    </row>
    <row r="886" spans="1:5" x14ac:dyDescent="0.25">
      <c r="A886">
        <v>885</v>
      </c>
      <c r="B886">
        <v>4</v>
      </c>
      <c r="C886">
        <v>885</v>
      </c>
      <c r="D886">
        <v>39</v>
      </c>
      <c r="E886" s="22">
        <v>44133</v>
      </c>
    </row>
    <row r="887" spans="1:5" x14ac:dyDescent="0.25">
      <c r="A887">
        <v>886</v>
      </c>
      <c r="B887">
        <v>4</v>
      </c>
      <c r="C887">
        <v>886</v>
      </c>
      <c r="D887">
        <v>39</v>
      </c>
      <c r="E887" s="22">
        <v>44133</v>
      </c>
    </row>
    <row r="888" spans="1:5" x14ac:dyDescent="0.25">
      <c r="A888">
        <v>887</v>
      </c>
      <c r="B888">
        <v>15</v>
      </c>
      <c r="C888">
        <v>887</v>
      </c>
      <c r="D888">
        <v>39</v>
      </c>
      <c r="E888" s="22">
        <v>44133</v>
      </c>
    </row>
    <row r="889" spans="1:5" x14ac:dyDescent="0.25">
      <c r="A889">
        <v>888</v>
      </c>
      <c r="B889">
        <v>23</v>
      </c>
      <c r="C889">
        <v>888</v>
      </c>
      <c r="D889">
        <v>39</v>
      </c>
      <c r="E889" s="22">
        <v>44133</v>
      </c>
    </row>
    <row r="890" spans="1:5" x14ac:dyDescent="0.25">
      <c r="A890">
        <v>889</v>
      </c>
      <c r="B890">
        <v>37</v>
      </c>
      <c r="C890">
        <v>889</v>
      </c>
      <c r="D890">
        <v>39</v>
      </c>
      <c r="E890" s="22">
        <v>44133</v>
      </c>
    </row>
    <row r="891" spans="1:5" x14ac:dyDescent="0.25">
      <c r="A891">
        <v>890</v>
      </c>
      <c r="B891">
        <v>8</v>
      </c>
      <c r="C891">
        <v>890</v>
      </c>
      <c r="D891">
        <v>39</v>
      </c>
      <c r="E891" s="22">
        <v>44133</v>
      </c>
    </row>
    <row r="892" spans="1:5" x14ac:dyDescent="0.25">
      <c r="A892">
        <v>891</v>
      </c>
      <c r="B892">
        <v>39</v>
      </c>
      <c r="C892">
        <v>891</v>
      </c>
      <c r="D892">
        <v>4</v>
      </c>
      <c r="E892" s="22">
        <v>44133</v>
      </c>
    </row>
    <row r="893" spans="1:5" x14ac:dyDescent="0.25">
      <c r="A893">
        <v>892</v>
      </c>
      <c r="B893">
        <v>39</v>
      </c>
      <c r="C893">
        <v>892</v>
      </c>
      <c r="D893">
        <v>4</v>
      </c>
      <c r="E893" s="22">
        <v>44133</v>
      </c>
    </row>
    <row r="894" spans="1:5" x14ac:dyDescent="0.25">
      <c r="A894">
        <v>893</v>
      </c>
      <c r="B894">
        <v>39</v>
      </c>
      <c r="C894">
        <v>893</v>
      </c>
      <c r="D894">
        <v>4</v>
      </c>
      <c r="E894" s="22">
        <v>44133</v>
      </c>
    </row>
    <row r="895" spans="1:5" x14ac:dyDescent="0.25">
      <c r="A895">
        <v>894</v>
      </c>
      <c r="B895">
        <v>39</v>
      </c>
      <c r="C895">
        <v>894</v>
      </c>
      <c r="D895">
        <v>4</v>
      </c>
      <c r="E895" s="22">
        <v>44133</v>
      </c>
    </row>
    <row r="896" spans="1:5" x14ac:dyDescent="0.25">
      <c r="A896">
        <v>895</v>
      </c>
      <c r="B896">
        <v>39</v>
      </c>
      <c r="C896">
        <v>895</v>
      </c>
      <c r="D896">
        <v>4</v>
      </c>
      <c r="E896" s="22">
        <v>44133</v>
      </c>
    </row>
    <row r="897" spans="1:5" x14ac:dyDescent="0.25">
      <c r="A897">
        <v>896</v>
      </c>
      <c r="B897">
        <v>9</v>
      </c>
      <c r="C897">
        <v>896</v>
      </c>
      <c r="D897">
        <v>4</v>
      </c>
      <c r="E897" s="22">
        <v>44133</v>
      </c>
    </row>
    <row r="898" spans="1:5" x14ac:dyDescent="0.25">
      <c r="A898">
        <v>897</v>
      </c>
      <c r="B898">
        <v>39</v>
      </c>
      <c r="C898">
        <v>897</v>
      </c>
      <c r="D898">
        <v>4</v>
      </c>
      <c r="E898" s="22">
        <v>44133</v>
      </c>
    </row>
    <row r="899" spans="1:5" x14ac:dyDescent="0.25">
      <c r="A899">
        <v>898</v>
      </c>
      <c r="B899">
        <v>39</v>
      </c>
      <c r="C899">
        <v>898</v>
      </c>
      <c r="D899">
        <v>4</v>
      </c>
      <c r="E899" s="22">
        <v>44133</v>
      </c>
    </row>
    <row r="900" spans="1:5" x14ac:dyDescent="0.25">
      <c r="A900">
        <v>899</v>
      </c>
      <c r="B900">
        <v>39</v>
      </c>
      <c r="C900">
        <v>899</v>
      </c>
      <c r="D900">
        <v>4</v>
      </c>
      <c r="E900" s="22">
        <v>44133</v>
      </c>
    </row>
    <row r="901" spans="1:5" x14ac:dyDescent="0.25">
      <c r="A901">
        <v>900</v>
      </c>
      <c r="B901">
        <v>4</v>
      </c>
      <c r="C901">
        <v>900</v>
      </c>
      <c r="D901">
        <v>4</v>
      </c>
      <c r="E901" s="22">
        <v>44133</v>
      </c>
    </row>
    <row r="902" spans="1:5" x14ac:dyDescent="0.25">
      <c r="A902">
        <v>901</v>
      </c>
      <c r="B902">
        <v>26</v>
      </c>
      <c r="C902">
        <v>901</v>
      </c>
      <c r="D902">
        <v>4</v>
      </c>
      <c r="E902" s="22">
        <v>44133</v>
      </c>
    </row>
    <row r="903" spans="1:5" x14ac:dyDescent="0.25">
      <c r="A903">
        <v>902</v>
      </c>
      <c r="B903">
        <v>4</v>
      </c>
      <c r="C903">
        <v>902</v>
      </c>
      <c r="D903">
        <v>4</v>
      </c>
      <c r="E903" s="22">
        <v>44133</v>
      </c>
    </row>
    <row r="904" spans="1:5" x14ac:dyDescent="0.25">
      <c r="A904">
        <v>903</v>
      </c>
      <c r="B904">
        <v>4</v>
      </c>
      <c r="C904">
        <v>903</v>
      </c>
      <c r="D904">
        <v>4</v>
      </c>
      <c r="E904" s="22">
        <v>44133</v>
      </c>
    </row>
    <row r="905" spans="1:5" x14ac:dyDescent="0.25">
      <c r="A905">
        <v>904</v>
      </c>
      <c r="B905">
        <v>4</v>
      </c>
      <c r="C905">
        <v>904</v>
      </c>
      <c r="D905">
        <v>4</v>
      </c>
      <c r="E905" s="22">
        <v>44133</v>
      </c>
    </row>
    <row r="906" spans="1:5" x14ac:dyDescent="0.25">
      <c r="A906">
        <v>905</v>
      </c>
      <c r="B906">
        <v>4</v>
      </c>
      <c r="C906">
        <v>905</v>
      </c>
      <c r="D906">
        <v>4</v>
      </c>
      <c r="E906" s="22">
        <v>44133</v>
      </c>
    </row>
    <row r="907" spans="1:5" x14ac:dyDescent="0.25">
      <c r="A907">
        <v>906</v>
      </c>
      <c r="B907">
        <v>4</v>
      </c>
      <c r="C907">
        <v>906</v>
      </c>
      <c r="D907">
        <v>4</v>
      </c>
      <c r="E907" s="22">
        <v>44133</v>
      </c>
    </row>
    <row r="908" spans="1:5" x14ac:dyDescent="0.25">
      <c r="A908">
        <v>907</v>
      </c>
      <c r="B908">
        <v>4</v>
      </c>
      <c r="C908">
        <v>907</v>
      </c>
      <c r="D908">
        <v>4</v>
      </c>
      <c r="E908" s="22">
        <v>44133</v>
      </c>
    </row>
    <row r="909" spans="1:5" x14ac:dyDescent="0.25">
      <c r="A909">
        <v>908</v>
      </c>
      <c r="B909">
        <v>4</v>
      </c>
      <c r="C909">
        <v>908</v>
      </c>
      <c r="D909">
        <v>4</v>
      </c>
      <c r="E909" s="22">
        <v>44133</v>
      </c>
    </row>
    <row r="910" spans="1:5" x14ac:dyDescent="0.25">
      <c r="A910">
        <v>909</v>
      </c>
      <c r="B910">
        <v>4</v>
      </c>
      <c r="C910">
        <v>909</v>
      </c>
      <c r="D910">
        <v>4</v>
      </c>
      <c r="E910" s="22">
        <v>44133</v>
      </c>
    </row>
    <row r="911" spans="1:5" x14ac:dyDescent="0.25">
      <c r="A911">
        <v>910</v>
      </c>
      <c r="B911">
        <v>4</v>
      </c>
      <c r="C911">
        <v>910</v>
      </c>
      <c r="D911">
        <v>4</v>
      </c>
      <c r="E911" s="22">
        <v>44133</v>
      </c>
    </row>
    <row r="912" spans="1:5" x14ac:dyDescent="0.25">
      <c r="A912">
        <v>911</v>
      </c>
      <c r="B912">
        <v>4</v>
      </c>
      <c r="C912">
        <v>911</v>
      </c>
      <c r="D912">
        <v>4</v>
      </c>
      <c r="E912" s="22">
        <v>44133</v>
      </c>
    </row>
    <row r="913" spans="1:5" x14ac:dyDescent="0.25">
      <c r="A913">
        <v>912</v>
      </c>
      <c r="B913">
        <v>9</v>
      </c>
      <c r="C913">
        <v>912</v>
      </c>
      <c r="D913">
        <v>39</v>
      </c>
      <c r="E913" s="22">
        <v>44133</v>
      </c>
    </row>
    <row r="914" spans="1:5" x14ac:dyDescent="0.25">
      <c r="A914">
        <v>913</v>
      </c>
      <c r="B914">
        <v>39</v>
      </c>
      <c r="C914">
        <v>913</v>
      </c>
      <c r="D914">
        <v>39</v>
      </c>
      <c r="E914" s="22">
        <v>44133</v>
      </c>
    </row>
    <row r="915" spans="1:5" x14ac:dyDescent="0.25">
      <c r="A915">
        <v>914</v>
      </c>
      <c r="B915">
        <v>4</v>
      </c>
      <c r="C915">
        <v>914</v>
      </c>
      <c r="D915">
        <v>39</v>
      </c>
      <c r="E915" s="22">
        <v>44133</v>
      </c>
    </row>
    <row r="916" spans="1:5" x14ac:dyDescent="0.25">
      <c r="A916">
        <v>915</v>
      </c>
      <c r="B916">
        <v>25</v>
      </c>
      <c r="C916">
        <v>915</v>
      </c>
      <c r="D916">
        <v>4</v>
      </c>
      <c r="E916" s="22">
        <v>44133</v>
      </c>
    </row>
    <row r="917" spans="1:5" x14ac:dyDescent="0.25">
      <c r="A917">
        <v>916</v>
      </c>
      <c r="B917">
        <v>39</v>
      </c>
      <c r="C917">
        <v>916</v>
      </c>
      <c r="D917">
        <v>4</v>
      </c>
      <c r="E917" s="22">
        <v>44133</v>
      </c>
    </row>
    <row r="918" spans="1:5" x14ac:dyDescent="0.25">
      <c r="A918">
        <v>917</v>
      </c>
      <c r="B918">
        <v>39</v>
      </c>
      <c r="C918">
        <v>917</v>
      </c>
      <c r="D918">
        <v>4</v>
      </c>
      <c r="E918" s="22">
        <v>44133</v>
      </c>
    </row>
    <row r="919" spans="1:5" x14ac:dyDescent="0.25">
      <c r="A919">
        <v>918</v>
      </c>
      <c r="B919">
        <v>30</v>
      </c>
      <c r="C919">
        <v>918</v>
      </c>
      <c r="D919">
        <v>39</v>
      </c>
      <c r="E919" s="22">
        <v>44133</v>
      </c>
    </row>
    <row r="920" spans="1:5" x14ac:dyDescent="0.25">
      <c r="A920">
        <v>919</v>
      </c>
      <c r="B920">
        <v>30</v>
      </c>
      <c r="C920">
        <v>919</v>
      </c>
      <c r="D920">
        <v>39</v>
      </c>
      <c r="E920" s="22">
        <v>44133</v>
      </c>
    </row>
    <row r="921" spans="1:5" x14ac:dyDescent="0.25">
      <c r="A921">
        <v>920</v>
      </c>
      <c r="B921">
        <v>30</v>
      </c>
      <c r="C921">
        <v>920</v>
      </c>
      <c r="D921">
        <v>39</v>
      </c>
      <c r="E921" s="22">
        <v>44133</v>
      </c>
    </row>
    <row r="922" spans="1:5" x14ac:dyDescent="0.25">
      <c r="A922">
        <v>921</v>
      </c>
      <c r="B922">
        <v>30</v>
      </c>
      <c r="C922">
        <v>921</v>
      </c>
      <c r="D922">
        <v>39</v>
      </c>
      <c r="E922" s="22">
        <v>44133</v>
      </c>
    </row>
    <row r="923" spans="1:5" x14ac:dyDescent="0.25">
      <c r="A923">
        <v>922</v>
      </c>
      <c r="B923">
        <v>30</v>
      </c>
      <c r="C923">
        <v>922</v>
      </c>
      <c r="D923">
        <v>39</v>
      </c>
      <c r="E923" s="22">
        <v>44133</v>
      </c>
    </row>
    <row r="924" spans="1:5" x14ac:dyDescent="0.25">
      <c r="A924">
        <v>923</v>
      </c>
      <c r="B924">
        <v>30</v>
      </c>
      <c r="C924">
        <v>923</v>
      </c>
      <c r="D924">
        <v>39</v>
      </c>
      <c r="E924" s="22">
        <v>44133</v>
      </c>
    </row>
    <row r="925" spans="1:5" x14ac:dyDescent="0.25">
      <c r="A925">
        <v>924</v>
      </c>
      <c r="B925">
        <v>30</v>
      </c>
      <c r="C925">
        <v>924</v>
      </c>
      <c r="D925">
        <v>39</v>
      </c>
      <c r="E925" s="22">
        <v>44133</v>
      </c>
    </row>
    <row r="926" spans="1:5" x14ac:dyDescent="0.25">
      <c r="A926">
        <v>925</v>
      </c>
      <c r="B926">
        <v>4</v>
      </c>
      <c r="C926">
        <v>925</v>
      </c>
      <c r="D926">
        <v>39</v>
      </c>
      <c r="E926" s="22">
        <v>44133</v>
      </c>
    </row>
    <row r="927" spans="1:5" x14ac:dyDescent="0.25">
      <c r="A927">
        <v>926</v>
      </c>
      <c r="B927">
        <v>30</v>
      </c>
      <c r="C927">
        <v>926</v>
      </c>
      <c r="D927">
        <v>39</v>
      </c>
      <c r="E927" s="22">
        <v>44133</v>
      </c>
    </row>
    <row r="928" spans="1:5" x14ac:dyDescent="0.25">
      <c r="A928">
        <v>927</v>
      </c>
      <c r="B928">
        <v>30</v>
      </c>
      <c r="C928">
        <v>927</v>
      </c>
      <c r="D928">
        <v>4</v>
      </c>
      <c r="E928" s="22">
        <v>44133</v>
      </c>
    </row>
    <row r="929" spans="1:5" x14ac:dyDescent="0.25">
      <c r="A929">
        <v>928</v>
      </c>
      <c r="B929">
        <v>9</v>
      </c>
      <c r="C929">
        <v>928</v>
      </c>
      <c r="D929">
        <v>4</v>
      </c>
      <c r="E929" s="22">
        <v>44133</v>
      </c>
    </row>
    <row r="930" spans="1:5" x14ac:dyDescent="0.25">
      <c r="A930">
        <v>929</v>
      </c>
      <c r="B930">
        <v>9</v>
      </c>
      <c r="C930">
        <v>929</v>
      </c>
      <c r="D930">
        <v>39</v>
      </c>
      <c r="E930" s="22">
        <v>44133</v>
      </c>
    </row>
    <row r="931" spans="1:5" x14ac:dyDescent="0.25">
      <c r="A931">
        <v>930</v>
      </c>
      <c r="B931">
        <v>9</v>
      </c>
      <c r="C931">
        <v>930</v>
      </c>
      <c r="D931">
        <v>39</v>
      </c>
      <c r="E931" s="22">
        <v>44133</v>
      </c>
    </row>
    <row r="932" spans="1:5" x14ac:dyDescent="0.25">
      <c r="A932">
        <v>931</v>
      </c>
      <c r="B932">
        <v>26</v>
      </c>
      <c r="C932">
        <v>931</v>
      </c>
      <c r="D932">
        <v>39</v>
      </c>
      <c r="E932" s="22">
        <v>44133</v>
      </c>
    </row>
    <row r="933" spans="1:5" x14ac:dyDescent="0.25">
      <c r="A933">
        <v>932</v>
      </c>
      <c r="B933">
        <v>39</v>
      </c>
      <c r="C933">
        <v>932</v>
      </c>
      <c r="D933">
        <v>39</v>
      </c>
      <c r="E933" s="22">
        <v>44133</v>
      </c>
    </row>
    <row r="934" spans="1:5" x14ac:dyDescent="0.25">
      <c r="A934">
        <v>933</v>
      </c>
      <c r="B934">
        <v>9</v>
      </c>
      <c r="C934">
        <v>933</v>
      </c>
      <c r="D934">
        <v>39</v>
      </c>
      <c r="E934" s="22">
        <v>44133</v>
      </c>
    </row>
    <row r="935" spans="1:5" x14ac:dyDescent="0.25">
      <c r="A935">
        <v>934</v>
      </c>
      <c r="B935">
        <v>9</v>
      </c>
      <c r="C935">
        <v>934</v>
      </c>
      <c r="D935">
        <v>39</v>
      </c>
      <c r="E935" s="22">
        <v>44133</v>
      </c>
    </row>
    <row r="936" spans="1:5" x14ac:dyDescent="0.25">
      <c r="A936">
        <v>935</v>
      </c>
      <c r="B936">
        <v>9</v>
      </c>
      <c r="C936">
        <v>935</v>
      </c>
      <c r="D936">
        <v>39</v>
      </c>
      <c r="E936" s="22">
        <v>44133</v>
      </c>
    </row>
    <row r="937" spans="1:5" x14ac:dyDescent="0.25">
      <c r="A937">
        <v>936</v>
      </c>
      <c r="B937">
        <v>23</v>
      </c>
      <c r="C937">
        <v>936</v>
      </c>
      <c r="D937">
        <v>39</v>
      </c>
      <c r="E937" s="22">
        <v>44133</v>
      </c>
    </row>
    <row r="938" spans="1:5" x14ac:dyDescent="0.25">
      <c r="A938">
        <v>937</v>
      </c>
      <c r="B938">
        <v>23</v>
      </c>
      <c r="C938">
        <v>937</v>
      </c>
      <c r="D938">
        <v>39</v>
      </c>
      <c r="E938" s="22">
        <v>44133</v>
      </c>
    </row>
    <row r="939" spans="1:5" x14ac:dyDescent="0.25">
      <c r="A939">
        <v>938</v>
      </c>
      <c r="B939">
        <v>23</v>
      </c>
      <c r="C939">
        <v>938</v>
      </c>
      <c r="D939">
        <v>39</v>
      </c>
      <c r="E939" s="22">
        <v>44133</v>
      </c>
    </row>
    <row r="940" spans="1:5" x14ac:dyDescent="0.25">
      <c r="A940">
        <v>939</v>
      </c>
      <c r="B940">
        <v>23</v>
      </c>
      <c r="C940">
        <v>939</v>
      </c>
      <c r="D940">
        <v>39</v>
      </c>
      <c r="E940" s="22">
        <v>44133</v>
      </c>
    </row>
    <row r="941" spans="1:5" x14ac:dyDescent="0.25">
      <c r="A941">
        <v>940</v>
      </c>
      <c r="B941">
        <v>23</v>
      </c>
      <c r="C941">
        <v>940</v>
      </c>
      <c r="D941">
        <v>39</v>
      </c>
      <c r="E941" s="22">
        <v>44133</v>
      </c>
    </row>
    <row r="942" spans="1:5" x14ac:dyDescent="0.25">
      <c r="A942">
        <v>941</v>
      </c>
      <c r="B942">
        <v>23</v>
      </c>
      <c r="C942">
        <v>941</v>
      </c>
      <c r="D942">
        <v>39</v>
      </c>
      <c r="E942" s="22">
        <v>44133</v>
      </c>
    </row>
    <row r="943" spans="1:5" x14ac:dyDescent="0.25">
      <c r="A943">
        <v>942</v>
      </c>
      <c r="B943">
        <v>23</v>
      </c>
      <c r="C943">
        <v>942</v>
      </c>
      <c r="D943">
        <v>39</v>
      </c>
      <c r="E943" s="22">
        <v>44133</v>
      </c>
    </row>
    <row r="944" spans="1:5" x14ac:dyDescent="0.25">
      <c r="A944">
        <v>943</v>
      </c>
      <c r="B944">
        <v>23</v>
      </c>
      <c r="C944">
        <v>943</v>
      </c>
      <c r="D944">
        <v>39</v>
      </c>
      <c r="E944" s="22">
        <v>44133</v>
      </c>
    </row>
    <row r="945" spans="1:5" x14ac:dyDescent="0.25">
      <c r="A945">
        <v>944</v>
      </c>
      <c r="B945">
        <v>23</v>
      </c>
      <c r="C945">
        <v>944</v>
      </c>
      <c r="D945">
        <v>39</v>
      </c>
      <c r="E945" s="22">
        <v>44133</v>
      </c>
    </row>
    <row r="946" spans="1:5" x14ac:dyDescent="0.25">
      <c r="A946">
        <v>945</v>
      </c>
      <c r="B946">
        <v>23</v>
      </c>
      <c r="C946">
        <v>945</v>
      </c>
      <c r="D946">
        <v>39</v>
      </c>
      <c r="E946" s="22">
        <v>44133</v>
      </c>
    </row>
    <row r="947" spans="1:5" x14ac:dyDescent="0.25">
      <c r="A947">
        <v>946</v>
      </c>
      <c r="B947">
        <v>23</v>
      </c>
      <c r="C947">
        <v>946</v>
      </c>
      <c r="D947">
        <v>39</v>
      </c>
      <c r="E947" s="22">
        <v>44133</v>
      </c>
    </row>
    <row r="948" spans="1:5" x14ac:dyDescent="0.25">
      <c r="A948">
        <v>947</v>
      </c>
      <c r="B948">
        <v>23</v>
      </c>
      <c r="C948">
        <v>947</v>
      </c>
      <c r="D948">
        <v>39</v>
      </c>
      <c r="E948" s="22">
        <v>44133</v>
      </c>
    </row>
    <row r="949" spans="1:5" x14ac:dyDescent="0.25">
      <c r="A949">
        <v>948</v>
      </c>
      <c r="B949">
        <v>23</v>
      </c>
      <c r="C949">
        <v>948</v>
      </c>
      <c r="D949">
        <v>39</v>
      </c>
      <c r="E949" s="22">
        <v>44133</v>
      </c>
    </row>
    <row r="950" spans="1:5" x14ac:dyDescent="0.25">
      <c r="A950">
        <v>949</v>
      </c>
      <c r="B950">
        <v>23</v>
      </c>
      <c r="C950">
        <v>949</v>
      </c>
      <c r="D950">
        <v>39</v>
      </c>
      <c r="E950" s="22">
        <v>44133</v>
      </c>
    </row>
    <row r="951" spans="1:5" x14ac:dyDescent="0.25">
      <c r="A951">
        <v>950</v>
      </c>
      <c r="B951">
        <v>23</v>
      </c>
      <c r="C951">
        <v>950</v>
      </c>
      <c r="D951">
        <v>39</v>
      </c>
      <c r="E951" s="22">
        <v>44133</v>
      </c>
    </row>
    <row r="952" spans="1:5" x14ac:dyDescent="0.25">
      <c r="A952">
        <v>951</v>
      </c>
      <c r="B952">
        <v>23</v>
      </c>
      <c r="C952">
        <v>951</v>
      </c>
      <c r="D952">
        <v>39</v>
      </c>
      <c r="E952" s="22">
        <v>44133</v>
      </c>
    </row>
    <row r="953" spans="1:5" x14ac:dyDescent="0.25">
      <c r="A953">
        <v>952</v>
      </c>
      <c r="B953">
        <v>23</v>
      </c>
      <c r="C953">
        <v>952</v>
      </c>
      <c r="D953">
        <v>39</v>
      </c>
      <c r="E953" s="22">
        <v>44133</v>
      </c>
    </row>
    <row r="954" spans="1:5" x14ac:dyDescent="0.25">
      <c r="A954">
        <v>953</v>
      </c>
      <c r="B954">
        <v>23</v>
      </c>
      <c r="C954">
        <v>953</v>
      </c>
      <c r="D954">
        <v>39</v>
      </c>
      <c r="E954" s="22">
        <v>44133</v>
      </c>
    </row>
    <row r="955" spans="1:5" x14ac:dyDescent="0.25">
      <c r="A955">
        <v>954</v>
      </c>
      <c r="B955">
        <v>23</v>
      </c>
      <c r="C955">
        <v>954</v>
      </c>
      <c r="D955">
        <v>39</v>
      </c>
      <c r="E955" s="22">
        <v>44133</v>
      </c>
    </row>
    <row r="956" spans="1:5" x14ac:dyDescent="0.25">
      <c r="A956">
        <v>955</v>
      </c>
      <c r="B956">
        <v>23</v>
      </c>
      <c r="C956">
        <v>955</v>
      </c>
      <c r="D956">
        <v>39</v>
      </c>
      <c r="E956" s="22">
        <v>44133</v>
      </c>
    </row>
    <row r="957" spans="1:5" x14ac:dyDescent="0.25">
      <c r="A957">
        <v>956</v>
      </c>
      <c r="B957">
        <v>30</v>
      </c>
      <c r="C957">
        <v>956</v>
      </c>
      <c r="D957">
        <v>39</v>
      </c>
      <c r="E957" s="22">
        <v>44133</v>
      </c>
    </row>
    <row r="958" spans="1:5" x14ac:dyDescent="0.25">
      <c r="A958">
        <v>957</v>
      </c>
      <c r="B958">
        <v>30</v>
      </c>
      <c r="C958">
        <v>957</v>
      </c>
      <c r="D958">
        <v>39</v>
      </c>
      <c r="E958" s="22">
        <v>44133</v>
      </c>
    </row>
    <row r="959" spans="1:5" x14ac:dyDescent="0.25">
      <c r="A959">
        <v>958</v>
      </c>
      <c r="B959">
        <v>30</v>
      </c>
      <c r="C959">
        <v>958</v>
      </c>
      <c r="D959">
        <v>39</v>
      </c>
      <c r="E959" s="22">
        <v>44133</v>
      </c>
    </row>
    <row r="960" spans="1:5" x14ac:dyDescent="0.25">
      <c r="A960">
        <v>959</v>
      </c>
      <c r="B960">
        <v>30</v>
      </c>
      <c r="C960">
        <v>959</v>
      </c>
      <c r="D960">
        <v>39</v>
      </c>
      <c r="E960" s="22">
        <v>44133</v>
      </c>
    </row>
    <row r="961" spans="1:5" x14ac:dyDescent="0.25">
      <c r="A961">
        <v>960</v>
      </c>
      <c r="B961">
        <v>30</v>
      </c>
      <c r="C961">
        <v>960</v>
      </c>
      <c r="D961">
        <v>39</v>
      </c>
      <c r="E961" s="22">
        <v>44133</v>
      </c>
    </row>
    <row r="962" spans="1:5" x14ac:dyDescent="0.25">
      <c r="A962">
        <v>961</v>
      </c>
      <c r="B962">
        <v>39</v>
      </c>
      <c r="C962">
        <v>961</v>
      </c>
      <c r="D962">
        <v>39</v>
      </c>
      <c r="E962" s="22">
        <v>44133</v>
      </c>
    </row>
    <row r="963" spans="1:5" x14ac:dyDescent="0.25">
      <c r="A963">
        <v>962</v>
      </c>
      <c r="B963">
        <v>39</v>
      </c>
      <c r="C963">
        <v>962</v>
      </c>
      <c r="D963">
        <v>39</v>
      </c>
      <c r="E963" s="22">
        <v>44133</v>
      </c>
    </row>
    <row r="964" spans="1:5" x14ac:dyDescent="0.25">
      <c r="A964">
        <v>963</v>
      </c>
      <c r="B964">
        <v>3</v>
      </c>
      <c r="C964">
        <v>963</v>
      </c>
      <c r="D964">
        <v>39</v>
      </c>
      <c r="E964" s="22">
        <v>44133</v>
      </c>
    </row>
    <row r="965" spans="1:5" x14ac:dyDescent="0.25">
      <c r="A965">
        <v>964</v>
      </c>
      <c r="B965">
        <v>39</v>
      </c>
      <c r="C965">
        <v>964</v>
      </c>
      <c r="D965">
        <v>39</v>
      </c>
      <c r="E965" s="22">
        <v>44133</v>
      </c>
    </row>
    <row r="966" spans="1:5" x14ac:dyDescent="0.25">
      <c r="A966">
        <v>965</v>
      </c>
      <c r="B966">
        <v>39</v>
      </c>
      <c r="C966">
        <v>965</v>
      </c>
      <c r="D966">
        <v>39</v>
      </c>
      <c r="E966" s="22">
        <v>44133</v>
      </c>
    </row>
    <row r="967" spans="1:5" x14ac:dyDescent="0.25">
      <c r="A967">
        <v>966</v>
      </c>
      <c r="B967">
        <v>6</v>
      </c>
      <c r="C967">
        <v>966</v>
      </c>
      <c r="D967">
        <v>39</v>
      </c>
      <c r="E967" s="22">
        <v>44133</v>
      </c>
    </row>
    <row r="968" spans="1:5" x14ac:dyDescent="0.25">
      <c r="A968">
        <v>967</v>
      </c>
      <c r="B968">
        <v>4</v>
      </c>
      <c r="C968">
        <v>967</v>
      </c>
      <c r="D968">
        <v>4</v>
      </c>
      <c r="E968" s="22">
        <v>44133</v>
      </c>
    </row>
    <row r="969" spans="1:5" x14ac:dyDescent="0.25">
      <c r="A969">
        <v>968</v>
      </c>
      <c r="B969">
        <v>4</v>
      </c>
      <c r="C969">
        <v>968</v>
      </c>
      <c r="D969">
        <v>4</v>
      </c>
      <c r="E969" s="22">
        <v>44133</v>
      </c>
    </row>
    <row r="970" spans="1:5" x14ac:dyDescent="0.25">
      <c r="A970">
        <v>969</v>
      </c>
      <c r="B970">
        <v>4</v>
      </c>
      <c r="C970">
        <v>969</v>
      </c>
      <c r="D970">
        <v>4</v>
      </c>
      <c r="E970" s="22">
        <v>44133</v>
      </c>
    </row>
    <row r="971" spans="1:5" x14ac:dyDescent="0.25">
      <c r="A971">
        <v>970</v>
      </c>
      <c r="B971">
        <v>4</v>
      </c>
      <c r="C971">
        <v>970</v>
      </c>
      <c r="D971">
        <v>4</v>
      </c>
      <c r="E971" s="22">
        <v>44133</v>
      </c>
    </row>
    <row r="972" spans="1:5" x14ac:dyDescent="0.25">
      <c r="A972">
        <v>971</v>
      </c>
      <c r="B972">
        <v>4</v>
      </c>
      <c r="C972">
        <v>971</v>
      </c>
      <c r="D972">
        <v>4</v>
      </c>
      <c r="E972" s="22">
        <v>44133</v>
      </c>
    </row>
    <row r="973" spans="1:5" x14ac:dyDescent="0.25">
      <c r="A973">
        <v>972</v>
      </c>
      <c r="B973">
        <v>4</v>
      </c>
      <c r="C973">
        <v>972</v>
      </c>
      <c r="D973">
        <v>4</v>
      </c>
      <c r="E973" s="22">
        <v>44133</v>
      </c>
    </row>
    <row r="974" spans="1:5" x14ac:dyDescent="0.25">
      <c r="A974">
        <v>973</v>
      </c>
      <c r="B974">
        <v>4</v>
      </c>
      <c r="C974">
        <v>973</v>
      </c>
      <c r="D974">
        <v>4</v>
      </c>
      <c r="E974" s="22">
        <v>44133</v>
      </c>
    </row>
    <row r="975" spans="1:5" x14ac:dyDescent="0.25">
      <c r="A975">
        <v>974</v>
      </c>
      <c r="B975">
        <v>4</v>
      </c>
      <c r="C975">
        <v>974</v>
      </c>
      <c r="D975">
        <v>4</v>
      </c>
      <c r="E975" s="22">
        <v>44133</v>
      </c>
    </row>
    <row r="976" spans="1:5" x14ac:dyDescent="0.25">
      <c r="A976">
        <v>975</v>
      </c>
      <c r="B976">
        <v>4</v>
      </c>
      <c r="C976">
        <v>975</v>
      </c>
      <c r="D976">
        <v>4</v>
      </c>
      <c r="E976" s="22">
        <v>44133</v>
      </c>
    </row>
    <row r="977" spans="1:5" x14ac:dyDescent="0.25">
      <c r="A977">
        <v>976</v>
      </c>
      <c r="B977">
        <v>4</v>
      </c>
      <c r="C977">
        <v>976</v>
      </c>
      <c r="D977">
        <v>4</v>
      </c>
      <c r="E977" s="22">
        <v>44133</v>
      </c>
    </row>
    <row r="978" spans="1:5" x14ac:dyDescent="0.25">
      <c r="A978">
        <v>977</v>
      </c>
      <c r="B978">
        <v>4</v>
      </c>
      <c r="C978">
        <v>977</v>
      </c>
      <c r="D978">
        <v>4</v>
      </c>
      <c r="E978" s="22">
        <v>44133</v>
      </c>
    </row>
    <row r="979" spans="1:5" x14ac:dyDescent="0.25">
      <c r="A979">
        <v>978</v>
      </c>
      <c r="B979">
        <v>4</v>
      </c>
      <c r="C979">
        <v>978</v>
      </c>
      <c r="D979">
        <v>4</v>
      </c>
      <c r="E979" s="22">
        <v>44133</v>
      </c>
    </row>
    <row r="980" spans="1:5" x14ac:dyDescent="0.25">
      <c r="A980">
        <v>979</v>
      </c>
      <c r="B980">
        <v>4</v>
      </c>
      <c r="C980">
        <v>979</v>
      </c>
      <c r="D980">
        <v>4</v>
      </c>
      <c r="E980" s="22">
        <v>44133</v>
      </c>
    </row>
    <row r="981" spans="1:5" x14ac:dyDescent="0.25">
      <c r="A981">
        <v>980</v>
      </c>
      <c r="B981">
        <v>4</v>
      </c>
      <c r="C981">
        <v>980</v>
      </c>
      <c r="D981">
        <v>4</v>
      </c>
      <c r="E981" s="22">
        <v>44133</v>
      </c>
    </row>
    <row r="982" spans="1:5" x14ac:dyDescent="0.25">
      <c r="A982">
        <v>981</v>
      </c>
      <c r="B982">
        <v>23</v>
      </c>
      <c r="C982">
        <v>981</v>
      </c>
      <c r="D982">
        <v>4</v>
      </c>
      <c r="E982" s="22">
        <v>44133</v>
      </c>
    </row>
    <row r="983" spans="1:5" x14ac:dyDescent="0.25">
      <c r="A983">
        <v>982</v>
      </c>
      <c r="B983">
        <v>39</v>
      </c>
      <c r="C983">
        <v>982</v>
      </c>
      <c r="D983">
        <v>4</v>
      </c>
      <c r="E983" s="22">
        <v>44133</v>
      </c>
    </row>
    <row r="984" spans="1:5" x14ac:dyDescent="0.25">
      <c r="A984">
        <v>983</v>
      </c>
      <c r="B984">
        <v>23</v>
      </c>
      <c r="C984">
        <v>983</v>
      </c>
      <c r="D984">
        <v>4</v>
      </c>
      <c r="E984" s="22">
        <v>44133</v>
      </c>
    </row>
    <row r="985" spans="1:5" x14ac:dyDescent="0.25">
      <c r="A985">
        <v>984</v>
      </c>
      <c r="B985">
        <v>39</v>
      </c>
      <c r="C985">
        <v>984</v>
      </c>
      <c r="D985">
        <v>4</v>
      </c>
      <c r="E985" s="22">
        <v>44133</v>
      </c>
    </row>
    <row r="986" spans="1:5" x14ac:dyDescent="0.25">
      <c r="A986">
        <v>985</v>
      </c>
      <c r="B986">
        <v>23</v>
      </c>
      <c r="C986">
        <v>985</v>
      </c>
      <c r="D986">
        <v>4</v>
      </c>
      <c r="E986" s="22">
        <v>44133</v>
      </c>
    </row>
    <row r="987" spans="1:5" x14ac:dyDescent="0.25">
      <c r="A987">
        <v>986</v>
      </c>
      <c r="B987">
        <v>23</v>
      </c>
      <c r="C987">
        <v>986</v>
      </c>
      <c r="D987">
        <v>4</v>
      </c>
      <c r="E987" s="22">
        <v>44133</v>
      </c>
    </row>
    <row r="988" spans="1:5" x14ac:dyDescent="0.25">
      <c r="A988">
        <v>987</v>
      </c>
      <c r="B988">
        <v>2</v>
      </c>
      <c r="C988">
        <v>987</v>
      </c>
      <c r="D988">
        <v>4</v>
      </c>
      <c r="E988" s="22">
        <v>44133</v>
      </c>
    </row>
    <row r="989" spans="1:5" x14ac:dyDescent="0.25">
      <c r="A989">
        <v>988</v>
      </c>
      <c r="B989">
        <v>2</v>
      </c>
      <c r="C989">
        <v>988</v>
      </c>
      <c r="D989">
        <v>4</v>
      </c>
      <c r="E989" s="22">
        <v>44133</v>
      </c>
    </row>
    <row r="990" spans="1:5" x14ac:dyDescent="0.25">
      <c r="A990">
        <v>989</v>
      </c>
      <c r="B990">
        <v>23</v>
      </c>
      <c r="C990">
        <v>989</v>
      </c>
      <c r="D990">
        <v>4</v>
      </c>
      <c r="E990" s="22">
        <v>44133</v>
      </c>
    </row>
    <row r="991" spans="1:5" x14ac:dyDescent="0.25">
      <c r="A991">
        <v>990</v>
      </c>
      <c r="B991">
        <v>23</v>
      </c>
      <c r="C991">
        <v>990</v>
      </c>
      <c r="D991">
        <v>4</v>
      </c>
      <c r="E991" s="22">
        <v>44133</v>
      </c>
    </row>
    <row r="992" spans="1:5" x14ac:dyDescent="0.25">
      <c r="A992">
        <v>991</v>
      </c>
      <c r="B992">
        <v>23</v>
      </c>
      <c r="C992">
        <v>991</v>
      </c>
      <c r="D992">
        <v>4</v>
      </c>
      <c r="E992" s="22">
        <v>44133</v>
      </c>
    </row>
    <row r="993" spans="1:5" x14ac:dyDescent="0.25">
      <c r="A993">
        <v>992</v>
      </c>
      <c r="B993">
        <v>23</v>
      </c>
      <c r="C993">
        <v>992</v>
      </c>
      <c r="D993">
        <v>4</v>
      </c>
      <c r="E993" s="22">
        <v>44133</v>
      </c>
    </row>
    <row r="994" spans="1:5" x14ac:dyDescent="0.25">
      <c r="A994">
        <v>993</v>
      </c>
      <c r="B994">
        <v>30</v>
      </c>
      <c r="C994">
        <v>993</v>
      </c>
      <c r="D994">
        <v>4</v>
      </c>
      <c r="E994" s="22">
        <v>44133</v>
      </c>
    </row>
    <row r="995" spans="1:5" x14ac:dyDescent="0.25">
      <c r="A995">
        <v>994</v>
      </c>
      <c r="B995">
        <v>23</v>
      </c>
      <c r="C995">
        <v>994</v>
      </c>
      <c r="D995">
        <v>4</v>
      </c>
      <c r="E995" s="22">
        <v>44133</v>
      </c>
    </row>
    <row r="996" spans="1:5" x14ac:dyDescent="0.25">
      <c r="A996">
        <v>995</v>
      </c>
      <c r="B996">
        <v>23</v>
      </c>
      <c r="C996">
        <v>995</v>
      </c>
      <c r="D996">
        <v>4</v>
      </c>
      <c r="E996" s="22">
        <v>44133</v>
      </c>
    </row>
    <row r="997" spans="1:5" x14ac:dyDescent="0.25">
      <c r="A997">
        <v>996</v>
      </c>
      <c r="B997">
        <v>23</v>
      </c>
      <c r="C997">
        <v>996</v>
      </c>
      <c r="D997">
        <v>4</v>
      </c>
      <c r="E997" s="22">
        <v>44133</v>
      </c>
    </row>
    <row r="998" spans="1:5" x14ac:dyDescent="0.25">
      <c r="A998">
        <v>997</v>
      </c>
      <c r="B998">
        <v>23</v>
      </c>
      <c r="C998">
        <v>997</v>
      </c>
      <c r="D998">
        <v>4</v>
      </c>
      <c r="E998" s="22">
        <v>44133</v>
      </c>
    </row>
    <row r="999" spans="1:5" x14ac:dyDescent="0.25">
      <c r="A999">
        <v>998</v>
      </c>
      <c r="B999">
        <v>29</v>
      </c>
      <c r="C999">
        <v>998</v>
      </c>
      <c r="D999">
        <v>4</v>
      </c>
      <c r="E999" s="22">
        <v>44133</v>
      </c>
    </row>
    <row r="1000" spans="1:5" x14ac:dyDescent="0.25">
      <c r="A1000">
        <v>999</v>
      </c>
      <c r="B1000">
        <v>26</v>
      </c>
      <c r="C1000">
        <v>999</v>
      </c>
      <c r="D1000">
        <v>4</v>
      </c>
      <c r="E1000" s="22">
        <v>44133</v>
      </c>
    </row>
    <row r="1001" spans="1:5" x14ac:dyDescent="0.25">
      <c r="A1001">
        <v>1000</v>
      </c>
      <c r="B1001">
        <v>39</v>
      </c>
      <c r="C1001">
        <v>1000</v>
      </c>
      <c r="D1001">
        <v>4</v>
      </c>
      <c r="E1001" s="22">
        <v>44133</v>
      </c>
    </row>
    <row r="1002" spans="1:5" x14ac:dyDescent="0.25">
      <c r="A1002">
        <v>1001</v>
      </c>
      <c r="B1002">
        <v>30</v>
      </c>
      <c r="C1002">
        <v>1001</v>
      </c>
      <c r="D1002">
        <v>4</v>
      </c>
      <c r="E1002" s="22">
        <v>44133</v>
      </c>
    </row>
    <row r="1003" spans="1:5" x14ac:dyDescent="0.25">
      <c r="A1003">
        <v>1002</v>
      </c>
      <c r="B1003">
        <v>8</v>
      </c>
      <c r="C1003">
        <v>1002</v>
      </c>
      <c r="D1003">
        <v>4</v>
      </c>
      <c r="E1003" s="22">
        <v>44133</v>
      </c>
    </row>
    <row r="1004" spans="1:5" x14ac:dyDescent="0.25">
      <c r="A1004">
        <v>1003</v>
      </c>
      <c r="B1004">
        <v>2</v>
      </c>
      <c r="C1004">
        <v>1003</v>
      </c>
      <c r="D1004">
        <v>4</v>
      </c>
      <c r="E1004" s="22">
        <v>44133</v>
      </c>
    </row>
    <row r="1005" spans="1:5" x14ac:dyDescent="0.25">
      <c r="A1005">
        <v>1004</v>
      </c>
      <c r="B1005">
        <v>23</v>
      </c>
      <c r="C1005">
        <v>1004</v>
      </c>
      <c r="D1005">
        <v>4</v>
      </c>
      <c r="E1005" s="22">
        <v>44133</v>
      </c>
    </row>
    <row r="1006" spans="1:5" x14ac:dyDescent="0.25">
      <c r="A1006">
        <v>1005</v>
      </c>
      <c r="B1006">
        <v>4</v>
      </c>
      <c r="C1006">
        <v>1005</v>
      </c>
      <c r="D1006">
        <v>4</v>
      </c>
      <c r="E1006" s="22">
        <v>44133</v>
      </c>
    </row>
    <row r="1007" spans="1:5" x14ac:dyDescent="0.25">
      <c r="A1007">
        <v>1006</v>
      </c>
      <c r="B1007">
        <v>37</v>
      </c>
      <c r="C1007">
        <v>1006</v>
      </c>
      <c r="D1007">
        <v>4</v>
      </c>
      <c r="E1007" s="22">
        <v>44133</v>
      </c>
    </row>
    <row r="1008" spans="1:5" x14ac:dyDescent="0.25">
      <c r="A1008">
        <v>1007</v>
      </c>
      <c r="B1008">
        <v>39</v>
      </c>
      <c r="C1008">
        <v>1007</v>
      </c>
      <c r="D1008">
        <v>4</v>
      </c>
      <c r="E1008" s="22">
        <v>44133</v>
      </c>
    </row>
    <row r="1009" spans="1:5" x14ac:dyDescent="0.25">
      <c r="A1009">
        <v>1008</v>
      </c>
      <c r="B1009">
        <v>39</v>
      </c>
      <c r="C1009">
        <v>1008</v>
      </c>
      <c r="D1009">
        <v>4</v>
      </c>
      <c r="E1009" s="22">
        <v>44133</v>
      </c>
    </row>
    <row r="1010" spans="1:5" x14ac:dyDescent="0.25">
      <c r="A1010">
        <v>1009</v>
      </c>
      <c r="B1010">
        <v>4</v>
      </c>
      <c r="C1010">
        <v>1009</v>
      </c>
      <c r="D1010">
        <v>4</v>
      </c>
      <c r="E1010" s="22">
        <v>44133</v>
      </c>
    </row>
    <row r="1011" spans="1:5" x14ac:dyDescent="0.25">
      <c r="A1011">
        <v>1010</v>
      </c>
      <c r="B1011">
        <v>4</v>
      </c>
      <c r="C1011">
        <v>1010</v>
      </c>
      <c r="D1011">
        <v>4</v>
      </c>
      <c r="E1011" s="22">
        <v>44133</v>
      </c>
    </row>
    <row r="1012" spans="1:5" x14ac:dyDescent="0.25">
      <c r="A1012">
        <v>1011</v>
      </c>
      <c r="B1012">
        <v>4</v>
      </c>
      <c r="C1012">
        <v>1011</v>
      </c>
      <c r="D1012">
        <v>4</v>
      </c>
      <c r="E1012" s="22">
        <v>44133</v>
      </c>
    </row>
    <row r="1013" spans="1:5" x14ac:dyDescent="0.25">
      <c r="A1013">
        <v>1012</v>
      </c>
      <c r="B1013">
        <v>4</v>
      </c>
      <c r="C1013">
        <v>1012</v>
      </c>
      <c r="D1013">
        <v>4</v>
      </c>
      <c r="E1013" s="22">
        <v>44133</v>
      </c>
    </row>
    <row r="1014" spans="1:5" x14ac:dyDescent="0.25">
      <c r="A1014">
        <v>1013</v>
      </c>
      <c r="B1014">
        <v>4</v>
      </c>
      <c r="C1014">
        <v>1013</v>
      </c>
      <c r="D1014">
        <v>4</v>
      </c>
      <c r="E1014" s="22">
        <v>44133</v>
      </c>
    </row>
    <row r="1015" spans="1:5" x14ac:dyDescent="0.25">
      <c r="A1015">
        <v>1014</v>
      </c>
      <c r="B1015">
        <v>4</v>
      </c>
      <c r="C1015">
        <v>1014</v>
      </c>
      <c r="D1015">
        <v>4</v>
      </c>
      <c r="E1015" s="22">
        <v>44133</v>
      </c>
    </row>
    <row r="1016" spans="1:5" x14ac:dyDescent="0.25">
      <c r="A1016">
        <v>1015</v>
      </c>
      <c r="B1016">
        <v>4</v>
      </c>
      <c r="C1016">
        <v>1015</v>
      </c>
      <c r="D1016">
        <v>4</v>
      </c>
      <c r="E1016" s="22">
        <v>44133</v>
      </c>
    </row>
    <row r="1017" spans="1:5" x14ac:dyDescent="0.25">
      <c r="A1017">
        <v>1016</v>
      </c>
      <c r="B1017">
        <v>4</v>
      </c>
      <c r="C1017">
        <v>1016</v>
      </c>
      <c r="D1017">
        <v>4</v>
      </c>
      <c r="E1017" s="22">
        <v>44133</v>
      </c>
    </row>
    <row r="1018" spans="1:5" x14ac:dyDescent="0.25">
      <c r="A1018">
        <v>1017</v>
      </c>
      <c r="B1018">
        <v>4</v>
      </c>
      <c r="C1018">
        <v>1017</v>
      </c>
      <c r="D1018">
        <v>4</v>
      </c>
      <c r="E1018" s="22">
        <v>44133</v>
      </c>
    </row>
    <row r="1019" spans="1:5" x14ac:dyDescent="0.25">
      <c r="A1019">
        <v>1018</v>
      </c>
      <c r="B1019">
        <v>4</v>
      </c>
      <c r="C1019">
        <v>1018</v>
      </c>
      <c r="D1019">
        <v>4</v>
      </c>
      <c r="E1019" s="22">
        <v>44133</v>
      </c>
    </row>
    <row r="1020" spans="1:5" x14ac:dyDescent="0.25">
      <c r="A1020">
        <v>1019</v>
      </c>
      <c r="B1020">
        <v>4</v>
      </c>
      <c r="C1020">
        <v>1019</v>
      </c>
      <c r="D1020">
        <v>4</v>
      </c>
      <c r="E1020" s="22">
        <v>44133</v>
      </c>
    </row>
    <row r="1021" spans="1:5" x14ac:dyDescent="0.25">
      <c r="A1021">
        <v>1020</v>
      </c>
      <c r="B1021">
        <v>4</v>
      </c>
      <c r="C1021">
        <v>1020</v>
      </c>
      <c r="D1021">
        <v>4</v>
      </c>
      <c r="E1021" s="22">
        <v>44133</v>
      </c>
    </row>
    <row r="1022" spans="1:5" x14ac:dyDescent="0.25">
      <c r="A1022">
        <v>1021</v>
      </c>
      <c r="B1022">
        <v>4</v>
      </c>
      <c r="C1022">
        <v>1021</v>
      </c>
      <c r="D1022">
        <v>4</v>
      </c>
      <c r="E1022" s="22">
        <v>44133</v>
      </c>
    </row>
    <row r="1023" spans="1:5" x14ac:dyDescent="0.25">
      <c r="A1023">
        <v>1022</v>
      </c>
      <c r="B1023">
        <v>4</v>
      </c>
      <c r="C1023">
        <v>1022</v>
      </c>
      <c r="D1023">
        <v>4</v>
      </c>
      <c r="E1023" s="22">
        <v>44133</v>
      </c>
    </row>
    <row r="1024" spans="1:5" x14ac:dyDescent="0.25">
      <c r="A1024">
        <v>1023</v>
      </c>
      <c r="B1024">
        <v>2</v>
      </c>
      <c r="C1024">
        <v>1023</v>
      </c>
      <c r="D1024">
        <v>4</v>
      </c>
      <c r="E1024" s="22">
        <v>44133</v>
      </c>
    </row>
    <row r="1025" spans="1:5" x14ac:dyDescent="0.25">
      <c r="A1025">
        <v>1024</v>
      </c>
      <c r="B1025">
        <v>23</v>
      </c>
      <c r="C1025">
        <v>1024</v>
      </c>
      <c r="D1025">
        <v>4</v>
      </c>
      <c r="E1025" s="22">
        <v>44133</v>
      </c>
    </row>
    <row r="1026" spans="1:5" x14ac:dyDescent="0.25">
      <c r="A1026">
        <v>1025</v>
      </c>
      <c r="B1026">
        <v>23</v>
      </c>
      <c r="C1026">
        <v>1025</v>
      </c>
      <c r="D1026">
        <v>4</v>
      </c>
      <c r="E1026" s="22">
        <v>44133</v>
      </c>
    </row>
    <row r="1027" spans="1:5" x14ac:dyDescent="0.25">
      <c r="A1027">
        <v>1026</v>
      </c>
      <c r="B1027">
        <v>23</v>
      </c>
      <c r="C1027">
        <v>1026</v>
      </c>
      <c r="D1027">
        <v>4</v>
      </c>
      <c r="E1027" s="22">
        <v>44133</v>
      </c>
    </row>
    <row r="1028" spans="1:5" x14ac:dyDescent="0.25">
      <c r="A1028">
        <v>1027</v>
      </c>
      <c r="B1028">
        <v>23</v>
      </c>
      <c r="C1028">
        <v>1027</v>
      </c>
      <c r="D1028">
        <v>4</v>
      </c>
      <c r="E1028" s="22">
        <v>44133</v>
      </c>
    </row>
    <row r="1029" spans="1:5" x14ac:dyDescent="0.25">
      <c r="A1029">
        <v>1028</v>
      </c>
      <c r="B1029">
        <v>23</v>
      </c>
      <c r="C1029">
        <v>1028</v>
      </c>
      <c r="D1029">
        <v>4</v>
      </c>
      <c r="E1029" s="22">
        <v>44133</v>
      </c>
    </row>
    <row r="1030" spans="1:5" x14ac:dyDescent="0.25">
      <c r="A1030">
        <v>1029</v>
      </c>
      <c r="B1030">
        <v>23</v>
      </c>
      <c r="C1030">
        <v>1029</v>
      </c>
      <c r="D1030">
        <v>4</v>
      </c>
      <c r="E1030" s="22">
        <v>44133</v>
      </c>
    </row>
    <row r="1031" spans="1:5" x14ac:dyDescent="0.25">
      <c r="A1031">
        <v>1030</v>
      </c>
      <c r="B1031">
        <v>23</v>
      </c>
      <c r="C1031">
        <v>1030</v>
      </c>
      <c r="D1031">
        <v>4</v>
      </c>
      <c r="E1031" s="22">
        <v>44133</v>
      </c>
    </row>
    <row r="1032" spans="1:5" x14ac:dyDescent="0.25">
      <c r="A1032">
        <v>1031</v>
      </c>
      <c r="B1032">
        <v>23</v>
      </c>
      <c r="C1032">
        <v>1031</v>
      </c>
      <c r="D1032">
        <v>4</v>
      </c>
      <c r="E1032" s="22">
        <v>44133</v>
      </c>
    </row>
    <row r="1033" spans="1:5" x14ac:dyDescent="0.25">
      <c r="A1033">
        <v>1032</v>
      </c>
      <c r="B1033">
        <v>23</v>
      </c>
      <c r="C1033">
        <v>1032</v>
      </c>
      <c r="D1033">
        <v>4</v>
      </c>
      <c r="E1033" s="22">
        <v>44133</v>
      </c>
    </row>
    <row r="1034" spans="1:5" x14ac:dyDescent="0.25">
      <c r="A1034">
        <v>1033</v>
      </c>
      <c r="B1034">
        <v>23</v>
      </c>
      <c r="C1034">
        <v>1033</v>
      </c>
      <c r="D1034">
        <v>4</v>
      </c>
      <c r="E1034" s="22">
        <v>44133</v>
      </c>
    </row>
    <row r="1035" spans="1:5" x14ac:dyDescent="0.25">
      <c r="A1035">
        <v>1034</v>
      </c>
      <c r="B1035">
        <v>23</v>
      </c>
      <c r="C1035">
        <v>1034</v>
      </c>
      <c r="D1035">
        <v>4</v>
      </c>
      <c r="E1035" s="22">
        <v>44133</v>
      </c>
    </row>
    <row r="1036" spans="1:5" x14ac:dyDescent="0.25">
      <c r="A1036">
        <v>1035</v>
      </c>
      <c r="B1036">
        <v>23</v>
      </c>
      <c r="C1036">
        <v>1035</v>
      </c>
      <c r="D1036">
        <v>4</v>
      </c>
      <c r="E1036" s="22">
        <v>44133</v>
      </c>
    </row>
    <row r="1037" spans="1:5" x14ac:dyDescent="0.25">
      <c r="A1037">
        <v>1036</v>
      </c>
      <c r="B1037">
        <v>23</v>
      </c>
      <c r="C1037">
        <v>1036</v>
      </c>
      <c r="D1037">
        <v>39</v>
      </c>
      <c r="E1037" s="22">
        <v>44133</v>
      </c>
    </row>
    <row r="1038" spans="1:5" x14ac:dyDescent="0.25">
      <c r="A1038">
        <v>1037</v>
      </c>
      <c r="B1038">
        <v>23</v>
      </c>
      <c r="C1038">
        <v>1037</v>
      </c>
      <c r="D1038">
        <v>39</v>
      </c>
      <c r="E1038" s="22">
        <v>44133</v>
      </c>
    </row>
    <row r="1039" spans="1:5" x14ac:dyDescent="0.25">
      <c r="A1039">
        <v>1038</v>
      </c>
      <c r="B1039">
        <v>23</v>
      </c>
      <c r="C1039">
        <v>1038</v>
      </c>
      <c r="D1039">
        <v>39</v>
      </c>
      <c r="E1039" s="22">
        <v>44133</v>
      </c>
    </row>
    <row r="1040" spans="1:5" x14ac:dyDescent="0.25">
      <c r="A1040">
        <v>1039</v>
      </c>
      <c r="B1040">
        <v>23</v>
      </c>
      <c r="C1040">
        <v>1039</v>
      </c>
      <c r="D1040">
        <v>39</v>
      </c>
      <c r="E1040" s="22">
        <v>44133</v>
      </c>
    </row>
    <row r="1041" spans="1:5" x14ac:dyDescent="0.25">
      <c r="A1041">
        <v>1040</v>
      </c>
      <c r="B1041">
        <v>23</v>
      </c>
      <c r="C1041">
        <v>1040</v>
      </c>
      <c r="D1041">
        <v>39</v>
      </c>
      <c r="E1041" s="22">
        <v>44133</v>
      </c>
    </row>
    <row r="1042" spans="1:5" x14ac:dyDescent="0.25">
      <c r="A1042">
        <v>1041</v>
      </c>
      <c r="B1042">
        <v>23</v>
      </c>
      <c r="C1042">
        <v>1041</v>
      </c>
      <c r="D1042">
        <v>39</v>
      </c>
      <c r="E1042" s="22">
        <v>44133</v>
      </c>
    </row>
    <row r="1043" spans="1:5" x14ac:dyDescent="0.25">
      <c r="A1043">
        <v>1042</v>
      </c>
      <c r="B1043">
        <v>23</v>
      </c>
      <c r="C1043">
        <v>1042</v>
      </c>
      <c r="D1043">
        <v>39</v>
      </c>
      <c r="E1043" s="22">
        <v>44133</v>
      </c>
    </row>
    <row r="1044" spans="1:5" x14ac:dyDescent="0.25">
      <c r="A1044">
        <v>1043</v>
      </c>
      <c r="B1044">
        <v>23</v>
      </c>
      <c r="C1044">
        <v>1043</v>
      </c>
      <c r="D1044">
        <v>39</v>
      </c>
      <c r="E1044" s="22">
        <v>44133</v>
      </c>
    </row>
    <row r="1045" spans="1:5" x14ac:dyDescent="0.25">
      <c r="A1045">
        <v>1044</v>
      </c>
      <c r="B1045">
        <v>23</v>
      </c>
      <c r="C1045">
        <v>1044</v>
      </c>
      <c r="D1045">
        <v>39</v>
      </c>
      <c r="E1045" s="22">
        <v>44133</v>
      </c>
    </row>
    <row r="1046" spans="1:5" x14ac:dyDescent="0.25">
      <c r="A1046">
        <v>1045</v>
      </c>
      <c r="B1046">
        <v>23</v>
      </c>
      <c r="C1046">
        <v>1045</v>
      </c>
      <c r="D1046">
        <v>39</v>
      </c>
      <c r="E1046" s="22">
        <v>44133</v>
      </c>
    </row>
    <row r="1047" spans="1:5" x14ac:dyDescent="0.25">
      <c r="A1047">
        <v>1046</v>
      </c>
      <c r="B1047">
        <v>23</v>
      </c>
      <c r="C1047">
        <v>1046</v>
      </c>
      <c r="D1047">
        <v>39</v>
      </c>
      <c r="E1047" s="22">
        <v>44133</v>
      </c>
    </row>
    <row r="1048" spans="1:5" x14ac:dyDescent="0.25">
      <c r="A1048">
        <v>1047</v>
      </c>
      <c r="B1048">
        <v>23</v>
      </c>
      <c r="C1048">
        <v>1047</v>
      </c>
      <c r="D1048">
        <v>39</v>
      </c>
      <c r="E1048" s="22">
        <v>44133</v>
      </c>
    </row>
    <row r="1049" spans="1:5" x14ac:dyDescent="0.25">
      <c r="A1049">
        <v>1048</v>
      </c>
      <c r="B1049">
        <v>23</v>
      </c>
      <c r="C1049">
        <v>1048</v>
      </c>
      <c r="D1049">
        <v>39</v>
      </c>
      <c r="E1049" s="22">
        <v>44133</v>
      </c>
    </row>
    <row r="1050" spans="1:5" x14ac:dyDescent="0.25">
      <c r="A1050">
        <v>1049</v>
      </c>
      <c r="B1050">
        <v>23</v>
      </c>
      <c r="C1050">
        <v>1049</v>
      </c>
      <c r="D1050">
        <v>39</v>
      </c>
      <c r="E1050" s="22">
        <v>44133</v>
      </c>
    </row>
    <row r="1051" spans="1:5" x14ac:dyDescent="0.25">
      <c r="A1051">
        <v>1050</v>
      </c>
      <c r="B1051">
        <v>23</v>
      </c>
      <c r="C1051">
        <v>1050</v>
      </c>
      <c r="D1051">
        <v>39</v>
      </c>
      <c r="E1051" s="22">
        <v>44133</v>
      </c>
    </row>
    <row r="1052" spans="1:5" x14ac:dyDescent="0.25">
      <c r="A1052">
        <v>1051</v>
      </c>
      <c r="B1052">
        <v>23</v>
      </c>
      <c r="C1052">
        <v>1051</v>
      </c>
      <c r="D1052">
        <v>39</v>
      </c>
      <c r="E1052" s="22">
        <v>44133</v>
      </c>
    </row>
    <row r="1053" spans="1:5" x14ac:dyDescent="0.25">
      <c r="A1053">
        <v>1052</v>
      </c>
      <c r="B1053">
        <v>23</v>
      </c>
      <c r="C1053">
        <v>1052</v>
      </c>
      <c r="D1053">
        <v>39</v>
      </c>
      <c r="E1053" s="22">
        <v>44133</v>
      </c>
    </row>
    <row r="1054" spans="1:5" x14ac:dyDescent="0.25">
      <c r="A1054">
        <v>1053</v>
      </c>
      <c r="B1054">
        <v>23</v>
      </c>
      <c r="C1054">
        <v>1053</v>
      </c>
      <c r="D1054">
        <v>39</v>
      </c>
      <c r="E1054" s="22">
        <v>44133</v>
      </c>
    </row>
    <row r="1055" spans="1:5" x14ac:dyDescent="0.25">
      <c r="A1055">
        <v>1054</v>
      </c>
      <c r="B1055">
        <v>23</v>
      </c>
      <c r="C1055">
        <v>1054</v>
      </c>
      <c r="D1055">
        <v>39</v>
      </c>
      <c r="E1055" s="22">
        <v>44133</v>
      </c>
    </row>
    <row r="1056" spans="1:5" x14ac:dyDescent="0.25">
      <c r="A1056">
        <v>1055</v>
      </c>
      <c r="B1056">
        <v>23</v>
      </c>
      <c r="C1056">
        <v>1055</v>
      </c>
      <c r="D1056">
        <v>39</v>
      </c>
      <c r="E1056" s="22">
        <v>44133</v>
      </c>
    </row>
    <row r="1057" spans="1:5" x14ac:dyDescent="0.25">
      <c r="A1057">
        <v>1056</v>
      </c>
      <c r="B1057">
        <v>23</v>
      </c>
      <c r="C1057">
        <v>1056</v>
      </c>
      <c r="D1057">
        <v>39</v>
      </c>
      <c r="E1057" s="22">
        <v>44133</v>
      </c>
    </row>
    <row r="1058" spans="1:5" x14ac:dyDescent="0.25">
      <c r="A1058">
        <v>1057</v>
      </c>
      <c r="B1058">
        <v>23</v>
      </c>
      <c r="C1058">
        <v>1057</v>
      </c>
      <c r="D1058">
        <v>39</v>
      </c>
      <c r="E1058" s="22">
        <v>44133</v>
      </c>
    </row>
    <row r="1059" spans="1:5" x14ac:dyDescent="0.25">
      <c r="A1059">
        <v>1058</v>
      </c>
      <c r="B1059">
        <v>23</v>
      </c>
      <c r="C1059">
        <v>1058</v>
      </c>
      <c r="D1059">
        <v>39</v>
      </c>
      <c r="E1059" s="22">
        <v>44133</v>
      </c>
    </row>
    <row r="1060" spans="1:5" x14ac:dyDescent="0.25">
      <c r="A1060">
        <v>1059</v>
      </c>
      <c r="B1060">
        <v>23</v>
      </c>
      <c r="C1060">
        <v>1059</v>
      </c>
      <c r="D1060">
        <v>39</v>
      </c>
      <c r="E1060" s="22">
        <v>44133</v>
      </c>
    </row>
    <row r="1061" spans="1:5" x14ac:dyDescent="0.25">
      <c r="A1061">
        <v>1060</v>
      </c>
      <c r="B1061">
        <v>23</v>
      </c>
      <c r="C1061">
        <v>1060</v>
      </c>
      <c r="D1061">
        <v>39</v>
      </c>
      <c r="E1061" s="22">
        <v>44133</v>
      </c>
    </row>
    <row r="1062" spans="1:5" x14ac:dyDescent="0.25">
      <c r="A1062">
        <v>1061</v>
      </c>
      <c r="B1062">
        <v>23</v>
      </c>
      <c r="C1062">
        <v>1061</v>
      </c>
      <c r="D1062">
        <v>39</v>
      </c>
      <c r="E1062" s="22">
        <v>44133</v>
      </c>
    </row>
    <row r="1063" spans="1:5" x14ac:dyDescent="0.25">
      <c r="A1063">
        <v>1062</v>
      </c>
      <c r="B1063">
        <v>23</v>
      </c>
      <c r="C1063">
        <v>1062</v>
      </c>
      <c r="D1063">
        <v>39</v>
      </c>
      <c r="E1063" s="22">
        <v>44133</v>
      </c>
    </row>
    <row r="1064" spans="1:5" x14ac:dyDescent="0.25">
      <c r="A1064">
        <v>1063</v>
      </c>
      <c r="B1064">
        <v>23</v>
      </c>
      <c r="C1064">
        <v>1063</v>
      </c>
      <c r="D1064">
        <v>39</v>
      </c>
      <c r="E1064" s="22">
        <v>44133</v>
      </c>
    </row>
    <row r="1065" spans="1:5" x14ac:dyDescent="0.25">
      <c r="A1065">
        <v>1064</v>
      </c>
      <c r="B1065">
        <v>23</v>
      </c>
      <c r="C1065">
        <v>1064</v>
      </c>
      <c r="D1065">
        <v>39</v>
      </c>
      <c r="E1065" s="22">
        <v>44133</v>
      </c>
    </row>
    <row r="1066" spans="1:5" x14ac:dyDescent="0.25">
      <c r="A1066">
        <v>1065</v>
      </c>
      <c r="B1066">
        <v>23</v>
      </c>
      <c r="C1066">
        <v>1065</v>
      </c>
      <c r="D1066">
        <v>39</v>
      </c>
      <c r="E1066" s="22">
        <v>44133</v>
      </c>
    </row>
    <row r="1067" spans="1:5" x14ac:dyDescent="0.25">
      <c r="A1067">
        <v>1066</v>
      </c>
      <c r="B1067">
        <v>23</v>
      </c>
      <c r="C1067">
        <v>1066</v>
      </c>
      <c r="D1067">
        <v>39</v>
      </c>
      <c r="E1067" s="22">
        <v>44133</v>
      </c>
    </row>
    <row r="1068" spans="1:5" x14ac:dyDescent="0.25">
      <c r="A1068">
        <v>1067</v>
      </c>
      <c r="B1068">
        <v>23</v>
      </c>
      <c r="C1068">
        <v>1067</v>
      </c>
      <c r="D1068">
        <v>39</v>
      </c>
      <c r="E1068" s="22">
        <v>44133</v>
      </c>
    </row>
    <row r="1069" spans="1:5" x14ac:dyDescent="0.25">
      <c r="A1069">
        <v>1068</v>
      </c>
      <c r="B1069">
        <v>23</v>
      </c>
      <c r="C1069">
        <v>1068</v>
      </c>
      <c r="D1069">
        <v>39</v>
      </c>
      <c r="E1069" s="22">
        <v>44133</v>
      </c>
    </row>
    <row r="1070" spans="1:5" x14ac:dyDescent="0.25">
      <c r="A1070">
        <v>1069</v>
      </c>
      <c r="B1070">
        <v>23</v>
      </c>
      <c r="C1070">
        <v>1069</v>
      </c>
      <c r="D1070">
        <v>39</v>
      </c>
      <c r="E1070" s="22">
        <v>44133</v>
      </c>
    </row>
    <row r="1071" spans="1:5" x14ac:dyDescent="0.25">
      <c r="A1071">
        <v>1070</v>
      </c>
      <c r="B1071">
        <v>23</v>
      </c>
      <c r="C1071">
        <v>1070</v>
      </c>
      <c r="D1071">
        <v>39</v>
      </c>
      <c r="E1071" s="22">
        <v>44133</v>
      </c>
    </row>
    <row r="1072" spans="1:5" x14ac:dyDescent="0.25">
      <c r="A1072">
        <v>1071</v>
      </c>
      <c r="B1072">
        <v>23</v>
      </c>
      <c r="C1072">
        <v>1071</v>
      </c>
      <c r="D1072">
        <v>39</v>
      </c>
      <c r="E1072" s="22">
        <v>44133</v>
      </c>
    </row>
    <row r="1073" spans="1:5" x14ac:dyDescent="0.25">
      <c r="A1073">
        <v>1072</v>
      </c>
      <c r="B1073">
        <v>23</v>
      </c>
      <c r="C1073">
        <v>1072</v>
      </c>
      <c r="D1073">
        <v>39</v>
      </c>
      <c r="E1073" s="22">
        <v>44133</v>
      </c>
    </row>
    <row r="1074" spans="1:5" x14ac:dyDescent="0.25">
      <c r="A1074">
        <v>1073</v>
      </c>
      <c r="B1074">
        <v>23</v>
      </c>
      <c r="C1074">
        <v>1073</v>
      </c>
      <c r="D1074">
        <v>39</v>
      </c>
      <c r="E1074" s="22">
        <v>44133</v>
      </c>
    </row>
    <row r="1075" spans="1:5" x14ac:dyDescent="0.25">
      <c r="A1075">
        <v>1074</v>
      </c>
      <c r="B1075">
        <v>23</v>
      </c>
      <c r="C1075">
        <v>1074</v>
      </c>
      <c r="D1075">
        <v>39</v>
      </c>
      <c r="E1075" s="22">
        <v>44133</v>
      </c>
    </row>
    <row r="1076" spans="1:5" x14ac:dyDescent="0.25">
      <c r="A1076">
        <v>1075</v>
      </c>
      <c r="B1076">
        <v>23</v>
      </c>
      <c r="C1076">
        <v>1075</v>
      </c>
      <c r="D1076">
        <v>39</v>
      </c>
      <c r="E1076" s="22">
        <v>44133</v>
      </c>
    </row>
    <row r="1077" spans="1:5" x14ac:dyDescent="0.25">
      <c r="A1077">
        <v>1076</v>
      </c>
      <c r="B1077">
        <v>23</v>
      </c>
      <c r="C1077">
        <v>1076</v>
      </c>
      <c r="D1077">
        <v>39</v>
      </c>
      <c r="E1077" s="22">
        <v>44133</v>
      </c>
    </row>
    <row r="1078" spans="1:5" x14ac:dyDescent="0.25">
      <c r="A1078">
        <v>1077</v>
      </c>
      <c r="B1078">
        <v>23</v>
      </c>
      <c r="C1078">
        <v>1077</v>
      </c>
      <c r="D1078">
        <v>39</v>
      </c>
      <c r="E1078" s="22">
        <v>44133</v>
      </c>
    </row>
    <row r="1079" spans="1:5" x14ac:dyDescent="0.25">
      <c r="A1079">
        <v>1078</v>
      </c>
      <c r="B1079">
        <v>23</v>
      </c>
      <c r="C1079">
        <v>1078</v>
      </c>
      <c r="D1079">
        <v>39</v>
      </c>
      <c r="E1079" s="22">
        <v>44133</v>
      </c>
    </row>
    <row r="1080" spans="1:5" x14ac:dyDescent="0.25">
      <c r="A1080">
        <v>1079</v>
      </c>
      <c r="B1080">
        <v>23</v>
      </c>
      <c r="C1080">
        <v>1079</v>
      </c>
      <c r="D1080">
        <v>39</v>
      </c>
      <c r="E1080" s="22">
        <v>44133</v>
      </c>
    </row>
    <row r="1081" spans="1:5" x14ac:dyDescent="0.25">
      <c r="A1081">
        <v>1080</v>
      </c>
      <c r="B1081">
        <v>23</v>
      </c>
      <c r="C1081">
        <v>1080</v>
      </c>
      <c r="D1081">
        <v>39</v>
      </c>
      <c r="E1081" s="22">
        <v>44133</v>
      </c>
    </row>
    <row r="1082" spans="1:5" x14ac:dyDescent="0.25">
      <c r="A1082">
        <v>1081</v>
      </c>
      <c r="B1082">
        <v>23</v>
      </c>
      <c r="C1082">
        <v>1081</v>
      </c>
      <c r="D1082">
        <v>39</v>
      </c>
      <c r="E1082" s="22">
        <v>44133</v>
      </c>
    </row>
    <row r="1083" spans="1:5" x14ac:dyDescent="0.25">
      <c r="A1083">
        <v>1082</v>
      </c>
      <c r="B1083">
        <v>23</v>
      </c>
      <c r="C1083">
        <v>1082</v>
      </c>
      <c r="D1083">
        <v>39</v>
      </c>
      <c r="E1083" s="22">
        <v>44133</v>
      </c>
    </row>
    <row r="1084" spans="1:5" x14ac:dyDescent="0.25">
      <c r="A1084">
        <v>1083</v>
      </c>
      <c r="B1084">
        <v>23</v>
      </c>
      <c r="C1084">
        <v>1083</v>
      </c>
      <c r="D1084">
        <v>39</v>
      </c>
      <c r="E1084" s="22">
        <v>44133</v>
      </c>
    </row>
    <row r="1085" spans="1:5" x14ac:dyDescent="0.25">
      <c r="A1085">
        <v>1084</v>
      </c>
      <c r="B1085">
        <v>23</v>
      </c>
      <c r="C1085">
        <v>1084</v>
      </c>
      <c r="D1085">
        <v>39</v>
      </c>
      <c r="E1085" s="22">
        <v>44133</v>
      </c>
    </row>
    <row r="1086" spans="1:5" x14ac:dyDescent="0.25">
      <c r="A1086">
        <v>1085</v>
      </c>
      <c r="B1086">
        <v>23</v>
      </c>
      <c r="C1086">
        <v>1085</v>
      </c>
      <c r="D1086">
        <v>39</v>
      </c>
      <c r="E1086" s="22">
        <v>44133</v>
      </c>
    </row>
    <row r="1087" spans="1:5" x14ac:dyDescent="0.25">
      <c r="A1087">
        <v>1086</v>
      </c>
      <c r="B1087">
        <v>23</v>
      </c>
      <c r="C1087">
        <v>1086</v>
      </c>
      <c r="D1087">
        <v>39</v>
      </c>
      <c r="E1087" s="22">
        <v>44133</v>
      </c>
    </row>
    <row r="1088" spans="1:5" x14ac:dyDescent="0.25">
      <c r="A1088">
        <v>1087</v>
      </c>
      <c r="B1088">
        <v>23</v>
      </c>
      <c r="C1088">
        <v>1087</v>
      </c>
      <c r="D1088">
        <v>39</v>
      </c>
      <c r="E1088" s="22">
        <v>44133</v>
      </c>
    </row>
    <row r="1089" spans="1:5" x14ac:dyDescent="0.25">
      <c r="A1089">
        <v>1088</v>
      </c>
      <c r="B1089">
        <v>23</v>
      </c>
      <c r="C1089">
        <v>1088</v>
      </c>
      <c r="D1089">
        <v>39</v>
      </c>
      <c r="E1089" s="22">
        <v>44133</v>
      </c>
    </row>
    <row r="1090" spans="1:5" x14ac:dyDescent="0.25">
      <c r="A1090">
        <v>1089</v>
      </c>
      <c r="B1090">
        <v>23</v>
      </c>
      <c r="C1090">
        <v>1089</v>
      </c>
      <c r="D1090">
        <v>39</v>
      </c>
      <c r="E1090" s="22">
        <v>44133</v>
      </c>
    </row>
    <row r="1091" spans="1:5" x14ac:dyDescent="0.25">
      <c r="A1091">
        <v>1090</v>
      </c>
      <c r="B1091">
        <v>23</v>
      </c>
      <c r="C1091">
        <v>1090</v>
      </c>
      <c r="D1091">
        <v>39</v>
      </c>
      <c r="E1091" s="22">
        <v>44133</v>
      </c>
    </row>
    <row r="1092" spans="1:5" x14ac:dyDescent="0.25">
      <c r="A1092">
        <v>1091</v>
      </c>
      <c r="B1092">
        <v>23</v>
      </c>
      <c r="C1092">
        <v>1091</v>
      </c>
      <c r="D1092">
        <v>39</v>
      </c>
      <c r="E1092" s="22">
        <v>44133</v>
      </c>
    </row>
    <row r="1093" spans="1:5" x14ac:dyDescent="0.25">
      <c r="A1093">
        <v>1092</v>
      </c>
      <c r="B1093">
        <v>23</v>
      </c>
      <c r="C1093">
        <v>1092</v>
      </c>
      <c r="D1093">
        <v>39</v>
      </c>
      <c r="E1093" s="22">
        <v>44133</v>
      </c>
    </row>
    <row r="1094" spans="1:5" x14ac:dyDescent="0.25">
      <c r="A1094">
        <v>1093</v>
      </c>
      <c r="B1094">
        <v>23</v>
      </c>
      <c r="C1094">
        <v>1093</v>
      </c>
      <c r="D1094">
        <v>39</v>
      </c>
      <c r="E1094" s="22">
        <v>44133</v>
      </c>
    </row>
    <row r="1095" spans="1:5" x14ac:dyDescent="0.25">
      <c r="A1095">
        <v>1094</v>
      </c>
      <c r="B1095">
        <v>23</v>
      </c>
      <c r="C1095">
        <v>1094</v>
      </c>
      <c r="D1095">
        <v>39</v>
      </c>
      <c r="E1095" s="22">
        <v>44133</v>
      </c>
    </row>
    <row r="1096" spans="1:5" x14ac:dyDescent="0.25">
      <c r="A1096">
        <v>1095</v>
      </c>
      <c r="B1096">
        <v>39</v>
      </c>
      <c r="C1096">
        <v>1095</v>
      </c>
      <c r="D1096">
        <v>4</v>
      </c>
      <c r="E1096" s="22">
        <v>44133</v>
      </c>
    </row>
    <row r="1097" spans="1:5" x14ac:dyDescent="0.25">
      <c r="A1097">
        <v>1096</v>
      </c>
      <c r="B1097">
        <v>23</v>
      </c>
      <c r="C1097">
        <v>1096</v>
      </c>
      <c r="D1097">
        <v>39</v>
      </c>
      <c r="E1097" s="22">
        <v>44133</v>
      </c>
    </row>
    <row r="1098" spans="1:5" x14ac:dyDescent="0.25">
      <c r="A1098">
        <v>1097</v>
      </c>
      <c r="B1098">
        <v>4</v>
      </c>
      <c r="C1098">
        <v>1097</v>
      </c>
      <c r="D1098">
        <v>4</v>
      </c>
      <c r="E1098" s="22">
        <v>44133</v>
      </c>
    </row>
    <row r="1099" spans="1:5" x14ac:dyDescent="0.25">
      <c r="A1099">
        <v>1098</v>
      </c>
      <c r="B1099">
        <v>4</v>
      </c>
      <c r="C1099">
        <v>1098</v>
      </c>
      <c r="D1099">
        <v>4</v>
      </c>
      <c r="E1099" s="22">
        <v>44133</v>
      </c>
    </row>
    <row r="1100" spans="1:5" x14ac:dyDescent="0.25">
      <c r="A1100">
        <v>1099</v>
      </c>
      <c r="B1100">
        <v>2</v>
      </c>
      <c r="C1100">
        <v>1099</v>
      </c>
      <c r="D1100">
        <v>4</v>
      </c>
      <c r="E1100" s="22">
        <v>44133</v>
      </c>
    </row>
    <row r="1101" spans="1:5" x14ac:dyDescent="0.25">
      <c r="A1101">
        <v>1100</v>
      </c>
      <c r="B1101">
        <v>39</v>
      </c>
      <c r="C1101">
        <v>1100</v>
      </c>
      <c r="D1101">
        <v>4</v>
      </c>
      <c r="E1101" s="22">
        <v>44133</v>
      </c>
    </row>
    <row r="1102" spans="1:5" x14ac:dyDescent="0.25">
      <c r="A1102">
        <v>1101</v>
      </c>
      <c r="B1102">
        <v>23</v>
      </c>
      <c r="C1102">
        <v>1101</v>
      </c>
      <c r="D1102">
        <v>4</v>
      </c>
      <c r="E1102" s="22">
        <v>44133</v>
      </c>
    </row>
    <row r="1103" spans="1:5" x14ac:dyDescent="0.25">
      <c r="A1103">
        <v>1102</v>
      </c>
      <c r="B1103">
        <v>4</v>
      </c>
      <c r="C1103">
        <v>1102</v>
      </c>
      <c r="D1103">
        <v>4</v>
      </c>
      <c r="E1103" s="22">
        <v>44133</v>
      </c>
    </row>
    <row r="1104" spans="1:5" x14ac:dyDescent="0.25">
      <c r="A1104">
        <v>1103</v>
      </c>
      <c r="B1104">
        <v>39</v>
      </c>
      <c r="C1104">
        <v>1103</v>
      </c>
      <c r="D1104">
        <v>4</v>
      </c>
      <c r="E1104" s="22">
        <v>44133</v>
      </c>
    </row>
    <row r="1105" spans="1:5" x14ac:dyDescent="0.25">
      <c r="A1105">
        <v>1104</v>
      </c>
      <c r="B1105">
        <v>4</v>
      </c>
      <c r="C1105">
        <v>1104</v>
      </c>
      <c r="D1105">
        <v>4</v>
      </c>
      <c r="E1105" s="22">
        <v>44133</v>
      </c>
    </row>
    <row r="1106" spans="1:5" x14ac:dyDescent="0.25">
      <c r="A1106">
        <v>1105</v>
      </c>
      <c r="B1106">
        <v>9</v>
      </c>
      <c r="C1106">
        <v>1105</v>
      </c>
      <c r="D1106">
        <v>39</v>
      </c>
      <c r="E1106" s="22">
        <v>44133</v>
      </c>
    </row>
    <row r="1107" spans="1:5" x14ac:dyDescent="0.25">
      <c r="A1107">
        <v>1106</v>
      </c>
      <c r="B1107">
        <v>9</v>
      </c>
      <c r="C1107">
        <v>1106</v>
      </c>
      <c r="D1107">
        <v>39</v>
      </c>
      <c r="E1107" s="22">
        <v>44133</v>
      </c>
    </row>
    <row r="1108" spans="1:5" x14ac:dyDescent="0.25">
      <c r="A1108">
        <v>1107</v>
      </c>
      <c r="B1108">
        <v>9</v>
      </c>
      <c r="C1108">
        <v>1107</v>
      </c>
      <c r="D1108">
        <v>39</v>
      </c>
      <c r="E1108" s="22">
        <v>44133</v>
      </c>
    </row>
    <row r="1109" spans="1:5" x14ac:dyDescent="0.25">
      <c r="A1109">
        <v>1108</v>
      </c>
      <c r="B1109">
        <v>9</v>
      </c>
      <c r="C1109">
        <v>1108</v>
      </c>
      <c r="D1109">
        <v>39</v>
      </c>
      <c r="E1109" s="22">
        <v>44133</v>
      </c>
    </row>
    <row r="1110" spans="1:5" x14ac:dyDescent="0.25">
      <c r="A1110">
        <v>1109</v>
      </c>
      <c r="B1110">
        <v>4</v>
      </c>
      <c r="C1110">
        <v>1109</v>
      </c>
      <c r="D1110">
        <v>4</v>
      </c>
      <c r="E1110" s="22">
        <v>44133</v>
      </c>
    </row>
    <row r="1111" spans="1:5" x14ac:dyDescent="0.25">
      <c r="A1111">
        <v>1110</v>
      </c>
      <c r="B1111">
        <v>4</v>
      </c>
      <c r="C1111">
        <v>1110</v>
      </c>
      <c r="D1111">
        <v>4</v>
      </c>
      <c r="E1111" s="22">
        <v>44133</v>
      </c>
    </row>
    <row r="1112" spans="1:5" x14ac:dyDescent="0.25">
      <c r="A1112">
        <v>1111</v>
      </c>
      <c r="B1112">
        <v>9</v>
      </c>
      <c r="C1112">
        <v>1111</v>
      </c>
      <c r="D1112">
        <v>39</v>
      </c>
      <c r="E1112" s="22">
        <v>44133</v>
      </c>
    </row>
    <row r="1113" spans="1:5" x14ac:dyDescent="0.25">
      <c r="A1113">
        <v>1112</v>
      </c>
      <c r="B1113">
        <v>9</v>
      </c>
      <c r="C1113">
        <v>1112</v>
      </c>
      <c r="D1113">
        <v>39</v>
      </c>
      <c r="E1113" s="22">
        <v>44133</v>
      </c>
    </row>
    <row r="1114" spans="1:5" x14ac:dyDescent="0.25">
      <c r="A1114">
        <v>1113</v>
      </c>
      <c r="B1114">
        <v>9</v>
      </c>
      <c r="C1114">
        <v>1113</v>
      </c>
      <c r="D1114">
        <v>39</v>
      </c>
      <c r="E1114" s="22">
        <v>44133</v>
      </c>
    </row>
    <row r="1115" spans="1:5" x14ac:dyDescent="0.25">
      <c r="A1115">
        <v>1114</v>
      </c>
      <c r="B1115">
        <v>9</v>
      </c>
      <c r="C1115">
        <v>1114</v>
      </c>
      <c r="D1115">
        <v>39</v>
      </c>
      <c r="E1115" s="22">
        <v>44133</v>
      </c>
    </row>
    <row r="1116" spans="1:5" x14ac:dyDescent="0.25">
      <c r="A1116">
        <v>1115</v>
      </c>
      <c r="B1116">
        <v>9</v>
      </c>
      <c r="C1116">
        <v>1115</v>
      </c>
      <c r="D1116">
        <v>39</v>
      </c>
      <c r="E1116" s="22">
        <v>44133</v>
      </c>
    </row>
    <row r="1117" spans="1:5" x14ac:dyDescent="0.25">
      <c r="A1117">
        <v>1116</v>
      </c>
      <c r="B1117">
        <v>9</v>
      </c>
      <c r="C1117">
        <v>1116</v>
      </c>
      <c r="D1117">
        <v>39</v>
      </c>
      <c r="E1117" s="22">
        <v>44133</v>
      </c>
    </row>
    <row r="1118" spans="1:5" x14ac:dyDescent="0.25">
      <c r="A1118">
        <v>1117</v>
      </c>
      <c r="B1118">
        <v>9</v>
      </c>
      <c r="C1118">
        <v>1117</v>
      </c>
      <c r="D1118">
        <v>39</v>
      </c>
      <c r="E1118" s="22">
        <v>44133</v>
      </c>
    </row>
    <row r="1119" spans="1:5" x14ac:dyDescent="0.25">
      <c r="A1119">
        <v>1118</v>
      </c>
      <c r="B1119">
        <v>9</v>
      </c>
      <c r="C1119">
        <v>1118</v>
      </c>
      <c r="D1119">
        <v>39</v>
      </c>
      <c r="E1119" s="22">
        <v>44133</v>
      </c>
    </row>
    <row r="1120" spans="1:5" x14ac:dyDescent="0.25">
      <c r="A1120">
        <v>1119</v>
      </c>
      <c r="B1120">
        <v>9</v>
      </c>
      <c r="C1120">
        <v>1119</v>
      </c>
      <c r="D1120">
        <v>39</v>
      </c>
      <c r="E1120" s="22">
        <v>44133</v>
      </c>
    </row>
    <row r="1121" spans="1:5" x14ac:dyDescent="0.25">
      <c r="A1121">
        <v>1120</v>
      </c>
      <c r="B1121">
        <v>9</v>
      </c>
      <c r="C1121">
        <v>1120</v>
      </c>
      <c r="D1121">
        <v>39</v>
      </c>
      <c r="E1121" s="22">
        <v>44133</v>
      </c>
    </row>
    <row r="1122" spans="1:5" x14ac:dyDescent="0.25">
      <c r="A1122">
        <v>1121</v>
      </c>
      <c r="B1122">
        <v>9</v>
      </c>
      <c r="C1122">
        <v>1121</v>
      </c>
      <c r="D1122">
        <v>39</v>
      </c>
      <c r="E1122" s="22">
        <v>44133</v>
      </c>
    </row>
    <row r="1123" spans="1:5" x14ac:dyDescent="0.25">
      <c r="A1123">
        <v>1122</v>
      </c>
      <c r="B1123">
        <v>9</v>
      </c>
      <c r="C1123">
        <v>1122</v>
      </c>
      <c r="D1123">
        <v>39</v>
      </c>
      <c r="E1123" s="22">
        <v>44133</v>
      </c>
    </row>
    <row r="1124" spans="1:5" x14ac:dyDescent="0.25">
      <c r="A1124">
        <v>1123</v>
      </c>
      <c r="B1124">
        <v>9</v>
      </c>
      <c r="C1124">
        <v>1123</v>
      </c>
      <c r="D1124">
        <v>39</v>
      </c>
      <c r="E1124" s="22">
        <v>44133</v>
      </c>
    </row>
    <row r="1125" spans="1:5" x14ac:dyDescent="0.25">
      <c r="A1125">
        <v>1124</v>
      </c>
      <c r="B1125">
        <v>9</v>
      </c>
      <c r="C1125">
        <v>1124</v>
      </c>
      <c r="D1125">
        <v>39</v>
      </c>
      <c r="E1125" s="22">
        <v>44133</v>
      </c>
    </row>
    <row r="1126" spans="1:5" x14ac:dyDescent="0.25">
      <c r="A1126">
        <v>1125</v>
      </c>
      <c r="B1126">
        <v>9</v>
      </c>
      <c r="C1126">
        <v>1125</v>
      </c>
      <c r="D1126">
        <v>39</v>
      </c>
      <c r="E1126" s="22">
        <v>44133</v>
      </c>
    </row>
    <row r="1127" spans="1:5" x14ac:dyDescent="0.25">
      <c r="A1127">
        <v>1126</v>
      </c>
      <c r="B1127">
        <v>9</v>
      </c>
      <c r="C1127">
        <v>1126</v>
      </c>
      <c r="D1127">
        <v>39</v>
      </c>
      <c r="E1127" s="22">
        <v>44133</v>
      </c>
    </row>
    <row r="1128" spans="1:5" x14ac:dyDescent="0.25">
      <c r="A1128">
        <v>1127</v>
      </c>
      <c r="B1128">
        <v>9</v>
      </c>
      <c r="C1128">
        <v>1127</v>
      </c>
      <c r="D1128">
        <v>39</v>
      </c>
      <c r="E1128" s="22">
        <v>44133</v>
      </c>
    </row>
    <row r="1129" spans="1:5" x14ac:dyDescent="0.25">
      <c r="A1129">
        <v>1128</v>
      </c>
      <c r="B1129">
        <v>9</v>
      </c>
      <c r="C1129">
        <v>1128</v>
      </c>
      <c r="D1129">
        <v>39</v>
      </c>
      <c r="E1129" s="22">
        <v>44133</v>
      </c>
    </row>
    <row r="1130" spans="1:5" x14ac:dyDescent="0.25">
      <c r="A1130">
        <v>1129</v>
      </c>
      <c r="B1130">
        <v>9</v>
      </c>
      <c r="C1130">
        <v>1129</v>
      </c>
      <c r="D1130">
        <v>39</v>
      </c>
      <c r="E1130" s="22">
        <v>44133</v>
      </c>
    </row>
    <row r="1131" spans="1:5" x14ac:dyDescent="0.25">
      <c r="A1131">
        <v>1130</v>
      </c>
      <c r="B1131">
        <v>9</v>
      </c>
      <c r="C1131">
        <v>1130</v>
      </c>
      <c r="D1131">
        <v>39</v>
      </c>
      <c r="E1131" s="22">
        <v>44133</v>
      </c>
    </row>
    <row r="1132" spans="1:5" x14ac:dyDescent="0.25">
      <c r="A1132">
        <v>1131</v>
      </c>
      <c r="B1132">
        <v>9</v>
      </c>
      <c r="C1132">
        <v>1131</v>
      </c>
      <c r="D1132">
        <v>39</v>
      </c>
      <c r="E1132" s="22">
        <v>44133</v>
      </c>
    </row>
    <row r="1133" spans="1:5" x14ac:dyDescent="0.25">
      <c r="A1133">
        <v>1132</v>
      </c>
      <c r="B1133">
        <v>9</v>
      </c>
      <c r="C1133">
        <v>1132</v>
      </c>
      <c r="D1133">
        <v>39</v>
      </c>
      <c r="E1133" s="22">
        <v>44133</v>
      </c>
    </row>
    <row r="1134" spans="1:5" x14ac:dyDescent="0.25">
      <c r="A1134">
        <v>1133</v>
      </c>
      <c r="B1134">
        <v>9</v>
      </c>
      <c r="C1134">
        <v>1133</v>
      </c>
      <c r="D1134">
        <v>39</v>
      </c>
      <c r="E1134" s="22">
        <v>44133</v>
      </c>
    </row>
    <row r="1135" spans="1:5" x14ac:dyDescent="0.25">
      <c r="A1135">
        <v>1134</v>
      </c>
      <c r="B1135">
        <v>9</v>
      </c>
      <c r="C1135">
        <v>1134</v>
      </c>
      <c r="D1135">
        <v>39</v>
      </c>
      <c r="E1135" s="22">
        <v>44133</v>
      </c>
    </row>
    <row r="1136" spans="1:5" x14ac:dyDescent="0.25">
      <c r="A1136">
        <v>1135</v>
      </c>
      <c r="B1136">
        <v>9</v>
      </c>
      <c r="C1136">
        <v>1135</v>
      </c>
      <c r="D1136">
        <v>39</v>
      </c>
      <c r="E1136" s="22">
        <v>44133</v>
      </c>
    </row>
    <row r="1137" spans="1:5" x14ac:dyDescent="0.25">
      <c r="A1137">
        <v>1136</v>
      </c>
      <c r="B1137">
        <v>9</v>
      </c>
      <c r="C1137">
        <v>1136</v>
      </c>
      <c r="D1137">
        <v>39</v>
      </c>
      <c r="E1137" s="22">
        <v>44133</v>
      </c>
    </row>
    <row r="1138" spans="1:5" x14ac:dyDescent="0.25">
      <c r="A1138">
        <v>1137</v>
      </c>
      <c r="B1138">
        <v>9</v>
      </c>
      <c r="C1138">
        <v>1137</v>
      </c>
      <c r="D1138">
        <v>39</v>
      </c>
      <c r="E1138" s="22">
        <v>44133</v>
      </c>
    </row>
    <row r="1139" spans="1:5" x14ac:dyDescent="0.25">
      <c r="A1139">
        <v>1138</v>
      </c>
      <c r="B1139">
        <v>9</v>
      </c>
      <c r="C1139">
        <v>1138</v>
      </c>
      <c r="D1139">
        <v>39</v>
      </c>
      <c r="E1139" s="22">
        <v>44133</v>
      </c>
    </row>
    <row r="1140" spans="1:5" x14ac:dyDescent="0.25">
      <c r="A1140">
        <v>1139</v>
      </c>
      <c r="B1140">
        <v>9</v>
      </c>
      <c r="C1140">
        <v>1139</v>
      </c>
      <c r="D1140">
        <v>39</v>
      </c>
      <c r="E1140" s="22">
        <v>44133</v>
      </c>
    </row>
    <row r="1141" spans="1:5" x14ac:dyDescent="0.25">
      <c r="A1141">
        <v>1140</v>
      </c>
      <c r="B1141">
        <v>9</v>
      </c>
      <c r="C1141">
        <v>1140</v>
      </c>
      <c r="D1141">
        <v>39</v>
      </c>
      <c r="E1141" s="22">
        <v>44133</v>
      </c>
    </row>
    <row r="1142" spans="1:5" x14ac:dyDescent="0.25">
      <c r="A1142">
        <v>1141</v>
      </c>
      <c r="B1142">
        <v>9</v>
      </c>
      <c r="C1142">
        <v>1141</v>
      </c>
      <c r="D1142">
        <v>39</v>
      </c>
      <c r="E1142" s="22">
        <v>44133</v>
      </c>
    </row>
    <row r="1143" spans="1:5" x14ac:dyDescent="0.25">
      <c r="A1143">
        <v>1142</v>
      </c>
      <c r="B1143">
        <v>9</v>
      </c>
      <c r="C1143">
        <v>1142</v>
      </c>
      <c r="D1143">
        <v>39</v>
      </c>
      <c r="E1143" s="22">
        <v>44133</v>
      </c>
    </row>
    <row r="1144" spans="1:5" x14ac:dyDescent="0.25">
      <c r="A1144">
        <v>1143</v>
      </c>
      <c r="B1144">
        <v>9</v>
      </c>
      <c r="C1144">
        <v>1143</v>
      </c>
      <c r="D1144">
        <v>39</v>
      </c>
      <c r="E1144" s="22">
        <v>44133</v>
      </c>
    </row>
    <row r="1145" spans="1:5" x14ac:dyDescent="0.25">
      <c r="A1145">
        <v>1144</v>
      </c>
      <c r="B1145">
        <v>9</v>
      </c>
      <c r="C1145">
        <v>1144</v>
      </c>
      <c r="D1145">
        <v>39</v>
      </c>
      <c r="E1145" s="22">
        <v>44133</v>
      </c>
    </row>
    <row r="1146" spans="1:5" x14ac:dyDescent="0.25">
      <c r="A1146">
        <v>1145</v>
      </c>
      <c r="B1146">
        <v>9</v>
      </c>
      <c r="C1146">
        <v>1145</v>
      </c>
      <c r="D1146">
        <v>39</v>
      </c>
      <c r="E1146" s="22">
        <v>44133</v>
      </c>
    </row>
    <row r="1147" spans="1:5" x14ac:dyDescent="0.25">
      <c r="A1147">
        <v>1146</v>
      </c>
      <c r="B1147">
        <v>9</v>
      </c>
      <c r="C1147">
        <v>1146</v>
      </c>
      <c r="D1147">
        <v>39</v>
      </c>
      <c r="E1147" s="22">
        <v>44133</v>
      </c>
    </row>
    <row r="1148" spans="1:5" x14ac:dyDescent="0.25">
      <c r="A1148">
        <v>1147</v>
      </c>
      <c r="B1148">
        <v>9</v>
      </c>
      <c r="C1148">
        <v>1147</v>
      </c>
      <c r="D1148">
        <v>39</v>
      </c>
      <c r="E1148" s="22">
        <v>44133</v>
      </c>
    </row>
    <row r="1149" spans="1:5" x14ac:dyDescent="0.25">
      <c r="A1149">
        <v>1148</v>
      </c>
      <c r="B1149">
        <v>9</v>
      </c>
      <c r="C1149">
        <v>1148</v>
      </c>
      <c r="D1149">
        <v>39</v>
      </c>
      <c r="E1149" s="22">
        <v>44133</v>
      </c>
    </row>
    <row r="1150" spans="1:5" x14ac:dyDescent="0.25">
      <c r="A1150">
        <v>1149</v>
      </c>
      <c r="B1150">
        <v>9</v>
      </c>
      <c r="C1150">
        <v>1149</v>
      </c>
      <c r="D1150">
        <v>39</v>
      </c>
      <c r="E1150" s="22">
        <v>44133</v>
      </c>
    </row>
    <row r="1151" spans="1:5" x14ac:dyDescent="0.25">
      <c r="A1151">
        <v>1150</v>
      </c>
      <c r="B1151">
        <v>9</v>
      </c>
      <c r="C1151">
        <v>1150</v>
      </c>
      <c r="D1151">
        <v>39</v>
      </c>
      <c r="E1151" s="22">
        <v>44133</v>
      </c>
    </row>
    <row r="1152" spans="1:5" x14ac:dyDescent="0.25">
      <c r="A1152">
        <v>1151</v>
      </c>
      <c r="B1152">
        <v>9</v>
      </c>
      <c r="C1152">
        <v>1151</v>
      </c>
      <c r="D1152">
        <v>39</v>
      </c>
      <c r="E1152" s="22">
        <v>44133</v>
      </c>
    </row>
    <row r="1153" spans="1:5" x14ac:dyDescent="0.25">
      <c r="A1153">
        <v>1152</v>
      </c>
      <c r="B1153">
        <v>9</v>
      </c>
      <c r="C1153">
        <v>1152</v>
      </c>
      <c r="D1153">
        <v>39</v>
      </c>
      <c r="E1153" s="22">
        <v>44133</v>
      </c>
    </row>
    <row r="1154" spans="1:5" x14ac:dyDescent="0.25">
      <c r="A1154">
        <v>1153</v>
      </c>
      <c r="B1154">
        <v>9</v>
      </c>
      <c r="C1154">
        <v>1153</v>
      </c>
      <c r="D1154">
        <v>39</v>
      </c>
      <c r="E1154" s="22">
        <v>44133</v>
      </c>
    </row>
    <row r="1155" spans="1:5" x14ac:dyDescent="0.25">
      <c r="A1155">
        <v>1154</v>
      </c>
      <c r="B1155">
        <v>9</v>
      </c>
      <c r="C1155">
        <v>1154</v>
      </c>
      <c r="D1155">
        <v>39</v>
      </c>
      <c r="E1155" s="22">
        <v>44133</v>
      </c>
    </row>
    <row r="1156" spans="1:5" x14ac:dyDescent="0.25">
      <c r="A1156">
        <v>1155</v>
      </c>
      <c r="B1156">
        <v>9</v>
      </c>
      <c r="C1156">
        <v>1155</v>
      </c>
      <c r="D1156">
        <v>39</v>
      </c>
      <c r="E1156" s="22">
        <v>44133</v>
      </c>
    </row>
    <row r="1157" spans="1:5" x14ac:dyDescent="0.25">
      <c r="A1157">
        <v>1156</v>
      </c>
      <c r="B1157">
        <v>9</v>
      </c>
      <c r="C1157">
        <v>1156</v>
      </c>
      <c r="D1157">
        <v>39</v>
      </c>
      <c r="E1157" s="22">
        <v>44133</v>
      </c>
    </row>
    <row r="1158" spans="1:5" x14ac:dyDescent="0.25">
      <c r="A1158">
        <v>1157</v>
      </c>
      <c r="B1158">
        <v>9</v>
      </c>
      <c r="C1158">
        <v>1157</v>
      </c>
      <c r="D1158">
        <v>39</v>
      </c>
      <c r="E1158" s="22">
        <v>44133</v>
      </c>
    </row>
    <row r="1159" spans="1:5" x14ac:dyDescent="0.25">
      <c r="A1159">
        <v>1158</v>
      </c>
      <c r="B1159">
        <v>9</v>
      </c>
      <c r="C1159">
        <v>1158</v>
      </c>
      <c r="D1159">
        <v>39</v>
      </c>
      <c r="E1159" s="22">
        <v>44133</v>
      </c>
    </row>
    <row r="1160" spans="1:5" x14ac:dyDescent="0.25">
      <c r="A1160">
        <v>1159</v>
      </c>
      <c r="B1160">
        <v>9</v>
      </c>
      <c r="C1160">
        <v>1159</v>
      </c>
      <c r="D1160">
        <v>39</v>
      </c>
      <c r="E1160" s="22">
        <v>44133</v>
      </c>
    </row>
    <row r="1161" spans="1:5" x14ac:dyDescent="0.25">
      <c r="A1161">
        <v>1160</v>
      </c>
      <c r="B1161">
        <v>9</v>
      </c>
      <c r="C1161">
        <v>1160</v>
      </c>
      <c r="D1161">
        <v>39</v>
      </c>
      <c r="E1161" s="22">
        <v>44133</v>
      </c>
    </row>
    <row r="1162" spans="1:5" x14ac:dyDescent="0.25">
      <c r="A1162">
        <v>1161</v>
      </c>
      <c r="B1162">
        <v>9</v>
      </c>
      <c r="C1162">
        <v>1161</v>
      </c>
      <c r="D1162">
        <v>39</v>
      </c>
      <c r="E1162" s="22">
        <v>44133</v>
      </c>
    </row>
    <row r="1163" spans="1:5" x14ac:dyDescent="0.25">
      <c r="A1163">
        <v>1162</v>
      </c>
      <c r="B1163">
        <v>9</v>
      </c>
      <c r="C1163">
        <v>1162</v>
      </c>
      <c r="D1163">
        <v>39</v>
      </c>
      <c r="E1163" s="22">
        <v>44133</v>
      </c>
    </row>
    <row r="1164" spans="1:5" x14ac:dyDescent="0.25">
      <c r="A1164">
        <v>1163</v>
      </c>
      <c r="B1164">
        <v>9</v>
      </c>
      <c r="C1164">
        <v>1163</v>
      </c>
      <c r="D1164">
        <v>39</v>
      </c>
      <c r="E1164" s="22">
        <v>44133</v>
      </c>
    </row>
    <row r="1165" spans="1:5" x14ac:dyDescent="0.25">
      <c r="A1165">
        <v>1164</v>
      </c>
      <c r="B1165">
        <v>9</v>
      </c>
      <c r="C1165">
        <v>1164</v>
      </c>
      <c r="D1165">
        <v>39</v>
      </c>
      <c r="E1165" s="22">
        <v>44133</v>
      </c>
    </row>
    <row r="1166" spans="1:5" x14ac:dyDescent="0.25">
      <c r="A1166">
        <v>1165</v>
      </c>
      <c r="B1166">
        <v>9</v>
      </c>
      <c r="C1166">
        <v>1165</v>
      </c>
      <c r="D1166">
        <v>39</v>
      </c>
      <c r="E1166" s="22">
        <v>44133</v>
      </c>
    </row>
    <row r="1167" spans="1:5" x14ac:dyDescent="0.25">
      <c r="A1167">
        <v>1166</v>
      </c>
      <c r="B1167">
        <v>9</v>
      </c>
      <c r="C1167">
        <v>1166</v>
      </c>
      <c r="D1167">
        <v>39</v>
      </c>
      <c r="E1167" s="22">
        <v>44133</v>
      </c>
    </row>
    <row r="1168" spans="1:5" x14ac:dyDescent="0.25">
      <c r="A1168">
        <v>1167</v>
      </c>
      <c r="B1168">
        <v>9</v>
      </c>
      <c r="C1168">
        <v>1167</v>
      </c>
      <c r="D1168">
        <v>39</v>
      </c>
      <c r="E1168" s="22">
        <v>44133</v>
      </c>
    </row>
    <row r="1169" spans="1:5" x14ac:dyDescent="0.25">
      <c r="A1169">
        <v>1168</v>
      </c>
      <c r="B1169">
        <v>9</v>
      </c>
      <c r="C1169">
        <v>1168</v>
      </c>
      <c r="D1169">
        <v>39</v>
      </c>
      <c r="E1169" s="22">
        <v>44133</v>
      </c>
    </row>
    <row r="1170" spans="1:5" x14ac:dyDescent="0.25">
      <c r="A1170">
        <v>1169</v>
      </c>
      <c r="B1170">
        <v>9</v>
      </c>
      <c r="C1170">
        <v>1169</v>
      </c>
      <c r="D1170">
        <v>39</v>
      </c>
      <c r="E1170" s="22">
        <v>44133</v>
      </c>
    </row>
    <row r="1171" spans="1:5" x14ac:dyDescent="0.25">
      <c r="A1171">
        <v>1170</v>
      </c>
      <c r="B1171">
        <v>9</v>
      </c>
      <c r="C1171">
        <v>1170</v>
      </c>
      <c r="D1171">
        <v>39</v>
      </c>
      <c r="E1171" s="22">
        <v>44133</v>
      </c>
    </row>
    <row r="1172" spans="1:5" x14ac:dyDescent="0.25">
      <c r="A1172">
        <v>1171</v>
      </c>
      <c r="B1172">
        <v>9</v>
      </c>
      <c r="C1172">
        <v>1171</v>
      </c>
      <c r="D1172">
        <v>39</v>
      </c>
      <c r="E1172" s="22">
        <v>44133</v>
      </c>
    </row>
    <row r="1173" spans="1:5" x14ac:dyDescent="0.25">
      <c r="A1173">
        <v>1172</v>
      </c>
      <c r="B1173">
        <v>9</v>
      </c>
      <c r="C1173">
        <v>1172</v>
      </c>
      <c r="D1173">
        <v>39</v>
      </c>
      <c r="E1173" s="22">
        <v>44133</v>
      </c>
    </row>
    <row r="1174" spans="1:5" x14ac:dyDescent="0.25">
      <c r="A1174">
        <v>1173</v>
      </c>
      <c r="B1174">
        <v>9</v>
      </c>
      <c r="C1174">
        <v>1173</v>
      </c>
      <c r="D1174">
        <v>39</v>
      </c>
      <c r="E1174" s="22">
        <v>44133</v>
      </c>
    </row>
    <row r="1175" spans="1:5" x14ac:dyDescent="0.25">
      <c r="A1175">
        <v>1174</v>
      </c>
      <c r="B1175">
        <v>9</v>
      </c>
      <c r="C1175">
        <v>1174</v>
      </c>
      <c r="D1175">
        <v>39</v>
      </c>
      <c r="E1175" s="22">
        <v>44133</v>
      </c>
    </row>
    <row r="1176" spans="1:5" x14ac:dyDescent="0.25">
      <c r="A1176">
        <v>1175</v>
      </c>
      <c r="B1176">
        <v>9</v>
      </c>
      <c r="C1176">
        <v>1175</v>
      </c>
      <c r="D1176">
        <v>39</v>
      </c>
      <c r="E1176" s="22">
        <v>44133</v>
      </c>
    </row>
    <row r="1177" spans="1:5" x14ac:dyDescent="0.25">
      <c r="A1177">
        <v>1176</v>
      </c>
      <c r="B1177">
        <v>9</v>
      </c>
      <c r="C1177">
        <v>1176</v>
      </c>
      <c r="D1177">
        <v>39</v>
      </c>
      <c r="E1177" s="22">
        <v>44133</v>
      </c>
    </row>
    <row r="1178" spans="1:5" x14ac:dyDescent="0.25">
      <c r="A1178">
        <v>1177</v>
      </c>
      <c r="B1178">
        <v>9</v>
      </c>
      <c r="C1178">
        <v>1177</v>
      </c>
      <c r="D1178">
        <v>39</v>
      </c>
      <c r="E1178" s="22">
        <v>44133</v>
      </c>
    </row>
    <row r="1179" spans="1:5" x14ac:dyDescent="0.25">
      <c r="A1179">
        <v>1178</v>
      </c>
      <c r="B1179">
        <v>9</v>
      </c>
      <c r="C1179">
        <v>1178</v>
      </c>
      <c r="D1179">
        <v>39</v>
      </c>
      <c r="E1179" s="22">
        <v>44133</v>
      </c>
    </row>
    <row r="1180" spans="1:5" x14ac:dyDescent="0.25">
      <c r="A1180">
        <v>1179</v>
      </c>
      <c r="B1180">
        <v>9</v>
      </c>
      <c r="C1180">
        <v>1179</v>
      </c>
      <c r="D1180">
        <v>39</v>
      </c>
      <c r="E1180" s="22">
        <v>44133</v>
      </c>
    </row>
    <row r="1181" spans="1:5" x14ac:dyDescent="0.25">
      <c r="A1181">
        <v>1180</v>
      </c>
      <c r="B1181">
        <v>9</v>
      </c>
      <c r="C1181">
        <v>1180</v>
      </c>
      <c r="D1181">
        <v>39</v>
      </c>
      <c r="E1181" s="22">
        <v>44133</v>
      </c>
    </row>
    <row r="1182" spans="1:5" x14ac:dyDescent="0.25">
      <c r="A1182">
        <v>1181</v>
      </c>
      <c r="B1182">
        <v>9</v>
      </c>
      <c r="C1182">
        <v>1181</v>
      </c>
      <c r="D1182">
        <v>39</v>
      </c>
      <c r="E1182" s="22">
        <v>44133</v>
      </c>
    </row>
    <row r="1183" spans="1:5" x14ac:dyDescent="0.25">
      <c r="A1183">
        <v>1182</v>
      </c>
      <c r="B1183">
        <v>9</v>
      </c>
      <c r="C1183">
        <v>1182</v>
      </c>
      <c r="D1183">
        <v>39</v>
      </c>
      <c r="E1183" s="22">
        <v>44133</v>
      </c>
    </row>
    <row r="1184" spans="1:5" x14ac:dyDescent="0.25">
      <c r="A1184">
        <v>1183</v>
      </c>
      <c r="B1184">
        <v>9</v>
      </c>
      <c r="C1184">
        <v>1183</v>
      </c>
      <c r="D1184">
        <v>39</v>
      </c>
      <c r="E1184" s="22">
        <v>44133</v>
      </c>
    </row>
    <row r="1185" spans="1:5" x14ac:dyDescent="0.25">
      <c r="A1185">
        <v>1184</v>
      </c>
      <c r="B1185">
        <v>9</v>
      </c>
      <c r="C1185">
        <v>1184</v>
      </c>
      <c r="D1185">
        <v>39</v>
      </c>
      <c r="E1185" s="22">
        <v>44133</v>
      </c>
    </row>
    <row r="1186" spans="1:5" x14ac:dyDescent="0.25">
      <c r="A1186">
        <v>1185</v>
      </c>
      <c r="B1186">
        <v>9</v>
      </c>
      <c r="C1186">
        <v>1185</v>
      </c>
      <c r="D1186">
        <v>39</v>
      </c>
      <c r="E1186" s="22">
        <v>44133</v>
      </c>
    </row>
    <row r="1187" spans="1:5" x14ac:dyDescent="0.25">
      <c r="A1187">
        <v>1186</v>
      </c>
      <c r="B1187">
        <v>9</v>
      </c>
      <c r="C1187">
        <v>1186</v>
      </c>
      <c r="D1187">
        <v>39</v>
      </c>
      <c r="E1187" s="22">
        <v>44133</v>
      </c>
    </row>
    <row r="1188" spans="1:5" x14ac:dyDescent="0.25">
      <c r="A1188">
        <v>1187</v>
      </c>
      <c r="B1188">
        <v>9</v>
      </c>
      <c r="C1188">
        <v>1187</v>
      </c>
      <c r="D1188">
        <v>39</v>
      </c>
      <c r="E1188" s="22">
        <v>44133</v>
      </c>
    </row>
    <row r="1189" spans="1:5" x14ac:dyDescent="0.25">
      <c r="A1189">
        <v>1188</v>
      </c>
      <c r="B1189">
        <v>9</v>
      </c>
      <c r="C1189">
        <v>1188</v>
      </c>
      <c r="D1189">
        <v>39</v>
      </c>
      <c r="E1189" s="22">
        <v>44133</v>
      </c>
    </row>
    <row r="1190" spans="1:5" x14ac:dyDescent="0.25">
      <c r="A1190">
        <v>1189</v>
      </c>
      <c r="B1190">
        <v>9</v>
      </c>
      <c r="C1190">
        <v>1189</v>
      </c>
      <c r="D1190">
        <v>39</v>
      </c>
      <c r="E1190" s="22">
        <v>44133</v>
      </c>
    </row>
    <row r="1191" spans="1:5" x14ac:dyDescent="0.25">
      <c r="A1191">
        <v>1190</v>
      </c>
      <c r="B1191">
        <v>9</v>
      </c>
      <c r="C1191">
        <v>1190</v>
      </c>
      <c r="D1191">
        <v>39</v>
      </c>
      <c r="E1191" s="22">
        <v>44133</v>
      </c>
    </row>
    <row r="1192" spans="1:5" x14ac:dyDescent="0.25">
      <c r="A1192">
        <v>1191</v>
      </c>
      <c r="B1192">
        <v>9</v>
      </c>
      <c r="C1192">
        <v>1191</v>
      </c>
      <c r="D1192">
        <v>39</v>
      </c>
      <c r="E1192" s="22">
        <v>44133</v>
      </c>
    </row>
    <row r="1193" spans="1:5" x14ac:dyDescent="0.25">
      <c r="A1193">
        <v>1192</v>
      </c>
      <c r="B1193">
        <v>9</v>
      </c>
      <c r="C1193">
        <v>1192</v>
      </c>
      <c r="D1193">
        <v>39</v>
      </c>
      <c r="E1193" s="22">
        <v>44133</v>
      </c>
    </row>
    <row r="1194" spans="1:5" x14ac:dyDescent="0.25">
      <c r="A1194">
        <v>1193</v>
      </c>
      <c r="B1194">
        <v>9</v>
      </c>
      <c r="C1194">
        <v>1193</v>
      </c>
      <c r="D1194">
        <v>39</v>
      </c>
      <c r="E1194" s="22">
        <v>44133</v>
      </c>
    </row>
    <row r="1195" spans="1:5" x14ac:dyDescent="0.25">
      <c r="A1195">
        <v>1194</v>
      </c>
      <c r="B1195">
        <v>9</v>
      </c>
      <c r="C1195">
        <v>1194</v>
      </c>
      <c r="D1195">
        <v>39</v>
      </c>
      <c r="E1195" s="22">
        <v>44133</v>
      </c>
    </row>
    <row r="1196" spans="1:5" x14ac:dyDescent="0.25">
      <c r="A1196">
        <v>1195</v>
      </c>
      <c r="B1196">
        <v>9</v>
      </c>
      <c r="C1196">
        <v>1195</v>
      </c>
      <c r="D1196">
        <v>39</v>
      </c>
      <c r="E1196" s="22">
        <v>44133</v>
      </c>
    </row>
    <row r="1197" spans="1:5" x14ac:dyDescent="0.25">
      <c r="A1197">
        <v>1196</v>
      </c>
      <c r="B1197">
        <v>9</v>
      </c>
      <c r="C1197">
        <v>1196</v>
      </c>
      <c r="D1197">
        <v>39</v>
      </c>
      <c r="E1197" s="22">
        <v>44133</v>
      </c>
    </row>
    <row r="1198" spans="1:5" x14ac:dyDescent="0.25">
      <c r="A1198">
        <v>1197</v>
      </c>
      <c r="B1198">
        <v>9</v>
      </c>
      <c r="C1198">
        <v>1197</v>
      </c>
      <c r="D1198">
        <v>39</v>
      </c>
      <c r="E1198" s="22">
        <v>44133</v>
      </c>
    </row>
    <row r="1199" spans="1:5" x14ac:dyDescent="0.25">
      <c r="A1199">
        <v>1198</v>
      </c>
      <c r="B1199">
        <v>9</v>
      </c>
      <c r="C1199">
        <v>1198</v>
      </c>
      <c r="D1199">
        <v>39</v>
      </c>
      <c r="E1199" s="22">
        <v>44133</v>
      </c>
    </row>
    <row r="1200" spans="1:5" x14ac:dyDescent="0.25">
      <c r="A1200">
        <v>1199</v>
      </c>
      <c r="B1200">
        <v>9</v>
      </c>
      <c r="C1200">
        <v>1199</v>
      </c>
      <c r="D1200">
        <v>39</v>
      </c>
      <c r="E1200" s="22">
        <v>44133</v>
      </c>
    </row>
    <row r="1201" spans="1:5" x14ac:dyDescent="0.25">
      <c r="A1201">
        <v>1200</v>
      </c>
      <c r="B1201">
        <v>9</v>
      </c>
      <c r="C1201">
        <v>1200</v>
      </c>
      <c r="D1201">
        <v>39</v>
      </c>
      <c r="E1201" s="22">
        <v>44133</v>
      </c>
    </row>
    <row r="1202" spans="1:5" x14ac:dyDescent="0.25">
      <c r="A1202">
        <v>1201</v>
      </c>
      <c r="B1202">
        <v>9</v>
      </c>
      <c r="C1202">
        <v>1201</v>
      </c>
      <c r="D1202">
        <v>39</v>
      </c>
      <c r="E1202" s="22">
        <v>44133</v>
      </c>
    </row>
    <row r="1203" spans="1:5" x14ac:dyDescent="0.25">
      <c r="A1203">
        <v>1202</v>
      </c>
      <c r="B1203">
        <v>9</v>
      </c>
      <c r="C1203">
        <v>1202</v>
      </c>
      <c r="D1203">
        <v>39</v>
      </c>
      <c r="E1203" s="22">
        <v>44133</v>
      </c>
    </row>
    <row r="1204" spans="1:5" x14ac:dyDescent="0.25">
      <c r="A1204">
        <v>1203</v>
      </c>
      <c r="B1204">
        <v>9</v>
      </c>
      <c r="C1204">
        <v>1203</v>
      </c>
      <c r="D1204">
        <v>39</v>
      </c>
      <c r="E1204" s="22">
        <v>44133</v>
      </c>
    </row>
    <row r="1205" spans="1:5" x14ac:dyDescent="0.25">
      <c r="A1205">
        <v>1204</v>
      </c>
      <c r="B1205">
        <v>9</v>
      </c>
      <c r="C1205">
        <v>1204</v>
      </c>
      <c r="D1205">
        <v>39</v>
      </c>
      <c r="E1205" s="22">
        <v>44133</v>
      </c>
    </row>
    <row r="1206" spans="1:5" x14ac:dyDescent="0.25">
      <c r="A1206">
        <v>1205</v>
      </c>
      <c r="B1206">
        <v>9</v>
      </c>
      <c r="C1206">
        <v>1205</v>
      </c>
      <c r="D1206">
        <v>39</v>
      </c>
      <c r="E1206" s="22">
        <v>44133</v>
      </c>
    </row>
    <row r="1207" spans="1:5" x14ac:dyDescent="0.25">
      <c r="A1207">
        <v>1206</v>
      </c>
      <c r="B1207">
        <v>9</v>
      </c>
      <c r="C1207">
        <v>1206</v>
      </c>
      <c r="D1207">
        <v>39</v>
      </c>
      <c r="E1207" s="22">
        <v>44133</v>
      </c>
    </row>
    <row r="1208" spans="1:5" x14ac:dyDescent="0.25">
      <c r="A1208">
        <v>1207</v>
      </c>
      <c r="B1208">
        <v>9</v>
      </c>
      <c r="C1208">
        <v>1207</v>
      </c>
      <c r="D1208">
        <v>39</v>
      </c>
      <c r="E1208" s="22">
        <v>44133</v>
      </c>
    </row>
    <row r="1209" spans="1:5" x14ac:dyDescent="0.25">
      <c r="A1209">
        <v>1208</v>
      </c>
      <c r="B1209">
        <v>9</v>
      </c>
      <c r="C1209">
        <v>1208</v>
      </c>
      <c r="D1209">
        <v>39</v>
      </c>
      <c r="E1209" s="22">
        <v>44133</v>
      </c>
    </row>
    <row r="1210" spans="1:5" x14ac:dyDescent="0.25">
      <c r="A1210">
        <v>1209</v>
      </c>
      <c r="B1210">
        <v>9</v>
      </c>
      <c r="C1210">
        <v>1209</v>
      </c>
      <c r="D1210">
        <v>39</v>
      </c>
      <c r="E1210" s="22">
        <v>44133</v>
      </c>
    </row>
    <row r="1211" spans="1:5" x14ac:dyDescent="0.25">
      <c r="A1211">
        <v>1210</v>
      </c>
      <c r="B1211">
        <v>9</v>
      </c>
      <c r="C1211">
        <v>1210</v>
      </c>
      <c r="D1211">
        <v>39</v>
      </c>
      <c r="E1211" s="22">
        <v>44133</v>
      </c>
    </row>
    <row r="1212" spans="1:5" x14ac:dyDescent="0.25">
      <c r="A1212">
        <v>1211</v>
      </c>
      <c r="B1212">
        <v>9</v>
      </c>
      <c r="C1212">
        <v>1211</v>
      </c>
      <c r="D1212">
        <v>39</v>
      </c>
      <c r="E1212" s="22">
        <v>44133</v>
      </c>
    </row>
    <row r="1213" spans="1:5" x14ac:dyDescent="0.25">
      <c r="A1213">
        <v>1212</v>
      </c>
      <c r="B1213">
        <v>9</v>
      </c>
      <c r="C1213">
        <v>1212</v>
      </c>
      <c r="D1213">
        <v>39</v>
      </c>
      <c r="E1213" s="22">
        <v>44133</v>
      </c>
    </row>
    <row r="1214" spans="1:5" x14ac:dyDescent="0.25">
      <c r="A1214">
        <v>1213</v>
      </c>
      <c r="B1214">
        <v>9</v>
      </c>
      <c r="C1214">
        <v>1213</v>
      </c>
      <c r="D1214">
        <v>39</v>
      </c>
      <c r="E1214" s="22">
        <v>44133</v>
      </c>
    </row>
    <row r="1215" spans="1:5" x14ac:dyDescent="0.25">
      <c r="A1215">
        <v>1214</v>
      </c>
      <c r="B1215">
        <v>23</v>
      </c>
      <c r="C1215">
        <v>1214</v>
      </c>
      <c r="D1215">
        <v>39</v>
      </c>
      <c r="E1215" s="22">
        <v>44133</v>
      </c>
    </row>
    <row r="1216" spans="1:5" x14ac:dyDescent="0.25">
      <c r="A1216">
        <v>1215</v>
      </c>
      <c r="B1216">
        <v>23</v>
      </c>
      <c r="C1216">
        <v>1215</v>
      </c>
      <c r="D1216">
        <v>39</v>
      </c>
      <c r="E1216" s="22">
        <v>44133</v>
      </c>
    </row>
    <row r="1217" spans="1:5" x14ac:dyDescent="0.25">
      <c r="A1217">
        <v>1216</v>
      </c>
      <c r="B1217">
        <v>23</v>
      </c>
      <c r="C1217">
        <v>1216</v>
      </c>
      <c r="D1217">
        <v>39</v>
      </c>
      <c r="E1217" s="22">
        <v>44133</v>
      </c>
    </row>
    <row r="1218" spans="1:5" x14ac:dyDescent="0.25">
      <c r="A1218">
        <v>1217</v>
      </c>
      <c r="B1218">
        <v>23</v>
      </c>
      <c r="C1218">
        <v>1217</v>
      </c>
      <c r="D1218">
        <v>39</v>
      </c>
      <c r="E1218" s="22">
        <v>44133</v>
      </c>
    </row>
    <row r="1219" spans="1:5" x14ac:dyDescent="0.25">
      <c r="A1219">
        <v>1218</v>
      </c>
      <c r="B1219">
        <v>23</v>
      </c>
      <c r="C1219">
        <v>1218</v>
      </c>
      <c r="D1219">
        <v>39</v>
      </c>
      <c r="E1219" s="22">
        <v>44133</v>
      </c>
    </row>
    <row r="1220" spans="1:5" x14ac:dyDescent="0.25">
      <c r="A1220">
        <v>1219</v>
      </c>
      <c r="B1220">
        <v>23</v>
      </c>
      <c r="C1220">
        <v>1219</v>
      </c>
      <c r="D1220">
        <v>39</v>
      </c>
      <c r="E1220" s="22">
        <v>44133</v>
      </c>
    </row>
    <row r="1221" spans="1:5" x14ac:dyDescent="0.25">
      <c r="A1221">
        <v>1220</v>
      </c>
      <c r="B1221">
        <v>23</v>
      </c>
      <c r="C1221">
        <v>1220</v>
      </c>
      <c r="D1221">
        <v>39</v>
      </c>
      <c r="E1221" s="22">
        <v>44133</v>
      </c>
    </row>
    <row r="1222" spans="1:5" x14ac:dyDescent="0.25">
      <c r="A1222">
        <v>1221</v>
      </c>
      <c r="B1222">
        <v>23</v>
      </c>
      <c r="C1222">
        <v>1221</v>
      </c>
      <c r="D1222">
        <v>39</v>
      </c>
      <c r="E1222" s="22">
        <v>44133</v>
      </c>
    </row>
    <row r="1223" spans="1:5" x14ac:dyDescent="0.25">
      <c r="A1223">
        <v>1222</v>
      </c>
      <c r="B1223">
        <v>23</v>
      </c>
      <c r="C1223">
        <v>1222</v>
      </c>
      <c r="D1223">
        <v>39</v>
      </c>
      <c r="E1223" s="22">
        <v>44133</v>
      </c>
    </row>
    <row r="1224" spans="1:5" x14ac:dyDescent="0.25">
      <c r="A1224">
        <v>1223</v>
      </c>
      <c r="B1224">
        <v>23</v>
      </c>
      <c r="C1224">
        <v>1223</v>
      </c>
      <c r="D1224">
        <v>39</v>
      </c>
      <c r="E1224" s="22">
        <v>44133</v>
      </c>
    </row>
    <row r="1225" spans="1:5" x14ac:dyDescent="0.25">
      <c r="A1225">
        <v>1224</v>
      </c>
      <c r="B1225">
        <v>23</v>
      </c>
      <c r="C1225">
        <v>1224</v>
      </c>
      <c r="D1225">
        <v>39</v>
      </c>
      <c r="E1225" s="22">
        <v>44133</v>
      </c>
    </row>
    <row r="1226" spans="1:5" x14ac:dyDescent="0.25">
      <c r="A1226">
        <v>1225</v>
      </c>
      <c r="B1226">
        <v>23</v>
      </c>
      <c r="C1226">
        <v>1225</v>
      </c>
      <c r="D1226">
        <v>39</v>
      </c>
      <c r="E1226" s="22">
        <v>44133</v>
      </c>
    </row>
    <row r="1227" spans="1:5" x14ac:dyDescent="0.25">
      <c r="A1227">
        <v>1226</v>
      </c>
      <c r="B1227">
        <v>23</v>
      </c>
      <c r="C1227">
        <v>1226</v>
      </c>
      <c r="D1227">
        <v>39</v>
      </c>
      <c r="E1227" s="22">
        <v>44133</v>
      </c>
    </row>
    <row r="1228" spans="1:5" x14ac:dyDescent="0.25">
      <c r="A1228">
        <v>1227</v>
      </c>
      <c r="B1228">
        <v>23</v>
      </c>
      <c r="C1228">
        <v>1227</v>
      </c>
      <c r="D1228">
        <v>39</v>
      </c>
      <c r="E1228" s="22">
        <v>44133</v>
      </c>
    </row>
    <row r="1229" spans="1:5" x14ac:dyDescent="0.25">
      <c r="A1229">
        <v>1228</v>
      </c>
      <c r="B1229">
        <v>23</v>
      </c>
      <c r="C1229">
        <v>1228</v>
      </c>
      <c r="D1229">
        <v>39</v>
      </c>
      <c r="E1229" s="22">
        <v>44133</v>
      </c>
    </row>
    <row r="1230" spans="1:5" x14ac:dyDescent="0.25">
      <c r="A1230">
        <v>1229</v>
      </c>
      <c r="B1230">
        <v>23</v>
      </c>
      <c r="C1230">
        <v>1229</v>
      </c>
      <c r="D1230">
        <v>39</v>
      </c>
      <c r="E1230" s="22">
        <v>44133</v>
      </c>
    </row>
    <row r="1231" spans="1:5" x14ac:dyDescent="0.25">
      <c r="A1231">
        <v>1230</v>
      </c>
      <c r="B1231">
        <v>23</v>
      </c>
      <c r="C1231">
        <v>1230</v>
      </c>
      <c r="D1231">
        <v>39</v>
      </c>
      <c r="E1231" s="22">
        <v>44133</v>
      </c>
    </row>
    <row r="1232" spans="1:5" x14ac:dyDescent="0.25">
      <c r="A1232">
        <v>1231</v>
      </c>
      <c r="B1232">
        <v>23</v>
      </c>
      <c r="C1232">
        <v>1231</v>
      </c>
      <c r="D1232">
        <v>39</v>
      </c>
      <c r="E1232" s="22">
        <v>44133</v>
      </c>
    </row>
    <row r="1233" spans="1:5" x14ac:dyDescent="0.25">
      <c r="A1233">
        <v>1232</v>
      </c>
      <c r="B1233">
        <v>23</v>
      </c>
      <c r="C1233">
        <v>1232</v>
      </c>
      <c r="D1233">
        <v>39</v>
      </c>
      <c r="E1233" s="22">
        <v>44133</v>
      </c>
    </row>
    <row r="1234" spans="1:5" x14ac:dyDescent="0.25">
      <c r="A1234">
        <v>1233</v>
      </c>
      <c r="B1234">
        <v>23</v>
      </c>
      <c r="C1234">
        <v>1233</v>
      </c>
      <c r="D1234">
        <v>39</v>
      </c>
      <c r="E1234" s="22">
        <v>44133</v>
      </c>
    </row>
    <row r="1235" spans="1:5" x14ac:dyDescent="0.25">
      <c r="A1235">
        <v>1234</v>
      </c>
      <c r="B1235">
        <v>23</v>
      </c>
      <c r="C1235">
        <v>1234</v>
      </c>
      <c r="D1235">
        <v>39</v>
      </c>
      <c r="E1235" s="22">
        <v>44133</v>
      </c>
    </row>
    <row r="1236" spans="1:5" x14ac:dyDescent="0.25">
      <c r="A1236">
        <v>1235</v>
      </c>
      <c r="B1236">
        <v>23</v>
      </c>
      <c r="C1236">
        <v>1235</v>
      </c>
      <c r="D1236">
        <v>39</v>
      </c>
      <c r="E1236" s="22">
        <v>44133</v>
      </c>
    </row>
    <row r="1237" spans="1:5" x14ac:dyDescent="0.25">
      <c r="A1237">
        <v>1236</v>
      </c>
      <c r="B1237">
        <v>23</v>
      </c>
      <c r="C1237">
        <v>1236</v>
      </c>
      <c r="D1237">
        <v>39</v>
      </c>
      <c r="E1237" s="22">
        <v>44133</v>
      </c>
    </row>
    <row r="1238" spans="1:5" x14ac:dyDescent="0.25">
      <c r="A1238">
        <v>1237</v>
      </c>
      <c r="B1238">
        <v>23</v>
      </c>
      <c r="C1238">
        <v>1237</v>
      </c>
      <c r="D1238">
        <v>39</v>
      </c>
      <c r="E1238" s="22">
        <v>44133</v>
      </c>
    </row>
    <row r="1239" spans="1:5" x14ac:dyDescent="0.25">
      <c r="A1239">
        <v>1238</v>
      </c>
      <c r="B1239">
        <v>23</v>
      </c>
      <c r="C1239">
        <v>1238</v>
      </c>
      <c r="D1239">
        <v>39</v>
      </c>
      <c r="E1239" s="22">
        <v>44133</v>
      </c>
    </row>
    <row r="1240" spans="1:5" x14ac:dyDescent="0.25">
      <c r="A1240">
        <v>1239</v>
      </c>
      <c r="B1240">
        <v>23</v>
      </c>
      <c r="C1240">
        <v>1239</v>
      </c>
      <c r="D1240">
        <v>39</v>
      </c>
      <c r="E1240" s="22">
        <v>44133</v>
      </c>
    </row>
    <row r="1241" spans="1:5" x14ac:dyDescent="0.25">
      <c r="A1241">
        <v>1240</v>
      </c>
      <c r="B1241">
        <v>23</v>
      </c>
      <c r="C1241">
        <v>1240</v>
      </c>
      <c r="D1241">
        <v>39</v>
      </c>
      <c r="E1241" s="22">
        <v>44133</v>
      </c>
    </row>
    <row r="1242" spans="1:5" x14ac:dyDescent="0.25">
      <c r="A1242">
        <v>1241</v>
      </c>
      <c r="B1242">
        <v>23</v>
      </c>
      <c r="C1242">
        <v>1241</v>
      </c>
      <c r="D1242">
        <v>39</v>
      </c>
      <c r="E1242" s="22">
        <v>44133</v>
      </c>
    </row>
    <row r="1243" spans="1:5" x14ac:dyDescent="0.25">
      <c r="A1243">
        <v>1242</v>
      </c>
      <c r="B1243">
        <v>23</v>
      </c>
      <c r="C1243">
        <v>1242</v>
      </c>
      <c r="D1243">
        <v>39</v>
      </c>
      <c r="E1243" s="22">
        <v>44133</v>
      </c>
    </row>
    <row r="1244" spans="1:5" x14ac:dyDescent="0.25">
      <c r="A1244">
        <v>1243</v>
      </c>
      <c r="B1244">
        <v>23</v>
      </c>
      <c r="C1244">
        <v>1243</v>
      </c>
      <c r="D1244">
        <v>39</v>
      </c>
      <c r="E1244" s="22">
        <v>44133</v>
      </c>
    </row>
    <row r="1245" spans="1:5" x14ac:dyDescent="0.25">
      <c r="A1245">
        <v>1244</v>
      </c>
      <c r="B1245">
        <v>23</v>
      </c>
      <c r="C1245">
        <v>1244</v>
      </c>
      <c r="D1245">
        <v>39</v>
      </c>
      <c r="E1245" s="22">
        <v>44133</v>
      </c>
    </row>
    <row r="1246" spans="1:5" x14ac:dyDescent="0.25">
      <c r="A1246">
        <v>1245</v>
      </c>
      <c r="B1246">
        <v>23</v>
      </c>
      <c r="C1246">
        <v>1245</v>
      </c>
      <c r="D1246">
        <v>39</v>
      </c>
      <c r="E1246" s="22">
        <v>44133</v>
      </c>
    </row>
    <row r="1247" spans="1:5" x14ac:dyDescent="0.25">
      <c r="A1247">
        <v>1246</v>
      </c>
      <c r="B1247">
        <v>23</v>
      </c>
      <c r="C1247">
        <v>1246</v>
      </c>
      <c r="D1247">
        <v>39</v>
      </c>
      <c r="E1247" s="22">
        <v>44133</v>
      </c>
    </row>
    <row r="1248" spans="1:5" x14ac:dyDescent="0.25">
      <c r="A1248">
        <v>1247</v>
      </c>
      <c r="B1248">
        <v>23</v>
      </c>
      <c r="C1248">
        <v>1247</v>
      </c>
      <c r="D1248">
        <v>39</v>
      </c>
      <c r="E1248" s="22">
        <v>44133</v>
      </c>
    </row>
    <row r="1249" spans="1:5" x14ac:dyDescent="0.25">
      <c r="A1249">
        <v>1248</v>
      </c>
      <c r="B1249">
        <v>23</v>
      </c>
      <c r="C1249">
        <v>1248</v>
      </c>
      <c r="D1249">
        <v>39</v>
      </c>
      <c r="E1249" s="22">
        <v>44133</v>
      </c>
    </row>
    <row r="1250" spans="1:5" x14ac:dyDescent="0.25">
      <c r="A1250">
        <v>1249</v>
      </c>
      <c r="B1250">
        <v>23</v>
      </c>
      <c r="C1250">
        <v>1249</v>
      </c>
      <c r="D1250">
        <v>39</v>
      </c>
      <c r="E1250" s="22">
        <v>44133</v>
      </c>
    </row>
    <row r="1251" spans="1:5" x14ac:dyDescent="0.25">
      <c r="A1251">
        <v>1250</v>
      </c>
      <c r="B1251">
        <v>23</v>
      </c>
      <c r="C1251">
        <v>1250</v>
      </c>
      <c r="D1251">
        <v>39</v>
      </c>
      <c r="E1251" s="22">
        <v>44133</v>
      </c>
    </row>
    <row r="1252" spans="1:5" x14ac:dyDescent="0.25">
      <c r="A1252">
        <v>1251</v>
      </c>
      <c r="B1252">
        <v>23</v>
      </c>
      <c r="C1252">
        <v>1251</v>
      </c>
      <c r="D1252">
        <v>39</v>
      </c>
      <c r="E1252" s="22">
        <v>44133</v>
      </c>
    </row>
    <row r="1253" spans="1:5" x14ac:dyDescent="0.25">
      <c r="A1253">
        <v>1252</v>
      </c>
      <c r="B1253">
        <v>23</v>
      </c>
      <c r="C1253">
        <v>1252</v>
      </c>
      <c r="D1253">
        <v>39</v>
      </c>
      <c r="E1253" s="22">
        <v>44133</v>
      </c>
    </row>
    <row r="1254" spans="1:5" x14ac:dyDescent="0.25">
      <c r="A1254">
        <v>1253</v>
      </c>
      <c r="B1254">
        <v>23</v>
      </c>
      <c r="C1254">
        <v>1253</v>
      </c>
      <c r="D1254">
        <v>39</v>
      </c>
      <c r="E1254" s="22">
        <v>44133</v>
      </c>
    </row>
    <row r="1255" spans="1:5" x14ac:dyDescent="0.25">
      <c r="A1255">
        <v>1254</v>
      </c>
      <c r="B1255">
        <v>23</v>
      </c>
      <c r="C1255">
        <v>1254</v>
      </c>
      <c r="D1255">
        <v>39</v>
      </c>
      <c r="E1255" s="22">
        <v>44133</v>
      </c>
    </row>
    <row r="1256" spans="1:5" x14ac:dyDescent="0.25">
      <c r="A1256">
        <v>1255</v>
      </c>
      <c r="B1256">
        <v>23</v>
      </c>
      <c r="C1256">
        <v>1255</v>
      </c>
      <c r="D1256">
        <v>39</v>
      </c>
      <c r="E1256" s="22">
        <v>44133</v>
      </c>
    </row>
    <row r="1257" spans="1:5" x14ac:dyDescent="0.25">
      <c r="A1257">
        <v>1256</v>
      </c>
      <c r="B1257">
        <v>23</v>
      </c>
      <c r="C1257">
        <v>1256</v>
      </c>
      <c r="D1257">
        <v>39</v>
      </c>
      <c r="E1257" s="22">
        <v>44133</v>
      </c>
    </row>
    <row r="1258" spans="1:5" x14ac:dyDescent="0.25">
      <c r="A1258">
        <v>1257</v>
      </c>
      <c r="B1258">
        <v>23</v>
      </c>
      <c r="C1258">
        <v>1257</v>
      </c>
      <c r="D1258">
        <v>39</v>
      </c>
      <c r="E1258" s="22">
        <v>44133</v>
      </c>
    </row>
    <row r="1259" spans="1:5" x14ac:dyDescent="0.25">
      <c r="A1259">
        <v>1258</v>
      </c>
      <c r="B1259">
        <v>23</v>
      </c>
      <c r="C1259">
        <v>1258</v>
      </c>
      <c r="D1259">
        <v>39</v>
      </c>
      <c r="E1259" s="22">
        <v>44133</v>
      </c>
    </row>
    <row r="1260" spans="1:5" x14ac:dyDescent="0.25">
      <c r="A1260">
        <v>1259</v>
      </c>
      <c r="B1260">
        <v>23</v>
      </c>
      <c r="C1260">
        <v>1259</v>
      </c>
      <c r="D1260">
        <v>39</v>
      </c>
      <c r="E1260" s="22">
        <v>44133</v>
      </c>
    </row>
    <row r="1261" spans="1:5" x14ac:dyDescent="0.25">
      <c r="A1261">
        <v>1260</v>
      </c>
      <c r="B1261">
        <v>23</v>
      </c>
      <c r="C1261">
        <v>1260</v>
      </c>
      <c r="D1261">
        <v>39</v>
      </c>
      <c r="E1261" s="22">
        <v>44133</v>
      </c>
    </row>
    <row r="1262" spans="1:5" x14ac:dyDescent="0.25">
      <c r="A1262">
        <v>1261</v>
      </c>
      <c r="B1262">
        <v>23</v>
      </c>
      <c r="C1262">
        <v>1261</v>
      </c>
      <c r="D1262">
        <v>39</v>
      </c>
      <c r="E1262" s="22">
        <v>44133</v>
      </c>
    </row>
    <row r="1263" spans="1:5" x14ac:dyDescent="0.25">
      <c r="A1263">
        <v>1262</v>
      </c>
      <c r="B1263">
        <v>23</v>
      </c>
      <c r="C1263">
        <v>1262</v>
      </c>
      <c r="D1263">
        <v>39</v>
      </c>
      <c r="E1263" s="22">
        <v>44133</v>
      </c>
    </row>
    <row r="1264" spans="1:5" x14ac:dyDescent="0.25">
      <c r="A1264">
        <v>1263</v>
      </c>
      <c r="B1264">
        <v>23</v>
      </c>
      <c r="C1264">
        <v>1263</v>
      </c>
      <c r="D1264">
        <v>39</v>
      </c>
      <c r="E1264" s="22">
        <v>44133</v>
      </c>
    </row>
    <row r="1265" spans="1:5" x14ac:dyDescent="0.25">
      <c r="A1265">
        <v>1264</v>
      </c>
      <c r="B1265">
        <v>23</v>
      </c>
      <c r="C1265">
        <v>1264</v>
      </c>
      <c r="D1265">
        <v>39</v>
      </c>
      <c r="E1265" s="22">
        <v>44133</v>
      </c>
    </row>
    <row r="1266" spans="1:5" x14ac:dyDescent="0.25">
      <c r="A1266">
        <v>1265</v>
      </c>
      <c r="B1266">
        <v>23</v>
      </c>
      <c r="C1266">
        <v>1265</v>
      </c>
      <c r="D1266">
        <v>39</v>
      </c>
      <c r="E1266" s="22">
        <v>44133</v>
      </c>
    </row>
    <row r="1267" spans="1:5" x14ac:dyDescent="0.25">
      <c r="A1267">
        <v>1266</v>
      </c>
      <c r="B1267">
        <v>23</v>
      </c>
      <c r="C1267">
        <v>1266</v>
      </c>
      <c r="D1267">
        <v>39</v>
      </c>
      <c r="E1267" s="22">
        <v>44133</v>
      </c>
    </row>
    <row r="1268" spans="1:5" x14ac:dyDescent="0.25">
      <c r="A1268">
        <v>1267</v>
      </c>
      <c r="B1268">
        <v>23</v>
      </c>
      <c r="C1268">
        <v>1267</v>
      </c>
      <c r="D1268">
        <v>39</v>
      </c>
      <c r="E1268" s="22">
        <v>44133</v>
      </c>
    </row>
    <row r="1269" spans="1:5" x14ac:dyDescent="0.25">
      <c r="A1269">
        <v>1268</v>
      </c>
      <c r="B1269">
        <v>23</v>
      </c>
      <c r="C1269">
        <v>1268</v>
      </c>
      <c r="D1269">
        <v>39</v>
      </c>
      <c r="E1269" s="22">
        <v>44133</v>
      </c>
    </row>
    <row r="1270" spans="1:5" x14ac:dyDescent="0.25">
      <c r="A1270">
        <v>1269</v>
      </c>
      <c r="B1270">
        <v>23</v>
      </c>
      <c r="C1270">
        <v>1269</v>
      </c>
      <c r="D1270">
        <v>39</v>
      </c>
      <c r="E1270" s="22">
        <v>44133</v>
      </c>
    </row>
    <row r="1271" spans="1:5" x14ac:dyDescent="0.25">
      <c r="A1271">
        <v>1270</v>
      </c>
      <c r="B1271">
        <v>23</v>
      </c>
      <c r="C1271">
        <v>1270</v>
      </c>
      <c r="D1271">
        <v>39</v>
      </c>
      <c r="E1271" s="22">
        <v>44133</v>
      </c>
    </row>
    <row r="1272" spans="1:5" x14ac:dyDescent="0.25">
      <c r="A1272">
        <v>1271</v>
      </c>
      <c r="B1272">
        <v>23</v>
      </c>
      <c r="C1272">
        <v>1271</v>
      </c>
      <c r="D1272">
        <v>39</v>
      </c>
      <c r="E1272" s="22">
        <v>44133</v>
      </c>
    </row>
    <row r="1273" spans="1:5" x14ac:dyDescent="0.25">
      <c r="A1273">
        <v>1272</v>
      </c>
      <c r="B1273">
        <v>18</v>
      </c>
      <c r="C1273">
        <v>1272</v>
      </c>
      <c r="D1273">
        <v>4</v>
      </c>
      <c r="E1273" s="22">
        <v>44133</v>
      </c>
    </row>
    <row r="1274" spans="1:5" x14ac:dyDescent="0.25">
      <c r="A1274">
        <v>1273</v>
      </c>
      <c r="B1274">
        <v>26</v>
      </c>
      <c r="C1274">
        <v>1273</v>
      </c>
      <c r="D1274">
        <v>4</v>
      </c>
      <c r="E1274" s="22">
        <v>44133</v>
      </c>
    </row>
    <row r="1275" spans="1:5" x14ac:dyDescent="0.25">
      <c r="A1275">
        <v>1274</v>
      </c>
      <c r="B1275">
        <v>3</v>
      </c>
      <c r="C1275">
        <v>1274</v>
      </c>
      <c r="D1275">
        <v>4</v>
      </c>
      <c r="E1275" s="22">
        <v>44133</v>
      </c>
    </row>
    <row r="1276" spans="1:5" x14ac:dyDescent="0.25">
      <c r="A1276">
        <v>1275</v>
      </c>
      <c r="B1276">
        <v>4</v>
      </c>
      <c r="C1276">
        <v>1275</v>
      </c>
      <c r="D1276">
        <v>4</v>
      </c>
      <c r="E1276" s="22">
        <v>44133</v>
      </c>
    </row>
    <row r="1277" spans="1:5" x14ac:dyDescent="0.25">
      <c r="A1277">
        <v>1276</v>
      </c>
      <c r="B1277">
        <v>34</v>
      </c>
      <c r="C1277">
        <v>1276</v>
      </c>
      <c r="D1277">
        <v>4</v>
      </c>
      <c r="E1277" s="22">
        <v>44133</v>
      </c>
    </row>
    <row r="1278" spans="1:5" x14ac:dyDescent="0.25">
      <c r="A1278">
        <v>1277</v>
      </c>
      <c r="B1278">
        <v>8</v>
      </c>
      <c r="C1278">
        <v>1277</v>
      </c>
      <c r="D1278">
        <v>4</v>
      </c>
      <c r="E1278" s="22">
        <v>44133</v>
      </c>
    </row>
    <row r="1279" spans="1:5" x14ac:dyDescent="0.25">
      <c r="A1279">
        <v>1278</v>
      </c>
      <c r="B1279">
        <v>2</v>
      </c>
      <c r="C1279">
        <v>1278</v>
      </c>
      <c r="D1279">
        <v>4</v>
      </c>
      <c r="E1279" s="22">
        <v>44133</v>
      </c>
    </row>
    <row r="1280" spans="1:5" x14ac:dyDescent="0.25">
      <c r="A1280">
        <v>1279</v>
      </c>
      <c r="B1280">
        <v>37</v>
      </c>
      <c r="C1280">
        <v>1279</v>
      </c>
      <c r="D1280">
        <v>4</v>
      </c>
      <c r="E1280" s="22">
        <v>44133</v>
      </c>
    </row>
    <row r="1281" spans="1:5" x14ac:dyDescent="0.25">
      <c r="A1281">
        <v>1280</v>
      </c>
      <c r="B1281">
        <v>30</v>
      </c>
      <c r="C1281">
        <v>1280</v>
      </c>
      <c r="D1281">
        <v>4</v>
      </c>
      <c r="E1281" s="22">
        <v>44133</v>
      </c>
    </row>
    <row r="1282" spans="1:5" x14ac:dyDescent="0.25">
      <c r="A1282">
        <v>1281</v>
      </c>
      <c r="B1282">
        <v>39</v>
      </c>
      <c r="C1282">
        <v>1281</v>
      </c>
      <c r="D1282">
        <v>4</v>
      </c>
      <c r="E1282" s="22">
        <v>44133</v>
      </c>
    </row>
    <row r="1283" spans="1:5" x14ac:dyDescent="0.25">
      <c r="A1283">
        <v>1282</v>
      </c>
      <c r="B1283">
        <v>23</v>
      </c>
      <c r="C1283">
        <v>1282</v>
      </c>
      <c r="D1283">
        <v>4</v>
      </c>
      <c r="E1283" s="22">
        <v>44133</v>
      </c>
    </row>
    <row r="1284" spans="1:5" x14ac:dyDescent="0.25">
      <c r="A1284">
        <v>1283</v>
      </c>
      <c r="B1284">
        <v>39</v>
      </c>
      <c r="C1284">
        <v>1283</v>
      </c>
      <c r="D1284">
        <v>4</v>
      </c>
      <c r="E1284" s="22">
        <v>44133</v>
      </c>
    </row>
    <row r="1285" spans="1:5" x14ac:dyDescent="0.25">
      <c r="A1285">
        <v>1284</v>
      </c>
      <c r="B1285">
        <v>39</v>
      </c>
      <c r="C1285">
        <v>1284</v>
      </c>
      <c r="D1285">
        <v>4</v>
      </c>
      <c r="E1285" s="22">
        <v>44133</v>
      </c>
    </row>
    <row r="1286" spans="1:5" x14ac:dyDescent="0.25">
      <c r="A1286">
        <v>1285</v>
      </c>
      <c r="B1286">
        <v>9</v>
      </c>
      <c r="C1286">
        <v>1285</v>
      </c>
      <c r="D1286">
        <v>4</v>
      </c>
      <c r="E1286" s="22">
        <v>44133</v>
      </c>
    </row>
    <row r="1287" spans="1:5" x14ac:dyDescent="0.25">
      <c r="A1287">
        <v>1286</v>
      </c>
      <c r="B1287">
        <v>9</v>
      </c>
      <c r="C1287">
        <v>1286</v>
      </c>
      <c r="D1287">
        <v>4</v>
      </c>
      <c r="E1287" s="22">
        <v>44133</v>
      </c>
    </row>
    <row r="1288" spans="1:5" x14ac:dyDescent="0.25">
      <c r="A1288">
        <v>1287</v>
      </c>
      <c r="B1288">
        <v>8</v>
      </c>
      <c r="C1288">
        <v>1287</v>
      </c>
      <c r="D1288">
        <v>4</v>
      </c>
      <c r="E1288" s="22">
        <v>44133</v>
      </c>
    </row>
    <row r="1289" spans="1:5" x14ac:dyDescent="0.25">
      <c r="A1289">
        <v>1288</v>
      </c>
      <c r="B1289">
        <v>4</v>
      </c>
      <c r="C1289">
        <v>1288</v>
      </c>
      <c r="D1289">
        <v>4</v>
      </c>
      <c r="E1289" s="22">
        <v>44133</v>
      </c>
    </row>
    <row r="1290" spans="1:5" x14ac:dyDescent="0.25">
      <c r="A1290">
        <v>1289</v>
      </c>
      <c r="B1290">
        <v>39</v>
      </c>
      <c r="C1290">
        <v>1289</v>
      </c>
      <c r="D1290">
        <v>4</v>
      </c>
      <c r="E1290" s="22">
        <v>44133</v>
      </c>
    </row>
    <row r="1291" spans="1:5" x14ac:dyDescent="0.25">
      <c r="A1291">
        <v>1290</v>
      </c>
      <c r="B1291">
        <v>9</v>
      </c>
      <c r="C1291">
        <v>1290</v>
      </c>
      <c r="D1291">
        <v>4</v>
      </c>
      <c r="E1291" s="22">
        <v>44133</v>
      </c>
    </row>
    <row r="1292" spans="1:5" x14ac:dyDescent="0.25">
      <c r="A1292">
        <v>1291</v>
      </c>
      <c r="B1292">
        <v>39</v>
      </c>
      <c r="C1292">
        <v>1291</v>
      </c>
      <c r="D1292">
        <v>4</v>
      </c>
      <c r="E1292" s="22">
        <v>44133</v>
      </c>
    </row>
    <row r="1293" spans="1:5" x14ac:dyDescent="0.25">
      <c r="A1293">
        <v>1292</v>
      </c>
      <c r="B1293">
        <v>3</v>
      </c>
      <c r="C1293">
        <v>1292</v>
      </c>
      <c r="D1293">
        <v>4</v>
      </c>
      <c r="E1293" s="22">
        <v>44133</v>
      </c>
    </row>
    <row r="1294" spans="1:5" x14ac:dyDescent="0.25">
      <c r="A1294">
        <v>1293</v>
      </c>
      <c r="B1294">
        <v>4</v>
      </c>
      <c r="C1294">
        <v>1293</v>
      </c>
      <c r="D1294">
        <v>4</v>
      </c>
      <c r="E1294" s="22">
        <v>44133</v>
      </c>
    </row>
    <row r="1295" spans="1:5" x14ac:dyDescent="0.25">
      <c r="A1295">
        <v>1294</v>
      </c>
      <c r="B1295">
        <v>39</v>
      </c>
      <c r="C1295">
        <v>1294</v>
      </c>
      <c r="D1295">
        <v>4</v>
      </c>
      <c r="E1295" s="22">
        <v>44133</v>
      </c>
    </row>
    <row r="1296" spans="1:5" x14ac:dyDescent="0.25">
      <c r="A1296">
        <v>1295</v>
      </c>
      <c r="B1296">
        <v>39</v>
      </c>
      <c r="C1296">
        <v>1295</v>
      </c>
      <c r="D1296">
        <v>4</v>
      </c>
      <c r="E1296" s="22">
        <v>44133</v>
      </c>
    </row>
    <row r="1297" spans="1:5" x14ac:dyDescent="0.25">
      <c r="A1297">
        <v>1296</v>
      </c>
      <c r="B1297">
        <v>39</v>
      </c>
      <c r="C1297">
        <v>1296</v>
      </c>
      <c r="D1297">
        <v>4</v>
      </c>
      <c r="E1297" s="23">
        <v>44133</v>
      </c>
    </row>
    <row r="1298" spans="1:5" x14ac:dyDescent="0.25">
      <c r="A1298">
        <v>1297</v>
      </c>
      <c r="B1298">
        <v>39</v>
      </c>
      <c r="C1298">
        <v>1297</v>
      </c>
      <c r="D1298">
        <v>4</v>
      </c>
      <c r="E1298" s="22">
        <v>44133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40"/>
  <sheetViews>
    <sheetView tabSelected="1" workbookViewId="0">
      <selection activeCell="I4" sqref="I4"/>
    </sheetView>
  </sheetViews>
  <sheetFormatPr baseColWidth="10" defaultRowHeight="15" x14ac:dyDescent="0.25"/>
  <cols>
    <col min="1" max="1" width="3" style="2" bestFit="1" customWidth="1"/>
    <col min="2" max="2" width="11" style="2" bestFit="1" customWidth="1"/>
    <col min="3" max="3" width="38.85546875" style="2" bestFit="1" customWidth="1"/>
    <col min="4" max="4" width="4.140625" style="2" bestFit="1" customWidth="1"/>
    <col min="5" max="5" width="2" style="2" bestFit="1" customWidth="1"/>
    <col min="6" max="7" width="3" style="2" bestFit="1" customWidth="1"/>
    <col min="8" max="8" width="51.42578125" style="2" customWidth="1"/>
    <col min="9" max="9" width="44.28515625" style="2" customWidth="1"/>
    <col min="10" max="16384" width="11.42578125" style="2"/>
  </cols>
  <sheetData>
    <row r="1" spans="1:7" x14ac:dyDescent="0.25">
      <c r="A1" s="2">
        <v>1</v>
      </c>
      <c r="B1" s="2">
        <v>1600634925</v>
      </c>
      <c r="C1" s="2" t="s">
        <v>289</v>
      </c>
      <c r="D1" s="2" t="s">
        <v>756</v>
      </c>
      <c r="E1" s="2">
        <v>0</v>
      </c>
      <c r="F1" s="2">
        <v>2</v>
      </c>
      <c r="G1" s="2">
        <v>1</v>
      </c>
    </row>
    <row r="2" spans="1:7" x14ac:dyDescent="0.25">
      <c r="A2" s="2">
        <v>2</v>
      </c>
      <c r="B2" s="2">
        <v>1500763824</v>
      </c>
      <c r="C2" s="2" t="s">
        <v>290</v>
      </c>
      <c r="D2" s="2" t="s">
        <v>756</v>
      </c>
      <c r="E2" s="2">
        <v>0</v>
      </c>
      <c r="F2" s="2">
        <v>4</v>
      </c>
      <c r="G2" s="2">
        <v>2</v>
      </c>
    </row>
    <row r="3" spans="1:7" x14ac:dyDescent="0.25">
      <c r="A3" s="2">
        <v>3</v>
      </c>
      <c r="B3" s="2">
        <v>1600230955</v>
      </c>
      <c r="C3" s="2" t="s">
        <v>291</v>
      </c>
      <c r="D3" s="2" t="s">
        <v>756</v>
      </c>
      <c r="E3" s="2">
        <v>0</v>
      </c>
      <c r="F3" s="2">
        <v>3</v>
      </c>
      <c r="G3" s="2">
        <v>3</v>
      </c>
    </row>
    <row r="4" spans="1:7" x14ac:dyDescent="0.25">
      <c r="A4" s="2">
        <v>4</v>
      </c>
      <c r="B4" s="2">
        <v>1600252082</v>
      </c>
      <c r="C4" s="2" t="s">
        <v>292</v>
      </c>
      <c r="D4" s="2" t="s">
        <v>756</v>
      </c>
      <c r="E4" s="2">
        <v>0</v>
      </c>
      <c r="F4" s="2">
        <v>5</v>
      </c>
      <c r="G4" s="2">
        <v>4</v>
      </c>
    </row>
    <row r="5" spans="1:7" x14ac:dyDescent="0.25">
      <c r="A5" s="2">
        <v>5</v>
      </c>
      <c r="B5" s="2">
        <v>1600393571</v>
      </c>
      <c r="C5" s="2" t="s">
        <v>295</v>
      </c>
      <c r="D5" s="2" t="s">
        <v>756</v>
      </c>
      <c r="E5" s="2">
        <v>0</v>
      </c>
      <c r="F5" s="2">
        <v>2</v>
      </c>
      <c r="G5" s="2">
        <v>5</v>
      </c>
    </row>
    <row r="6" spans="1:7" x14ac:dyDescent="0.25">
      <c r="A6" s="2">
        <v>6</v>
      </c>
      <c r="B6" s="2">
        <v>1801441427</v>
      </c>
      <c r="C6" s="2" t="s">
        <v>296</v>
      </c>
      <c r="D6" s="2" t="s">
        <v>756</v>
      </c>
      <c r="E6" s="2">
        <v>0</v>
      </c>
      <c r="F6" s="2">
        <v>6</v>
      </c>
      <c r="G6" s="2">
        <v>3</v>
      </c>
    </row>
    <row r="7" spans="1:7" x14ac:dyDescent="0.25">
      <c r="A7" s="2">
        <v>7</v>
      </c>
      <c r="B7" s="2">
        <v>1400483986</v>
      </c>
      <c r="C7" s="2" t="s">
        <v>297</v>
      </c>
      <c r="D7" s="2" t="s">
        <v>756</v>
      </c>
      <c r="E7" s="2">
        <v>0</v>
      </c>
      <c r="F7" s="2">
        <v>1</v>
      </c>
      <c r="G7" s="2">
        <v>6</v>
      </c>
    </row>
    <row r="8" spans="1:7" x14ac:dyDescent="0.25">
      <c r="A8" s="2">
        <v>8</v>
      </c>
      <c r="B8" s="2">
        <v>1600297525</v>
      </c>
      <c r="C8" s="2" t="s">
        <v>298</v>
      </c>
      <c r="D8" s="2" t="s">
        <v>756</v>
      </c>
      <c r="E8" s="2">
        <v>0</v>
      </c>
      <c r="F8" s="2">
        <v>7</v>
      </c>
      <c r="G8" s="2">
        <v>7</v>
      </c>
    </row>
    <row r="9" spans="1:7" x14ac:dyDescent="0.25">
      <c r="A9" s="2">
        <v>9</v>
      </c>
      <c r="B9" s="2">
        <v>1600733420</v>
      </c>
      <c r="C9" s="2" t="s">
        <v>299</v>
      </c>
      <c r="D9" s="2" t="s">
        <v>756</v>
      </c>
      <c r="E9" s="2">
        <v>0</v>
      </c>
      <c r="F9" s="2">
        <v>8</v>
      </c>
      <c r="G9" s="2">
        <v>8</v>
      </c>
    </row>
    <row r="10" spans="1:7" x14ac:dyDescent="0.25">
      <c r="A10" s="2">
        <v>10</v>
      </c>
      <c r="B10" s="2">
        <v>1600501280</v>
      </c>
      <c r="C10" s="2" t="s">
        <v>301</v>
      </c>
      <c r="D10" s="2" t="s">
        <v>756</v>
      </c>
      <c r="E10" s="2">
        <v>0</v>
      </c>
      <c r="F10" s="2">
        <v>2</v>
      </c>
      <c r="G10" s="2">
        <v>3</v>
      </c>
    </row>
    <row r="11" spans="1:7" x14ac:dyDescent="0.25">
      <c r="A11" s="2">
        <v>11</v>
      </c>
      <c r="B11" s="2">
        <v>1600532863</v>
      </c>
      <c r="C11" s="2" t="s">
        <v>302</v>
      </c>
      <c r="D11" s="2" t="s">
        <v>756</v>
      </c>
      <c r="E11" s="2">
        <v>0</v>
      </c>
      <c r="F11" s="2">
        <v>1</v>
      </c>
      <c r="G11" s="2">
        <v>8</v>
      </c>
    </row>
    <row r="12" spans="1:7" x14ac:dyDescent="0.25">
      <c r="A12" s="2">
        <v>12</v>
      </c>
      <c r="B12" s="2">
        <v>1600441917</v>
      </c>
      <c r="C12" s="2" t="s">
        <v>304</v>
      </c>
      <c r="D12" s="2" t="s">
        <v>756</v>
      </c>
      <c r="E12" s="2">
        <v>0</v>
      </c>
      <c r="F12" s="2">
        <v>2</v>
      </c>
      <c r="G12" s="2">
        <v>1</v>
      </c>
    </row>
    <row r="13" spans="1:7" x14ac:dyDescent="0.25">
      <c r="A13" s="2">
        <v>13</v>
      </c>
      <c r="B13" s="2">
        <v>1600708570</v>
      </c>
      <c r="C13" s="2" t="s">
        <v>305</v>
      </c>
      <c r="D13" s="2" t="s">
        <v>756</v>
      </c>
      <c r="E13" s="2">
        <v>0</v>
      </c>
      <c r="F13" s="2">
        <v>9</v>
      </c>
      <c r="G13" s="2">
        <v>7</v>
      </c>
    </row>
    <row r="14" spans="1:7" x14ac:dyDescent="0.25">
      <c r="A14" s="2">
        <v>14</v>
      </c>
      <c r="B14" s="2">
        <v>922972732</v>
      </c>
      <c r="C14" s="2" t="s">
        <v>306</v>
      </c>
      <c r="D14" s="2" t="s">
        <v>756</v>
      </c>
      <c r="E14" s="2">
        <v>0</v>
      </c>
      <c r="F14" s="2">
        <v>2</v>
      </c>
      <c r="G14" s="2">
        <v>5</v>
      </c>
    </row>
    <row r="15" spans="1:7" x14ac:dyDescent="0.25">
      <c r="A15" s="2">
        <v>15</v>
      </c>
      <c r="B15" s="2">
        <v>1600538993</v>
      </c>
      <c r="C15" s="2" t="s">
        <v>308</v>
      </c>
      <c r="D15" s="2" t="s">
        <v>756</v>
      </c>
      <c r="E15" s="2">
        <v>0</v>
      </c>
      <c r="F15" s="2">
        <v>11</v>
      </c>
      <c r="G15" s="2">
        <v>9</v>
      </c>
    </row>
    <row r="16" spans="1:7" x14ac:dyDescent="0.25">
      <c r="A16" s="2">
        <v>16</v>
      </c>
      <c r="B16" s="2">
        <v>1600439721</v>
      </c>
      <c r="C16" s="2" t="s">
        <v>310</v>
      </c>
      <c r="D16" s="2" t="s">
        <v>756</v>
      </c>
      <c r="E16" s="2">
        <v>0</v>
      </c>
      <c r="F16" s="2">
        <v>1</v>
      </c>
      <c r="G16" s="2">
        <v>2</v>
      </c>
    </row>
    <row r="17" spans="1:7" x14ac:dyDescent="0.25">
      <c r="A17" s="2">
        <v>17</v>
      </c>
      <c r="B17" s="2">
        <v>1600550899</v>
      </c>
      <c r="C17" s="2" t="s">
        <v>311</v>
      </c>
      <c r="D17" s="2" t="s">
        <v>756</v>
      </c>
      <c r="E17" s="2">
        <v>0</v>
      </c>
      <c r="F17" s="2">
        <v>1</v>
      </c>
      <c r="G17" s="2">
        <v>1</v>
      </c>
    </row>
    <row r="18" spans="1:7" x14ac:dyDescent="0.25">
      <c r="A18" s="2">
        <v>18</v>
      </c>
      <c r="B18" s="2">
        <v>1600205569</v>
      </c>
      <c r="C18" s="2" t="s">
        <v>312</v>
      </c>
      <c r="D18" s="2" t="s">
        <v>756</v>
      </c>
      <c r="E18" s="2">
        <v>0</v>
      </c>
      <c r="F18" s="2">
        <v>3</v>
      </c>
      <c r="G18" s="2">
        <v>2</v>
      </c>
    </row>
    <row r="19" spans="1:7" x14ac:dyDescent="0.25">
      <c r="A19" s="2">
        <v>19</v>
      </c>
      <c r="B19" s="2">
        <v>1004041438</v>
      </c>
      <c r="C19" s="2" t="s">
        <v>313</v>
      </c>
      <c r="D19" s="2" t="s">
        <v>756</v>
      </c>
      <c r="E19" s="2">
        <v>0</v>
      </c>
      <c r="F19" s="2">
        <v>12</v>
      </c>
      <c r="G19" s="2">
        <v>10</v>
      </c>
    </row>
    <row r="20" spans="1:7" x14ac:dyDescent="0.25">
      <c r="A20" s="2">
        <v>20</v>
      </c>
      <c r="B20" s="2">
        <v>1713390217</v>
      </c>
      <c r="C20" s="2" t="s">
        <v>314</v>
      </c>
      <c r="D20" s="2" t="s">
        <v>756</v>
      </c>
      <c r="E20" s="2">
        <v>0</v>
      </c>
      <c r="F20" s="2">
        <v>1</v>
      </c>
      <c r="G20" s="2">
        <v>4</v>
      </c>
    </row>
    <row r="21" spans="1:7" x14ac:dyDescent="0.25">
      <c r="A21" s="2">
        <v>21</v>
      </c>
      <c r="B21" s="2">
        <v>1600479834</v>
      </c>
      <c r="C21" s="2" t="s">
        <v>315</v>
      </c>
      <c r="D21" s="2" t="s">
        <v>756</v>
      </c>
      <c r="E21" s="2">
        <v>0</v>
      </c>
      <c r="F21" s="2">
        <v>12</v>
      </c>
      <c r="G21" s="2">
        <v>10</v>
      </c>
    </row>
    <row r="22" spans="1:7" x14ac:dyDescent="0.25">
      <c r="A22" s="2">
        <v>22</v>
      </c>
      <c r="B22" s="2">
        <v>1600744443</v>
      </c>
      <c r="C22" s="2" t="s">
        <v>316</v>
      </c>
      <c r="D22" s="2" t="s">
        <v>756</v>
      </c>
      <c r="E22" s="2">
        <v>0</v>
      </c>
      <c r="F22" s="2">
        <v>1</v>
      </c>
      <c r="G22" s="2">
        <v>4</v>
      </c>
    </row>
    <row r="23" spans="1:7" x14ac:dyDescent="0.25">
      <c r="A23" s="2">
        <v>23</v>
      </c>
      <c r="B23" s="2">
        <v>1600568099</v>
      </c>
      <c r="C23" s="2" t="s">
        <v>317</v>
      </c>
      <c r="D23" s="2" t="s">
        <v>756</v>
      </c>
      <c r="E23" s="2">
        <v>0</v>
      </c>
      <c r="F23" s="2">
        <v>13</v>
      </c>
      <c r="G23" s="2">
        <v>5</v>
      </c>
    </row>
    <row r="24" spans="1:7" x14ac:dyDescent="0.25">
      <c r="A24" s="2">
        <v>24</v>
      </c>
      <c r="B24" s="2">
        <v>1600441826</v>
      </c>
      <c r="C24" s="2" t="s">
        <v>319</v>
      </c>
      <c r="D24" s="2" t="s">
        <v>756</v>
      </c>
      <c r="E24" s="2">
        <v>0</v>
      </c>
      <c r="F24" s="2">
        <v>12</v>
      </c>
      <c r="G24" s="2">
        <v>10</v>
      </c>
    </row>
    <row r="25" spans="1:7" x14ac:dyDescent="0.25">
      <c r="A25" s="2">
        <v>25</v>
      </c>
      <c r="B25" s="2">
        <v>1600459141</v>
      </c>
      <c r="C25" s="2" t="s">
        <v>320</v>
      </c>
      <c r="D25" s="2" t="s">
        <v>756</v>
      </c>
      <c r="E25" s="2">
        <v>0</v>
      </c>
      <c r="F25" s="2">
        <v>14</v>
      </c>
      <c r="G25" s="2">
        <v>11</v>
      </c>
    </row>
    <row r="26" spans="1:7" x14ac:dyDescent="0.25">
      <c r="A26" s="2">
        <v>26</v>
      </c>
      <c r="B26" s="2">
        <v>1600238123</v>
      </c>
      <c r="C26" s="2" t="s">
        <v>322</v>
      </c>
      <c r="D26" s="2" t="s">
        <v>756</v>
      </c>
      <c r="E26" s="2">
        <v>0</v>
      </c>
      <c r="F26" s="2">
        <v>15</v>
      </c>
      <c r="G26" s="2">
        <v>12</v>
      </c>
    </row>
    <row r="27" spans="1:7" x14ac:dyDescent="0.25">
      <c r="A27" s="2">
        <v>27</v>
      </c>
      <c r="B27" s="2">
        <v>1600484461</v>
      </c>
      <c r="C27" s="2" t="s">
        <v>323</v>
      </c>
      <c r="D27" s="2" t="s">
        <v>756</v>
      </c>
      <c r="E27" s="2">
        <v>0</v>
      </c>
      <c r="F27" s="2">
        <v>9</v>
      </c>
      <c r="G27" s="2">
        <v>12</v>
      </c>
    </row>
    <row r="28" spans="1:7" x14ac:dyDescent="0.25">
      <c r="A28" s="2">
        <v>28</v>
      </c>
      <c r="B28" s="2">
        <v>1600343303</v>
      </c>
      <c r="C28" s="2" t="s">
        <v>324</v>
      </c>
      <c r="D28" s="2" t="s">
        <v>756</v>
      </c>
      <c r="E28" s="2">
        <v>0</v>
      </c>
      <c r="F28" s="2">
        <v>1</v>
      </c>
      <c r="G28" s="2">
        <v>4</v>
      </c>
    </row>
    <row r="29" spans="1:7" x14ac:dyDescent="0.25">
      <c r="A29" s="2">
        <v>29</v>
      </c>
      <c r="B29" s="2">
        <v>1600471781</v>
      </c>
      <c r="C29" s="2" t="s">
        <v>325</v>
      </c>
      <c r="D29" s="2" t="s">
        <v>756</v>
      </c>
      <c r="E29" s="2">
        <v>0</v>
      </c>
      <c r="F29" s="2">
        <v>16</v>
      </c>
      <c r="G29" s="2">
        <v>6</v>
      </c>
    </row>
    <row r="30" spans="1:7" x14ac:dyDescent="0.25">
      <c r="A30" s="2">
        <v>30</v>
      </c>
      <c r="B30" s="2">
        <v>1600379778</v>
      </c>
      <c r="C30" s="2" t="s">
        <v>328</v>
      </c>
      <c r="D30" s="2" t="s">
        <v>756</v>
      </c>
      <c r="E30" s="2">
        <v>0</v>
      </c>
      <c r="F30" s="2">
        <v>17</v>
      </c>
      <c r="G30" s="2">
        <v>5</v>
      </c>
    </row>
    <row r="31" spans="1:7" x14ac:dyDescent="0.25">
      <c r="A31" s="2">
        <v>31</v>
      </c>
      <c r="B31" s="2">
        <v>102456795</v>
      </c>
      <c r="C31" s="2" t="s">
        <v>329</v>
      </c>
      <c r="D31" s="2" t="s">
        <v>756</v>
      </c>
      <c r="E31" s="2">
        <v>0</v>
      </c>
      <c r="F31" s="2">
        <v>1</v>
      </c>
      <c r="G31" s="2">
        <v>5</v>
      </c>
    </row>
    <row r="32" spans="1:7" x14ac:dyDescent="0.25">
      <c r="A32" s="2">
        <v>32</v>
      </c>
      <c r="B32" s="2">
        <v>1600832800</v>
      </c>
      <c r="C32" s="2" t="s">
        <v>330</v>
      </c>
      <c r="D32" s="2" t="s">
        <v>756</v>
      </c>
      <c r="E32" s="2">
        <v>0</v>
      </c>
      <c r="F32" s="2">
        <v>2</v>
      </c>
      <c r="G32" s="2">
        <v>9</v>
      </c>
    </row>
    <row r="33" spans="1:7" x14ac:dyDescent="0.25">
      <c r="A33" s="2">
        <v>33</v>
      </c>
      <c r="B33" s="2">
        <v>1600566309</v>
      </c>
      <c r="C33" s="2" t="s">
        <v>332</v>
      </c>
      <c r="D33" s="2" t="s">
        <v>756</v>
      </c>
      <c r="E33" s="2">
        <v>0</v>
      </c>
      <c r="F33" s="2">
        <v>18</v>
      </c>
      <c r="G33" s="2">
        <v>10</v>
      </c>
    </row>
    <row r="34" spans="1:7" x14ac:dyDescent="0.25">
      <c r="A34" s="2">
        <v>34</v>
      </c>
      <c r="B34" s="2">
        <v>1600631988</v>
      </c>
      <c r="C34" s="2" t="s">
        <v>334</v>
      </c>
      <c r="D34" s="2" t="s">
        <v>756</v>
      </c>
      <c r="E34" s="2">
        <v>0</v>
      </c>
      <c r="F34" s="2">
        <v>19</v>
      </c>
      <c r="G34" s="2">
        <v>9</v>
      </c>
    </row>
    <row r="35" spans="1:7" x14ac:dyDescent="0.25">
      <c r="A35" s="2">
        <v>35</v>
      </c>
      <c r="B35" s="2">
        <v>1600531055</v>
      </c>
      <c r="C35" s="2" t="s">
        <v>336</v>
      </c>
      <c r="D35" s="2" t="s">
        <v>756</v>
      </c>
      <c r="E35" s="2">
        <v>0</v>
      </c>
      <c r="F35" s="2">
        <v>1</v>
      </c>
      <c r="G35" s="2">
        <v>3</v>
      </c>
    </row>
    <row r="36" spans="1:7" x14ac:dyDescent="0.25">
      <c r="A36" s="2">
        <v>36</v>
      </c>
      <c r="B36" s="2">
        <v>1600718322</v>
      </c>
      <c r="C36" s="2" t="s">
        <v>337</v>
      </c>
      <c r="D36" s="2" t="s">
        <v>756</v>
      </c>
      <c r="E36" s="2">
        <v>0</v>
      </c>
      <c r="F36" s="2">
        <v>12</v>
      </c>
      <c r="G36" s="2">
        <v>10</v>
      </c>
    </row>
    <row r="37" spans="1:7" x14ac:dyDescent="0.25">
      <c r="A37" s="2">
        <v>37</v>
      </c>
      <c r="B37" s="2">
        <v>1804562344</v>
      </c>
      <c r="C37" s="2" t="s">
        <v>338</v>
      </c>
      <c r="D37" s="2" t="s">
        <v>756</v>
      </c>
      <c r="E37" s="2">
        <v>0</v>
      </c>
      <c r="F37" s="2">
        <v>20</v>
      </c>
      <c r="G37" s="2">
        <v>1</v>
      </c>
    </row>
    <row r="38" spans="1:7" x14ac:dyDescent="0.25">
      <c r="A38" s="2">
        <v>38</v>
      </c>
      <c r="B38" s="2">
        <v>1600617300</v>
      </c>
      <c r="C38" s="2" t="s">
        <v>340</v>
      </c>
      <c r="D38" s="2" t="s">
        <v>756</v>
      </c>
      <c r="E38" s="2">
        <v>0</v>
      </c>
      <c r="F38" s="2">
        <v>1</v>
      </c>
      <c r="G38" s="2">
        <v>4</v>
      </c>
    </row>
    <row r="39" spans="1:7" x14ac:dyDescent="0.25">
      <c r="A39" s="2">
        <v>39</v>
      </c>
      <c r="B39" s="2">
        <v>1600193310</v>
      </c>
      <c r="C39" s="2" t="s">
        <v>341</v>
      </c>
      <c r="D39" s="2" t="s">
        <v>756</v>
      </c>
      <c r="E39" s="2">
        <v>0</v>
      </c>
      <c r="F39" s="2">
        <v>21</v>
      </c>
      <c r="G39" s="2">
        <v>3</v>
      </c>
    </row>
    <row r="40" spans="1:7" x14ac:dyDescent="0.25">
      <c r="A40" s="2">
        <v>40</v>
      </c>
      <c r="B40" s="2">
        <v>1600327967</v>
      </c>
      <c r="C40" s="2" t="s">
        <v>343</v>
      </c>
      <c r="D40" s="2" t="s">
        <v>756</v>
      </c>
      <c r="E40" s="2">
        <v>0</v>
      </c>
      <c r="F40" s="2">
        <v>12</v>
      </c>
      <c r="G40" s="2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7" workbookViewId="0">
      <selection activeCell="A19" sqref="A19"/>
    </sheetView>
  </sheetViews>
  <sheetFormatPr baseColWidth="10" defaultRowHeight="15" x14ac:dyDescent="0.25"/>
  <cols>
    <col min="1" max="1" width="18" bestFit="1" customWidth="1"/>
  </cols>
  <sheetData>
    <row r="1" spans="1:2" x14ac:dyDescent="0.25">
      <c r="A1" s="17" t="s">
        <v>74</v>
      </c>
      <c r="B1">
        <v>1</v>
      </c>
    </row>
    <row r="2" spans="1:2" x14ac:dyDescent="0.25">
      <c r="A2" t="s">
        <v>75</v>
      </c>
      <c r="B2">
        <v>2</v>
      </c>
    </row>
    <row r="3" spans="1:2" x14ac:dyDescent="0.25">
      <c r="A3" t="s">
        <v>76</v>
      </c>
      <c r="B3">
        <v>3</v>
      </c>
    </row>
    <row r="4" spans="1:2" x14ac:dyDescent="0.25">
      <c r="A4" t="s">
        <v>77</v>
      </c>
      <c r="B4">
        <v>4</v>
      </c>
    </row>
    <row r="5" spans="1:2" x14ac:dyDescent="0.25">
      <c r="A5" t="s">
        <v>78</v>
      </c>
      <c r="B5">
        <v>5</v>
      </c>
    </row>
    <row r="6" spans="1:2" x14ac:dyDescent="0.25">
      <c r="A6" t="s">
        <v>79</v>
      </c>
      <c r="B6">
        <v>6</v>
      </c>
    </row>
    <row r="7" spans="1:2" x14ac:dyDescent="0.25">
      <c r="A7" t="s">
        <v>80</v>
      </c>
      <c r="B7">
        <v>7</v>
      </c>
    </row>
    <row r="8" spans="1:2" x14ac:dyDescent="0.25">
      <c r="A8" t="s">
        <v>81</v>
      </c>
      <c r="B8">
        <v>8</v>
      </c>
    </row>
    <row r="9" spans="1:2" x14ac:dyDescent="0.25">
      <c r="A9" t="s">
        <v>82</v>
      </c>
      <c r="B9">
        <v>9</v>
      </c>
    </row>
    <row r="10" spans="1:2" x14ac:dyDescent="0.25">
      <c r="A10" t="s">
        <v>83</v>
      </c>
      <c r="B10">
        <v>10</v>
      </c>
    </row>
    <row r="11" spans="1:2" x14ac:dyDescent="0.25">
      <c r="A11" t="s">
        <v>84</v>
      </c>
      <c r="B11">
        <v>11</v>
      </c>
    </row>
    <row r="12" spans="1:2" x14ac:dyDescent="0.25">
      <c r="A12" t="s">
        <v>85</v>
      </c>
      <c r="B12">
        <v>12</v>
      </c>
    </row>
    <row r="13" spans="1:2" x14ac:dyDescent="0.25">
      <c r="A13" t="s">
        <v>86</v>
      </c>
      <c r="B13">
        <v>13</v>
      </c>
    </row>
    <row r="14" spans="1:2" x14ac:dyDescent="0.25">
      <c r="A14" t="s">
        <v>87</v>
      </c>
      <c r="B14">
        <v>14</v>
      </c>
    </row>
    <row r="15" spans="1:2" x14ac:dyDescent="0.25">
      <c r="A15" t="s">
        <v>88</v>
      </c>
      <c r="B15">
        <v>15</v>
      </c>
    </row>
    <row r="16" spans="1:2" x14ac:dyDescent="0.25">
      <c r="A16" t="s">
        <v>89</v>
      </c>
      <c r="B16">
        <v>16</v>
      </c>
    </row>
    <row r="17" spans="1:2" x14ac:dyDescent="0.25">
      <c r="A17" t="s">
        <v>90</v>
      </c>
      <c r="B17">
        <v>17</v>
      </c>
    </row>
    <row r="18" spans="1:2" x14ac:dyDescent="0.25">
      <c r="A18" t="s">
        <v>91</v>
      </c>
      <c r="B18">
        <v>18</v>
      </c>
    </row>
    <row r="19" spans="1:2" x14ac:dyDescent="0.25">
      <c r="A19" t="s">
        <v>92</v>
      </c>
      <c r="B19">
        <v>19</v>
      </c>
    </row>
    <row r="20" spans="1:2" x14ac:dyDescent="0.25">
      <c r="A20" s="2" t="str">
        <f>"DAEWOO"</f>
        <v>DAEWOO</v>
      </c>
      <c r="B20">
        <v>20</v>
      </c>
    </row>
    <row r="21" spans="1:2" x14ac:dyDescent="0.25">
      <c r="A21" t="s">
        <v>93</v>
      </c>
      <c r="B21">
        <v>21</v>
      </c>
    </row>
    <row r="22" spans="1:2" x14ac:dyDescent="0.25">
      <c r="A22" t="s">
        <v>94</v>
      </c>
      <c r="B22">
        <v>22</v>
      </c>
    </row>
    <row r="23" spans="1:2" x14ac:dyDescent="0.25">
      <c r="A23" t="s">
        <v>95</v>
      </c>
      <c r="B23">
        <v>23</v>
      </c>
    </row>
    <row r="24" spans="1:2" x14ac:dyDescent="0.25">
      <c r="A24" t="s">
        <v>96</v>
      </c>
      <c r="B24">
        <v>24</v>
      </c>
    </row>
    <row r="25" spans="1:2" x14ac:dyDescent="0.25">
      <c r="A25" t="s">
        <v>97</v>
      </c>
      <c r="B25">
        <v>25</v>
      </c>
    </row>
    <row r="26" spans="1:2" x14ac:dyDescent="0.25">
      <c r="A26" t="s">
        <v>98</v>
      </c>
      <c r="B26">
        <v>26</v>
      </c>
    </row>
    <row r="27" spans="1:2" x14ac:dyDescent="0.25">
      <c r="A27" t="s">
        <v>99</v>
      </c>
      <c r="B27">
        <v>27</v>
      </c>
    </row>
    <row r="28" spans="1:2" x14ac:dyDescent="0.25">
      <c r="A28" t="s">
        <v>100</v>
      </c>
      <c r="B28">
        <v>28</v>
      </c>
    </row>
    <row r="29" spans="1:2" x14ac:dyDescent="0.25">
      <c r="A29" t="s">
        <v>101</v>
      </c>
      <c r="B29">
        <v>29</v>
      </c>
    </row>
    <row r="30" spans="1:2" x14ac:dyDescent="0.25">
      <c r="A30" t="s">
        <v>102</v>
      </c>
      <c r="B30">
        <v>30</v>
      </c>
    </row>
    <row r="31" spans="1:2" x14ac:dyDescent="0.25">
      <c r="A31" t="s">
        <v>103</v>
      </c>
      <c r="B31">
        <v>31</v>
      </c>
    </row>
    <row r="32" spans="1:2" x14ac:dyDescent="0.25">
      <c r="A32" t="s">
        <v>104</v>
      </c>
      <c r="B32">
        <v>32</v>
      </c>
    </row>
    <row r="33" spans="1:2" x14ac:dyDescent="0.25">
      <c r="A33" t="s">
        <v>105</v>
      </c>
      <c r="B33">
        <v>33</v>
      </c>
    </row>
    <row r="34" spans="1:2" x14ac:dyDescent="0.25">
      <c r="A34" t="s">
        <v>106</v>
      </c>
      <c r="B34">
        <v>34</v>
      </c>
    </row>
    <row r="35" spans="1:2" x14ac:dyDescent="0.25">
      <c r="A35" t="s">
        <v>107</v>
      </c>
      <c r="B35">
        <v>35</v>
      </c>
    </row>
    <row r="36" spans="1:2" x14ac:dyDescent="0.25">
      <c r="A36" t="s">
        <v>108</v>
      </c>
      <c r="B36">
        <v>36</v>
      </c>
    </row>
    <row r="37" spans="1:2" x14ac:dyDescent="0.25">
      <c r="A37" t="s">
        <v>109</v>
      </c>
      <c r="B37">
        <v>37</v>
      </c>
    </row>
    <row r="38" spans="1:2" x14ac:dyDescent="0.25">
      <c r="A38" t="s">
        <v>110</v>
      </c>
      <c r="B38">
        <v>38</v>
      </c>
    </row>
    <row r="39" spans="1:2" x14ac:dyDescent="0.25">
      <c r="A39" t="s">
        <v>111</v>
      </c>
      <c r="B39">
        <v>39</v>
      </c>
    </row>
    <row r="40" spans="1:2" x14ac:dyDescent="0.25">
      <c r="A40" t="s">
        <v>112</v>
      </c>
      <c r="B40">
        <v>40</v>
      </c>
    </row>
    <row r="41" spans="1:2" x14ac:dyDescent="0.25">
      <c r="A41" t="s">
        <v>113</v>
      </c>
      <c r="B41">
        <v>41</v>
      </c>
    </row>
    <row r="42" spans="1:2" x14ac:dyDescent="0.25">
      <c r="A42" t="s">
        <v>114</v>
      </c>
      <c r="B42">
        <v>42</v>
      </c>
    </row>
    <row r="43" spans="1:2" x14ac:dyDescent="0.25">
      <c r="A43" t="s">
        <v>115</v>
      </c>
      <c r="B43">
        <v>43</v>
      </c>
    </row>
    <row r="44" spans="1:2" x14ac:dyDescent="0.25">
      <c r="A44" t="s">
        <v>116</v>
      </c>
      <c r="B44">
        <v>44</v>
      </c>
    </row>
    <row r="45" spans="1:2" x14ac:dyDescent="0.25">
      <c r="A45" t="s">
        <v>117</v>
      </c>
      <c r="B45">
        <v>45</v>
      </c>
    </row>
    <row r="46" spans="1:2" x14ac:dyDescent="0.25">
      <c r="A46" t="s">
        <v>118</v>
      </c>
      <c r="B46">
        <v>46</v>
      </c>
    </row>
    <row r="47" spans="1:2" x14ac:dyDescent="0.25">
      <c r="A47" t="s">
        <v>119</v>
      </c>
      <c r="B47">
        <v>47</v>
      </c>
    </row>
    <row r="48" spans="1:2" x14ac:dyDescent="0.25">
      <c r="A48" t="s">
        <v>120</v>
      </c>
      <c r="B48">
        <v>48</v>
      </c>
    </row>
    <row r="49" spans="1:2" x14ac:dyDescent="0.25">
      <c r="A49" t="s">
        <v>121</v>
      </c>
      <c r="B49">
        <v>49</v>
      </c>
    </row>
    <row r="50" spans="1:2" x14ac:dyDescent="0.25">
      <c r="A50" t="s">
        <v>122</v>
      </c>
      <c r="B50">
        <v>50</v>
      </c>
    </row>
    <row r="51" spans="1:2" x14ac:dyDescent="0.25">
      <c r="A51" t="s">
        <v>123</v>
      </c>
      <c r="B51">
        <v>51</v>
      </c>
    </row>
    <row r="52" spans="1:2" x14ac:dyDescent="0.25">
      <c r="A52" t="s">
        <v>124</v>
      </c>
      <c r="B52">
        <v>52</v>
      </c>
    </row>
    <row r="53" spans="1:2" x14ac:dyDescent="0.25">
      <c r="A53" t="s">
        <v>125</v>
      </c>
      <c r="B53">
        <v>53</v>
      </c>
    </row>
    <row r="54" spans="1:2" x14ac:dyDescent="0.25">
      <c r="A54" t="s">
        <v>126</v>
      </c>
      <c r="B54">
        <v>54</v>
      </c>
    </row>
    <row r="55" spans="1:2" x14ac:dyDescent="0.25">
      <c r="A55" t="s">
        <v>127</v>
      </c>
      <c r="B55">
        <v>55</v>
      </c>
    </row>
    <row r="56" spans="1:2" x14ac:dyDescent="0.25">
      <c r="A56" t="s">
        <v>128</v>
      </c>
      <c r="B56">
        <v>56</v>
      </c>
    </row>
    <row r="57" spans="1:2" x14ac:dyDescent="0.25">
      <c r="A57" t="s">
        <v>43</v>
      </c>
      <c r="B57">
        <v>57</v>
      </c>
    </row>
    <row r="58" spans="1:2" x14ac:dyDescent="0.25">
      <c r="A58" t="s">
        <v>44</v>
      </c>
      <c r="B58">
        <v>58</v>
      </c>
    </row>
    <row r="59" spans="1:2" x14ac:dyDescent="0.25">
      <c r="A59" t="s">
        <v>45</v>
      </c>
      <c r="B59">
        <v>59</v>
      </c>
    </row>
    <row r="60" spans="1:2" x14ac:dyDescent="0.25">
      <c r="A60" t="s">
        <v>46</v>
      </c>
      <c r="B60">
        <v>60</v>
      </c>
    </row>
    <row r="61" spans="1:2" x14ac:dyDescent="0.25">
      <c r="A61" t="s">
        <v>47</v>
      </c>
      <c r="B61">
        <v>61</v>
      </c>
    </row>
    <row r="62" spans="1:2" x14ac:dyDescent="0.25">
      <c r="A62" t="s">
        <v>48</v>
      </c>
      <c r="B62">
        <v>62</v>
      </c>
    </row>
    <row r="63" spans="1:2" x14ac:dyDescent="0.25">
      <c r="A63" t="s">
        <v>49</v>
      </c>
      <c r="B63">
        <v>63</v>
      </c>
    </row>
    <row r="64" spans="1:2" x14ac:dyDescent="0.25">
      <c r="A64" t="s">
        <v>50</v>
      </c>
      <c r="B64">
        <v>64</v>
      </c>
    </row>
    <row r="65" spans="1:2" x14ac:dyDescent="0.25">
      <c r="A65" t="s">
        <v>51</v>
      </c>
      <c r="B65">
        <v>65</v>
      </c>
    </row>
    <row r="66" spans="1:2" x14ac:dyDescent="0.25">
      <c r="A66" t="s">
        <v>52</v>
      </c>
      <c r="B66">
        <v>66</v>
      </c>
    </row>
    <row r="67" spans="1:2" x14ac:dyDescent="0.25">
      <c r="A67" t="s">
        <v>53</v>
      </c>
      <c r="B67">
        <v>67</v>
      </c>
    </row>
    <row r="68" spans="1:2" x14ac:dyDescent="0.25">
      <c r="A68" t="s">
        <v>54</v>
      </c>
      <c r="B68">
        <v>68</v>
      </c>
    </row>
    <row r="69" spans="1:2" x14ac:dyDescent="0.25">
      <c r="A69" t="s">
        <v>55</v>
      </c>
      <c r="B69">
        <v>69</v>
      </c>
    </row>
    <row r="70" spans="1:2" x14ac:dyDescent="0.25">
      <c r="A70" t="s">
        <v>56</v>
      </c>
      <c r="B70">
        <v>70</v>
      </c>
    </row>
    <row r="71" spans="1:2" x14ac:dyDescent="0.25">
      <c r="A71" t="s">
        <v>57</v>
      </c>
      <c r="B71">
        <v>71</v>
      </c>
    </row>
    <row r="72" spans="1:2" x14ac:dyDescent="0.25">
      <c r="A72" s="2" t="str">
        <f>"RAINBOW"</f>
        <v>RAINBOW</v>
      </c>
      <c r="B72">
        <v>72</v>
      </c>
    </row>
    <row r="73" spans="1:2" x14ac:dyDescent="0.25">
      <c r="A73" t="s">
        <v>58</v>
      </c>
      <c r="B73">
        <v>73</v>
      </c>
    </row>
    <row r="74" spans="1:2" x14ac:dyDescent="0.25">
      <c r="A74" s="2" t="str">
        <f>"SAMSUNG"</f>
        <v>SAMSUNG</v>
      </c>
      <c r="B74">
        <v>74</v>
      </c>
    </row>
    <row r="75" spans="1:2" x14ac:dyDescent="0.25">
      <c r="A75" t="s">
        <v>59</v>
      </c>
      <c r="B75">
        <v>75</v>
      </c>
    </row>
    <row r="76" spans="1:2" x14ac:dyDescent="0.25">
      <c r="A76" t="s">
        <v>60</v>
      </c>
      <c r="B76">
        <v>76</v>
      </c>
    </row>
    <row r="77" spans="1:2" x14ac:dyDescent="0.25">
      <c r="A77" t="s">
        <v>61</v>
      </c>
      <c r="B77">
        <v>77</v>
      </c>
    </row>
    <row r="78" spans="1:2" x14ac:dyDescent="0.25">
      <c r="A78" t="s">
        <v>62</v>
      </c>
      <c r="B78">
        <v>78</v>
      </c>
    </row>
    <row r="79" spans="1:2" x14ac:dyDescent="0.25">
      <c r="A79" t="s">
        <v>63</v>
      </c>
      <c r="B79">
        <v>79</v>
      </c>
    </row>
    <row r="80" spans="1:2" x14ac:dyDescent="0.25">
      <c r="A80" t="s">
        <v>64</v>
      </c>
      <c r="B80">
        <v>80</v>
      </c>
    </row>
    <row r="81" spans="1:2" x14ac:dyDescent="0.25">
      <c r="A81" t="s">
        <v>65</v>
      </c>
      <c r="B81">
        <v>81</v>
      </c>
    </row>
    <row r="82" spans="1:2" x14ac:dyDescent="0.25">
      <c r="A82" t="s">
        <v>66</v>
      </c>
      <c r="B82">
        <v>82</v>
      </c>
    </row>
    <row r="83" spans="1:2" x14ac:dyDescent="0.25">
      <c r="A83" t="s">
        <v>67</v>
      </c>
      <c r="B83">
        <v>83</v>
      </c>
    </row>
    <row r="84" spans="1:2" x14ac:dyDescent="0.25">
      <c r="A84" t="s">
        <v>68</v>
      </c>
      <c r="B84">
        <v>84</v>
      </c>
    </row>
    <row r="85" spans="1:2" x14ac:dyDescent="0.25">
      <c r="A85" t="s">
        <v>69</v>
      </c>
      <c r="B85">
        <v>85</v>
      </c>
    </row>
    <row r="86" spans="1:2" x14ac:dyDescent="0.25">
      <c r="A86" t="s">
        <v>70</v>
      </c>
      <c r="B86">
        <v>86</v>
      </c>
    </row>
    <row r="87" spans="1:2" x14ac:dyDescent="0.25">
      <c r="A87" t="s">
        <v>71</v>
      </c>
      <c r="B87">
        <v>87</v>
      </c>
    </row>
    <row r="88" spans="1:2" x14ac:dyDescent="0.25">
      <c r="A88" t="s">
        <v>72</v>
      </c>
      <c r="B88">
        <v>88</v>
      </c>
    </row>
    <row r="89" spans="1:2" x14ac:dyDescent="0.25">
      <c r="A89" t="s">
        <v>73</v>
      </c>
      <c r="B89">
        <v>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9"/>
  <sheetViews>
    <sheetView workbookViewId="0">
      <selection activeCell="C1" sqref="C1"/>
    </sheetView>
  </sheetViews>
  <sheetFormatPr baseColWidth="10" defaultRowHeight="15" x14ac:dyDescent="0.25"/>
  <cols>
    <col min="1" max="1" width="11.42578125" style="2"/>
    <col min="2" max="2" width="18" style="6" bestFit="1" customWidth="1"/>
  </cols>
  <sheetData>
    <row r="1" spans="1:3" x14ac:dyDescent="0.25">
      <c r="A1" s="2" t="s">
        <v>42</v>
      </c>
      <c r="B1" s="9" t="s">
        <v>344</v>
      </c>
      <c r="C1" t="s">
        <v>345</v>
      </c>
    </row>
    <row r="2" spans="1:3" x14ac:dyDescent="0.25">
      <c r="A2" s="2">
        <v>1</v>
      </c>
      <c r="B2" s="2">
        <v>2</v>
      </c>
    </row>
    <row r="3" spans="1:3" x14ac:dyDescent="0.25">
      <c r="A3" s="2">
        <v>2</v>
      </c>
      <c r="B3" s="2">
        <v>2</v>
      </c>
    </row>
    <row r="4" spans="1:3" x14ac:dyDescent="0.25">
      <c r="A4" s="2">
        <v>3</v>
      </c>
      <c r="B4" s="2">
        <v>2</v>
      </c>
    </row>
    <row r="5" spans="1:3" x14ac:dyDescent="0.25">
      <c r="A5" s="2">
        <v>4</v>
      </c>
      <c r="B5" s="2">
        <v>2</v>
      </c>
    </row>
    <row r="6" spans="1:3" x14ac:dyDescent="0.25">
      <c r="A6" s="2">
        <v>5</v>
      </c>
      <c r="B6" s="2">
        <v>2</v>
      </c>
    </row>
    <row r="7" spans="1:3" x14ac:dyDescent="0.25">
      <c r="A7" s="2">
        <v>6</v>
      </c>
      <c r="B7" s="2">
        <v>2</v>
      </c>
    </row>
    <row r="8" spans="1:3" x14ac:dyDescent="0.25">
      <c r="A8" s="2">
        <v>7</v>
      </c>
      <c r="B8" s="2">
        <v>2</v>
      </c>
    </row>
    <row r="9" spans="1:3" x14ac:dyDescent="0.25">
      <c r="A9" s="2">
        <v>8</v>
      </c>
      <c r="B9" s="2">
        <v>2</v>
      </c>
    </row>
    <row r="10" spans="1:3" x14ac:dyDescent="0.25">
      <c r="A10" s="2">
        <v>9</v>
      </c>
      <c r="B10" s="2">
        <v>2</v>
      </c>
    </row>
    <row r="11" spans="1:3" x14ac:dyDescent="0.25">
      <c r="A11" s="2">
        <v>10</v>
      </c>
      <c r="B11" s="2">
        <v>2</v>
      </c>
    </row>
    <row r="12" spans="1:3" x14ac:dyDescent="0.25">
      <c r="A12" s="2">
        <v>11</v>
      </c>
      <c r="B12" s="2">
        <v>2</v>
      </c>
    </row>
    <row r="13" spans="1:3" x14ac:dyDescent="0.25">
      <c r="A13" s="2">
        <v>12</v>
      </c>
      <c r="B13" s="3">
        <v>1</v>
      </c>
    </row>
    <row r="14" spans="1:3" x14ac:dyDescent="0.25">
      <c r="A14" s="2">
        <v>13</v>
      </c>
      <c r="B14" s="3">
        <v>1</v>
      </c>
    </row>
    <row r="15" spans="1:3" x14ac:dyDescent="0.25">
      <c r="A15" s="2">
        <v>14</v>
      </c>
      <c r="B15" s="3">
        <v>1</v>
      </c>
    </row>
    <row r="16" spans="1:3" x14ac:dyDescent="0.25">
      <c r="A16" s="2">
        <v>15</v>
      </c>
      <c r="B16" s="3">
        <v>1</v>
      </c>
    </row>
    <row r="17" spans="1:2" x14ac:dyDescent="0.25">
      <c r="A17" s="2">
        <v>16</v>
      </c>
      <c r="B17" s="3">
        <v>2</v>
      </c>
    </row>
    <row r="18" spans="1:2" x14ac:dyDescent="0.25">
      <c r="A18" s="2">
        <v>17</v>
      </c>
      <c r="B18" s="3">
        <v>2</v>
      </c>
    </row>
    <row r="19" spans="1:2" x14ac:dyDescent="0.25">
      <c r="A19" s="2">
        <v>18</v>
      </c>
      <c r="B19" s="3">
        <v>2</v>
      </c>
    </row>
    <row r="20" spans="1:2" x14ac:dyDescent="0.25">
      <c r="A20" s="2">
        <v>19</v>
      </c>
      <c r="B20" s="3">
        <v>2</v>
      </c>
    </row>
    <row r="21" spans="1:2" x14ac:dyDescent="0.25">
      <c r="A21" s="2">
        <v>20</v>
      </c>
      <c r="B21" s="3">
        <v>2</v>
      </c>
    </row>
    <row r="22" spans="1:2" x14ac:dyDescent="0.25">
      <c r="A22" s="2">
        <v>21</v>
      </c>
      <c r="B22" s="3">
        <v>2</v>
      </c>
    </row>
    <row r="23" spans="1:2" x14ac:dyDescent="0.25">
      <c r="A23" s="2">
        <v>22</v>
      </c>
      <c r="B23" s="3">
        <v>2</v>
      </c>
    </row>
    <row r="24" spans="1:2" x14ac:dyDescent="0.25">
      <c r="A24" s="2">
        <v>23</v>
      </c>
      <c r="B24" s="3">
        <v>2</v>
      </c>
    </row>
    <row r="25" spans="1:2" x14ac:dyDescent="0.25">
      <c r="A25" s="2">
        <v>24</v>
      </c>
      <c r="B25" s="3">
        <v>2</v>
      </c>
    </row>
    <row r="26" spans="1:2" x14ac:dyDescent="0.25">
      <c r="A26" s="2">
        <v>25</v>
      </c>
      <c r="B26" s="3">
        <v>2</v>
      </c>
    </row>
    <row r="27" spans="1:2" x14ac:dyDescent="0.25">
      <c r="A27" s="2">
        <v>26</v>
      </c>
      <c r="B27" s="3">
        <v>2</v>
      </c>
    </row>
    <row r="28" spans="1:2" x14ac:dyDescent="0.25">
      <c r="A28" s="2">
        <v>27</v>
      </c>
      <c r="B28" s="3">
        <v>2</v>
      </c>
    </row>
    <row r="29" spans="1:2" x14ac:dyDescent="0.25">
      <c r="A29" s="2">
        <v>28</v>
      </c>
      <c r="B29" s="3">
        <v>2</v>
      </c>
    </row>
    <row r="30" spans="1:2" x14ac:dyDescent="0.25">
      <c r="A30" s="2">
        <v>29</v>
      </c>
      <c r="B30" s="3">
        <v>2</v>
      </c>
    </row>
    <row r="31" spans="1:2" x14ac:dyDescent="0.25">
      <c r="A31" s="2">
        <v>30</v>
      </c>
      <c r="B31" s="3">
        <v>2</v>
      </c>
    </row>
    <row r="32" spans="1:2" x14ac:dyDescent="0.25">
      <c r="A32" s="2">
        <v>31</v>
      </c>
      <c r="B32" s="3">
        <v>2</v>
      </c>
    </row>
    <row r="33" spans="1:2" x14ac:dyDescent="0.25">
      <c r="A33" s="2">
        <v>32</v>
      </c>
      <c r="B33" s="3">
        <v>2</v>
      </c>
    </row>
    <row r="34" spans="1:2" x14ac:dyDescent="0.25">
      <c r="A34" s="2">
        <v>33</v>
      </c>
      <c r="B34" s="3">
        <v>2</v>
      </c>
    </row>
    <row r="35" spans="1:2" x14ac:dyDescent="0.25">
      <c r="A35" s="2">
        <v>34</v>
      </c>
      <c r="B35" s="3">
        <v>2</v>
      </c>
    </row>
    <row r="36" spans="1:2" x14ac:dyDescent="0.25">
      <c r="A36" s="2">
        <v>35</v>
      </c>
      <c r="B36" s="3">
        <v>2</v>
      </c>
    </row>
    <row r="37" spans="1:2" x14ac:dyDescent="0.25">
      <c r="A37" s="2">
        <v>36</v>
      </c>
      <c r="B37" s="3">
        <v>2</v>
      </c>
    </row>
    <row r="38" spans="1:2" x14ac:dyDescent="0.25">
      <c r="A38" s="2">
        <v>37</v>
      </c>
      <c r="B38" s="3">
        <v>2</v>
      </c>
    </row>
    <row r="39" spans="1:2" x14ac:dyDescent="0.25">
      <c r="A39" s="2">
        <v>38</v>
      </c>
      <c r="B39" s="3">
        <v>2</v>
      </c>
    </row>
    <row r="40" spans="1:2" x14ac:dyDescent="0.25">
      <c r="A40" s="2">
        <v>39</v>
      </c>
      <c r="B40" s="3">
        <v>2</v>
      </c>
    </row>
    <row r="41" spans="1:2" x14ac:dyDescent="0.25">
      <c r="A41" s="2">
        <v>40</v>
      </c>
      <c r="B41" s="3">
        <v>2</v>
      </c>
    </row>
    <row r="42" spans="1:2" x14ac:dyDescent="0.25">
      <c r="A42" s="2">
        <v>41</v>
      </c>
      <c r="B42" s="3">
        <v>2</v>
      </c>
    </row>
    <row r="43" spans="1:2" x14ac:dyDescent="0.25">
      <c r="A43" s="2">
        <v>42</v>
      </c>
      <c r="B43" s="3">
        <v>2</v>
      </c>
    </row>
    <row r="44" spans="1:2" x14ac:dyDescent="0.25">
      <c r="A44" s="2">
        <v>43</v>
      </c>
      <c r="B44" s="3">
        <v>2</v>
      </c>
    </row>
    <row r="45" spans="1:2" x14ac:dyDescent="0.25">
      <c r="A45" s="2">
        <v>44</v>
      </c>
      <c r="B45" s="3">
        <v>2</v>
      </c>
    </row>
    <row r="46" spans="1:2" x14ac:dyDescent="0.25">
      <c r="A46" s="2">
        <v>45</v>
      </c>
      <c r="B46" s="3">
        <v>2</v>
      </c>
    </row>
    <row r="47" spans="1:2" x14ac:dyDescent="0.25">
      <c r="A47" s="2">
        <v>46</v>
      </c>
      <c r="B47" s="3">
        <v>2</v>
      </c>
    </row>
    <row r="48" spans="1:2" x14ac:dyDescent="0.25">
      <c r="A48" s="2">
        <v>47</v>
      </c>
      <c r="B48" s="3">
        <v>2</v>
      </c>
    </row>
    <row r="49" spans="1:2" x14ac:dyDescent="0.25">
      <c r="A49" s="2">
        <v>48</v>
      </c>
      <c r="B49" s="3">
        <v>2</v>
      </c>
    </row>
    <row r="50" spans="1:2" x14ac:dyDescent="0.25">
      <c r="A50" s="2">
        <v>49</v>
      </c>
      <c r="B50" s="3">
        <v>2</v>
      </c>
    </row>
    <row r="51" spans="1:2" x14ac:dyDescent="0.25">
      <c r="A51" s="2">
        <v>50</v>
      </c>
      <c r="B51" s="3">
        <v>2</v>
      </c>
    </row>
    <row r="52" spans="1:2" x14ac:dyDescent="0.25">
      <c r="A52" s="2">
        <v>51</v>
      </c>
      <c r="B52" s="3">
        <v>2</v>
      </c>
    </row>
    <row r="53" spans="1:2" x14ac:dyDescent="0.25">
      <c r="A53" s="2">
        <v>52</v>
      </c>
      <c r="B53" s="3">
        <v>2</v>
      </c>
    </row>
    <row r="54" spans="1:2" x14ac:dyDescent="0.25">
      <c r="A54" s="2">
        <v>53</v>
      </c>
      <c r="B54" s="3">
        <v>2</v>
      </c>
    </row>
    <row r="55" spans="1:2" x14ac:dyDescent="0.25">
      <c r="A55" s="2">
        <v>54</v>
      </c>
      <c r="B55" s="3">
        <v>2</v>
      </c>
    </row>
    <row r="56" spans="1:2" x14ac:dyDescent="0.25">
      <c r="A56" s="2">
        <v>55</v>
      </c>
      <c r="B56" s="3">
        <v>2</v>
      </c>
    </row>
    <row r="57" spans="1:2" x14ac:dyDescent="0.25">
      <c r="A57" s="2">
        <v>56</v>
      </c>
      <c r="B57" s="3">
        <v>2</v>
      </c>
    </row>
    <row r="58" spans="1:2" x14ac:dyDescent="0.25">
      <c r="A58" s="2">
        <v>57</v>
      </c>
      <c r="B58" s="3">
        <v>2</v>
      </c>
    </row>
    <row r="59" spans="1:2" x14ac:dyDescent="0.25">
      <c r="A59" s="2">
        <v>58</v>
      </c>
      <c r="B59" s="3">
        <v>2</v>
      </c>
    </row>
    <row r="60" spans="1:2" x14ac:dyDescent="0.25">
      <c r="A60" s="2">
        <v>59</v>
      </c>
      <c r="B60" s="3">
        <v>2</v>
      </c>
    </row>
    <row r="61" spans="1:2" x14ac:dyDescent="0.25">
      <c r="A61" s="2">
        <v>60</v>
      </c>
      <c r="B61" s="3">
        <v>2</v>
      </c>
    </row>
    <row r="62" spans="1:2" x14ac:dyDescent="0.25">
      <c r="A62" s="2">
        <v>61</v>
      </c>
      <c r="B62" s="3">
        <v>2</v>
      </c>
    </row>
    <row r="63" spans="1:2" x14ac:dyDescent="0.25">
      <c r="A63" s="2">
        <v>62</v>
      </c>
      <c r="B63" s="3">
        <v>2</v>
      </c>
    </row>
    <row r="64" spans="1:2" x14ac:dyDescent="0.25">
      <c r="A64" s="2">
        <v>63</v>
      </c>
      <c r="B64" s="3">
        <v>2</v>
      </c>
    </row>
    <row r="65" spans="1:2" x14ac:dyDescent="0.25">
      <c r="A65" s="2">
        <v>64</v>
      </c>
      <c r="B65" s="3">
        <v>2</v>
      </c>
    </row>
    <row r="66" spans="1:2" x14ac:dyDescent="0.25">
      <c r="A66" s="2">
        <v>65</v>
      </c>
      <c r="B66" s="3">
        <v>2</v>
      </c>
    </row>
    <row r="67" spans="1:2" x14ac:dyDescent="0.25">
      <c r="A67" s="2">
        <v>66</v>
      </c>
      <c r="B67" s="3">
        <v>2</v>
      </c>
    </row>
    <row r="68" spans="1:2" x14ac:dyDescent="0.25">
      <c r="A68" s="2">
        <v>67</v>
      </c>
      <c r="B68" s="3">
        <v>2</v>
      </c>
    </row>
    <row r="69" spans="1:2" x14ac:dyDescent="0.25">
      <c r="A69" s="2">
        <v>68</v>
      </c>
      <c r="B69" s="3">
        <v>2</v>
      </c>
    </row>
    <row r="70" spans="1:2" x14ac:dyDescent="0.25">
      <c r="A70" s="2">
        <v>69</v>
      </c>
      <c r="B70" s="3">
        <v>2</v>
      </c>
    </row>
    <row r="71" spans="1:2" x14ac:dyDescent="0.25">
      <c r="A71" s="2">
        <v>70</v>
      </c>
      <c r="B71" s="3">
        <v>2</v>
      </c>
    </row>
    <row r="72" spans="1:2" x14ac:dyDescent="0.25">
      <c r="A72" s="2">
        <v>71</v>
      </c>
      <c r="B72" s="3">
        <v>2</v>
      </c>
    </row>
    <row r="73" spans="1:2" x14ac:dyDescent="0.25">
      <c r="A73" s="2">
        <v>72</v>
      </c>
      <c r="B73" s="3">
        <v>2</v>
      </c>
    </row>
    <row r="74" spans="1:2" x14ac:dyDescent="0.25">
      <c r="A74" s="2">
        <v>73</v>
      </c>
      <c r="B74" s="3">
        <v>2</v>
      </c>
    </row>
    <row r="75" spans="1:2" x14ac:dyDescent="0.25">
      <c r="A75" s="2">
        <v>74</v>
      </c>
      <c r="B75" s="3">
        <v>2</v>
      </c>
    </row>
    <row r="76" spans="1:2" x14ac:dyDescent="0.25">
      <c r="A76" s="2">
        <v>75</v>
      </c>
      <c r="B76" s="3">
        <v>2</v>
      </c>
    </row>
    <row r="77" spans="1:2" x14ac:dyDescent="0.25">
      <c r="A77" s="2">
        <v>76</v>
      </c>
      <c r="B77" s="3">
        <v>2</v>
      </c>
    </row>
    <row r="78" spans="1:2" x14ac:dyDescent="0.25">
      <c r="A78" s="2">
        <v>77</v>
      </c>
      <c r="B78" s="3">
        <v>2</v>
      </c>
    </row>
    <row r="79" spans="1:2" x14ac:dyDescent="0.25">
      <c r="A79" s="2">
        <v>78</v>
      </c>
      <c r="B79" s="3">
        <v>2</v>
      </c>
    </row>
    <row r="80" spans="1:2" x14ac:dyDescent="0.25">
      <c r="A80" s="2">
        <v>79</v>
      </c>
      <c r="B80" s="3">
        <v>2</v>
      </c>
    </row>
    <row r="81" spans="1:2" x14ac:dyDescent="0.25">
      <c r="A81" s="2">
        <v>80</v>
      </c>
      <c r="B81" s="3">
        <v>2</v>
      </c>
    </row>
    <row r="82" spans="1:2" x14ac:dyDescent="0.25">
      <c r="A82" s="2">
        <v>81</v>
      </c>
      <c r="B82" s="3">
        <v>2</v>
      </c>
    </row>
    <row r="83" spans="1:2" x14ac:dyDescent="0.25">
      <c r="A83" s="2">
        <v>82</v>
      </c>
      <c r="B83" s="3">
        <v>2</v>
      </c>
    </row>
    <row r="84" spans="1:2" x14ac:dyDescent="0.25">
      <c r="A84" s="2">
        <v>83</v>
      </c>
      <c r="B84" s="3">
        <v>2</v>
      </c>
    </row>
    <row r="85" spans="1:2" x14ac:dyDescent="0.25">
      <c r="A85" s="2">
        <v>84</v>
      </c>
      <c r="B85" s="3">
        <v>2</v>
      </c>
    </row>
    <row r="86" spans="1:2" x14ac:dyDescent="0.25">
      <c r="A86" s="2">
        <v>85</v>
      </c>
      <c r="B86" s="3">
        <v>2</v>
      </c>
    </row>
    <row r="87" spans="1:2" x14ac:dyDescent="0.25">
      <c r="A87" s="2">
        <v>86</v>
      </c>
      <c r="B87" s="3">
        <v>1</v>
      </c>
    </row>
    <row r="88" spans="1:2" x14ac:dyDescent="0.25">
      <c r="A88" s="2">
        <v>87</v>
      </c>
      <c r="B88" s="3">
        <v>1</v>
      </c>
    </row>
    <row r="89" spans="1:2" x14ac:dyDescent="0.25">
      <c r="A89" s="2">
        <v>88</v>
      </c>
      <c r="B89" s="3">
        <v>1</v>
      </c>
    </row>
    <row r="90" spans="1:2" x14ac:dyDescent="0.25">
      <c r="A90" s="2">
        <v>89</v>
      </c>
      <c r="B90" s="3">
        <v>1</v>
      </c>
    </row>
    <row r="91" spans="1:2" x14ac:dyDescent="0.25">
      <c r="A91" s="2">
        <v>90</v>
      </c>
      <c r="B91" s="3">
        <v>2</v>
      </c>
    </row>
    <row r="92" spans="1:2" x14ac:dyDescent="0.25">
      <c r="A92" s="2">
        <v>91</v>
      </c>
      <c r="B92" s="3">
        <v>2</v>
      </c>
    </row>
    <row r="93" spans="1:2" x14ac:dyDescent="0.25">
      <c r="A93" s="2">
        <v>92</v>
      </c>
      <c r="B93" s="3">
        <v>2</v>
      </c>
    </row>
    <row r="94" spans="1:2" x14ac:dyDescent="0.25">
      <c r="A94" s="2">
        <v>93</v>
      </c>
      <c r="B94" s="3">
        <v>2</v>
      </c>
    </row>
    <row r="95" spans="1:2" x14ac:dyDescent="0.25">
      <c r="A95" s="2">
        <v>94</v>
      </c>
      <c r="B95" s="3">
        <v>2</v>
      </c>
    </row>
    <row r="96" spans="1:2" x14ac:dyDescent="0.25">
      <c r="A96" s="2">
        <v>95</v>
      </c>
      <c r="B96" s="3">
        <v>2</v>
      </c>
    </row>
    <row r="97" spans="1:2" x14ac:dyDescent="0.25">
      <c r="A97" s="2">
        <v>96</v>
      </c>
      <c r="B97" s="3">
        <v>2</v>
      </c>
    </row>
    <row r="98" spans="1:2" x14ac:dyDescent="0.25">
      <c r="A98" s="2">
        <v>97</v>
      </c>
      <c r="B98" s="3">
        <v>2</v>
      </c>
    </row>
    <row r="99" spans="1:2" x14ac:dyDescent="0.25">
      <c r="A99" s="2">
        <v>98</v>
      </c>
      <c r="B99" s="3">
        <v>2</v>
      </c>
    </row>
    <row r="100" spans="1:2" x14ac:dyDescent="0.25">
      <c r="A100" s="2">
        <v>99</v>
      </c>
      <c r="B100" s="3">
        <v>2</v>
      </c>
    </row>
    <row r="101" spans="1:2" x14ac:dyDescent="0.25">
      <c r="A101" s="2">
        <v>100</v>
      </c>
      <c r="B101" s="3">
        <v>2</v>
      </c>
    </row>
    <row r="102" spans="1:2" x14ac:dyDescent="0.25">
      <c r="A102" s="2">
        <v>101</v>
      </c>
      <c r="B102" s="3">
        <v>2</v>
      </c>
    </row>
    <row r="103" spans="1:2" x14ac:dyDescent="0.25">
      <c r="A103" s="2">
        <v>102</v>
      </c>
      <c r="B103" s="3">
        <v>2</v>
      </c>
    </row>
    <row r="104" spans="1:2" x14ac:dyDescent="0.25">
      <c r="A104" s="2">
        <v>103</v>
      </c>
      <c r="B104" s="3">
        <v>2</v>
      </c>
    </row>
    <row r="105" spans="1:2" x14ac:dyDescent="0.25">
      <c r="A105" s="2">
        <v>104</v>
      </c>
      <c r="B105" s="3">
        <v>2</v>
      </c>
    </row>
    <row r="106" spans="1:2" x14ac:dyDescent="0.25">
      <c r="A106" s="2">
        <v>105</v>
      </c>
      <c r="B106" s="3">
        <v>2</v>
      </c>
    </row>
    <row r="107" spans="1:2" x14ac:dyDescent="0.25">
      <c r="A107" s="2">
        <v>106</v>
      </c>
      <c r="B107" s="3">
        <v>2</v>
      </c>
    </row>
    <row r="108" spans="1:2" x14ac:dyDescent="0.25">
      <c r="A108" s="2">
        <v>107</v>
      </c>
      <c r="B108" s="3">
        <v>2</v>
      </c>
    </row>
    <row r="109" spans="1:2" x14ac:dyDescent="0.25">
      <c r="A109" s="2">
        <v>108</v>
      </c>
      <c r="B109" s="3">
        <v>2</v>
      </c>
    </row>
    <row r="110" spans="1:2" x14ac:dyDescent="0.25">
      <c r="A110" s="2">
        <v>109</v>
      </c>
      <c r="B110" s="3">
        <v>2</v>
      </c>
    </row>
    <row r="111" spans="1:2" x14ac:dyDescent="0.25">
      <c r="A111" s="2">
        <v>110</v>
      </c>
      <c r="B111" s="3">
        <v>2</v>
      </c>
    </row>
    <row r="112" spans="1:2" x14ac:dyDescent="0.25">
      <c r="A112" s="2">
        <v>111</v>
      </c>
      <c r="B112" s="3">
        <v>2</v>
      </c>
    </row>
    <row r="113" spans="1:2" x14ac:dyDescent="0.25">
      <c r="A113" s="2">
        <v>112</v>
      </c>
      <c r="B113" s="3">
        <v>2</v>
      </c>
    </row>
    <row r="114" spans="1:2" x14ac:dyDescent="0.25">
      <c r="A114" s="2">
        <v>113</v>
      </c>
      <c r="B114" s="3">
        <v>2</v>
      </c>
    </row>
    <row r="115" spans="1:2" x14ac:dyDescent="0.25">
      <c r="A115" s="2">
        <v>114</v>
      </c>
      <c r="B115" s="3">
        <v>2</v>
      </c>
    </row>
    <row r="116" spans="1:2" x14ac:dyDescent="0.25">
      <c r="A116" s="2">
        <v>115</v>
      </c>
      <c r="B116" s="3">
        <v>2</v>
      </c>
    </row>
    <row r="117" spans="1:2" x14ac:dyDescent="0.25">
      <c r="A117" s="2">
        <v>116</v>
      </c>
      <c r="B117" s="3">
        <v>2</v>
      </c>
    </row>
    <row r="118" spans="1:2" x14ac:dyDescent="0.25">
      <c r="A118" s="2">
        <v>117</v>
      </c>
      <c r="B118" s="3">
        <v>2</v>
      </c>
    </row>
    <row r="119" spans="1:2" x14ac:dyDescent="0.25">
      <c r="A119" s="2">
        <v>118</v>
      </c>
      <c r="B119" s="3">
        <v>2</v>
      </c>
    </row>
    <row r="120" spans="1:2" x14ac:dyDescent="0.25">
      <c r="A120" s="2">
        <v>119</v>
      </c>
      <c r="B120" s="3">
        <v>2</v>
      </c>
    </row>
    <row r="121" spans="1:2" x14ac:dyDescent="0.25">
      <c r="A121" s="2">
        <v>120</v>
      </c>
      <c r="B121" s="3">
        <v>2</v>
      </c>
    </row>
    <row r="122" spans="1:2" x14ac:dyDescent="0.25">
      <c r="A122" s="2">
        <v>121</v>
      </c>
      <c r="B122" s="3">
        <v>2</v>
      </c>
    </row>
    <row r="123" spans="1:2" x14ac:dyDescent="0.25">
      <c r="A123" s="2">
        <v>122</v>
      </c>
      <c r="B123" s="3">
        <v>2</v>
      </c>
    </row>
    <row r="124" spans="1:2" x14ac:dyDescent="0.25">
      <c r="A124" s="2">
        <v>123</v>
      </c>
      <c r="B124" s="3">
        <v>2</v>
      </c>
    </row>
    <row r="125" spans="1:2" x14ac:dyDescent="0.25">
      <c r="A125" s="2">
        <v>124</v>
      </c>
      <c r="B125" s="3">
        <v>2</v>
      </c>
    </row>
    <row r="126" spans="1:2" x14ac:dyDescent="0.25">
      <c r="A126" s="2">
        <v>125</v>
      </c>
      <c r="B126" s="3">
        <v>2</v>
      </c>
    </row>
    <row r="127" spans="1:2" x14ac:dyDescent="0.25">
      <c r="A127" s="2">
        <v>126</v>
      </c>
      <c r="B127" s="3">
        <v>2</v>
      </c>
    </row>
    <row r="128" spans="1:2" x14ac:dyDescent="0.25">
      <c r="A128" s="2">
        <v>127</v>
      </c>
      <c r="B128" s="3">
        <v>2</v>
      </c>
    </row>
    <row r="129" spans="1:2" x14ac:dyDescent="0.25">
      <c r="A129" s="2">
        <v>128</v>
      </c>
      <c r="B129" s="3">
        <v>2</v>
      </c>
    </row>
    <row r="130" spans="1:2" x14ac:dyDescent="0.25">
      <c r="A130" s="2">
        <v>129</v>
      </c>
      <c r="B130" s="3">
        <v>2</v>
      </c>
    </row>
    <row r="131" spans="1:2" x14ac:dyDescent="0.25">
      <c r="A131" s="2">
        <v>130</v>
      </c>
      <c r="B131" s="3">
        <v>2</v>
      </c>
    </row>
    <row r="132" spans="1:2" x14ac:dyDescent="0.25">
      <c r="A132" s="2">
        <v>131</v>
      </c>
      <c r="B132" s="3">
        <v>2</v>
      </c>
    </row>
    <row r="133" spans="1:2" x14ac:dyDescent="0.25">
      <c r="A133" s="2">
        <v>132</v>
      </c>
      <c r="B133" s="3">
        <v>2</v>
      </c>
    </row>
    <row r="134" spans="1:2" x14ac:dyDescent="0.25">
      <c r="A134" s="2">
        <v>133</v>
      </c>
      <c r="B134" s="3">
        <v>2</v>
      </c>
    </row>
    <row r="135" spans="1:2" x14ac:dyDescent="0.25">
      <c r="A135" s="2">
        <v>134</v>
      </c>
      <c r="B135" s="3">
        <v>2</v>
      </c>
    </row>
    <row r="136" spans="1:2" x14ac:dyDescent="0.25">
      <c r="A136" s="2">
        <v>135</v>
      </c>
      <c r="B136" s="3">
        <v>2</v>
      </c>
    </row>
    <row r="137" spans="1:2" x14ac:dyDescent="0.25">
      <c r="A137" s="2">
        <v>136</v>
      </c>
      <c r="B137" s="3">
        <v>2</v>
      </c>
    </row>
    <row r="138" spans="1:2" x14ac:dyDescent="0.25">
      <c r="A138" s="2">
        <v>137</v>
      </c>
      <c r="B138" s="3">
        <v>2</v>
      </c>
    </row>
    <row r="139" spans="1:2" x14ac:dyDescent="0.25">
      <c r="A139" s="2">
        <v>138</v>
      </c>
      <c r="B139" s="3">
        <v>2</v>
      </c>
    </row>
    <row r="140" spans="1:2" x14ac:dyDescent="0.25">
      <c r="A140" s="2">
        <v>139</v>
      </c>
      <c r="B140" s="3">
        <v>2</v>
      </c>
    </row>
    <row r="141" spans="1:2" x14ac:dyDescent="0.25">
      <c r="A141" s="2">
        <v>140</v>
      </c>
      <c r="B141" s="3">
        <v>2</v>
      </c>
    </row>
    <row r="142" spans="1:2" x14ac:dyDescent="0.25">
      <c r="A142" s="2">
        <v>141</v>
      </c>
      <c r="B142" s="3">
        <v>2</v>
      </c>
    </row>
    <row r="143" spans="1:2" x14ac:dyDescent="0.25">
      <c r="A143" s="2">
        <v>142</v>
      </c>
      <c r="B143" s="3">
        <v>2</v>
      </c>
    </row>
    <row r="144" spans="1:2" x14ac:dyDescent="0.25">
      <c r="A144" s="2">
        <v>143</v>
      </c>
      <c r="B144" s="3">
        <v>2</v>
      </c>
    </row>
    <row r="145" spans="1:2" x14ac:dyDescent="0.25">
      <c r="A145" s="2">
        <v>144</v>
      </c>
      <c r="B145" s="3">
        <v>2</v>
      </c>
    </row>
    <row r="146" spans="1:2" x14ac:dyDescent="0.25">
      <c r="A146" s="2">
        <v>145</v>
      </c>
      <c r="B146" s="3">
        <v>2</v>
      </c>
    </row>
    <row r="147" spans="1:2" x14ac:dyDescent="0.25">
      <c r="A147" s="2">
        <v>146</v>
      </c>
      <c r="B147" s="3">
        <v>2</v>
      </c>
    </row>
    <row r="148" spans="1:2" x14ac:dyDescent="0.25">
      <c r="A148" s="2">
        <v>147</v>
      </c>
      <c r="B148" s="3">
        <v>2</v>
      </c>
    </row>
    <row r="149" spans="1:2" x14ac:dyDescent="0.25">
      <c r="A149" s="2">
        <v>148</v>
      </c>
      <c r="B149" s="3">
        <v>2</v>
      </c>
    </row>
    <row r="150" spans="1:2" x14ac:dyDescent="0.25">
      <c r="A150" s="2">
        <v>149</v>
      </c>
      <c r="B150" s="3">
        <v>2</v>
      </c>
    </row>
    <row r="151" spans="1:2" x14ac:dyDescent="0.25">
      <c r="A151" s="2">
        <v>150</v>
      </c>
      <c r="B151" s="3">
        <v>2</v>
      </c>
    </row>
    <row r="152" spans="1:2" x14ac:dyDescent="0.25">
      <c r="A152" s="2">
        <v>151</v>
      </c>
      <c r="B152" s="3">
        <v>2</v>
      </c>
    </row>
    <row r="153" spans="1:2" x14ac:dyDescent="0.25">
      <c r="A153" s="2">
        <v>152</v>
      </c>
      <c r="B153" s="3">
        <v>2</v>
      </c>
    </row>
    <row r="154" spans="1:2" x14ac:dyDescent="0.25">
      <c r="A154" s="2">
        <v>153</v>
      </c>
      <c r="B154" s="3">
        <v>2</v>
      </c>
    </row>
    <row r="155" spans="1:2" x14ac:dyDescent="0.25">
      <c r="A155" s="2">
        <v>154</v>
      </c>
      <c r="B155" s="3">
        <v>2</v>
      </c>
    </row>
    <row r="156" spans="1:2" x14ac:dyDescent="0.25">
      <c r="A156" s="2">
        <v>155</v>
      </c>
      <c r="B156" s="3">
        <v>2</v>
      </c>
    </row>
    <row r="157" spans="1:2" x14ac:dyDescent="0.25">
      <c r="A157" s="2">
        <v>156</v>
      </c>
      <c r="B157" s="3">
        <v>2</v>
      </c>
    </row>
    <row r="158" spans="1:2" x14ac:dyDescent="0.25">
      <c r="A158" s="2">
        <v>157</v>
      </c>
      <c r="B158" s="3">
        <v>2</v>
      </c>
    </row>
    <row r="159" spans="1:2" x14ac:dyDescent="0.25">
      <c r="A159" s="2">
        <v>158</v>
      </c>
      <c r="B159" s="3">
        <v>2</v>
      </c>
    </row>
    <row r="160" spans="1:2" x14ac:dyDescent="0.25">
      <c r="A160" s="2">
        <v>159</v>
      </c>
      <c r="B160" s="3">
        <v>1</v>
      </c>
    </row>
    <row r="161" spans="1:2" x14ac:dyDescent="0.25">
      <c r="A161" s="2">
        <v>160</v>
      </c>
      <c r="B161" s="3">
        <v>1</v>
      </c>
    </row>
    <row r="162" spans="1:2" x14ac:dyDescent="0.25">
      <c r="A162" s="2">
        <v>161</v>
      </c>
      <c r="B162" s="3">
        <v>1</v>
      </c>
    </row>
    <row r="163" spans="1:2" x14ac:dyDescent="0.25">
      <c r="A163" s="2">
        <v>162</v>
      </c>
      <c r="B163" s="3">
        <v>1</v>
      </c>
    </row>
    <row r="164" spans="1:2" x14ac:dyDescent="0.25">
      <c r="A164" s="2">
        <v>163</v>
      </c>
      <c r="B164" s="3">
        <v>1</v>
      </c>
    </row>
    <row r="165" spans="1:2" x14ac:dyDescent="0.25">
      <c r="A165" s="2">
        <v>164</v>
      </c>
      <c r="B165" s="3">
        <v>1</v>
      </c>
    </row>
    <row r="166" spans="1:2" x14ac:dyDescent="0.25">
      <c r="A166" s="2">
        <v>165</v>
      </c>
      <c r="B166" s="3">
        <v>1</v>
      </c>
    </row>
    <row r="167" spans="1:2" x14ac:dyDescent="0.25">
      <c r="A167" s="2">
        <v>166</v>
      </c>
      <c r="B167" s="3">
        <v>1</v>
      </c>
    </row>
    <row r="168" spans="1:2" x14ac:dyDescent="0.25">
      <c r="A168" s="2">
        <v>167</v>
      </c>
      <c r="B168" s="3">
        <v>1</v>
      </c>
    </row>
    <row r="169" spans="1:2" x14ac:dyDescent="0.25">
      <c r="A169" s="2">
        <v>168</v>
      </c>
      <c r="B169" s="3">
        <v>1</v>
      </c>
    </row>
    <row r="170" spans="1:2" x14ac:dyDescent="0.25">
      <c r="A170" s="2">
        <v>169</v>
      </c>
      <c r="B170" s="3">
        <v>1</v>
      </c>
    </row>
    <row r="171" spans="1:2" x14ac:dyDescent="0.25">
      <c r="A171" s="2">
        <v>170</v>
      </c>
      <c r="B171" s="3">
        <v>1</v>
      </c>
    </row>
    <row r="172" spans="1:2" x14ac:dyDescent="0.25">
      <c r="A172" s="2">
        <v>171</v>
      </c>
      <c r="B172" s="3">
        <v>1</v>
      </c>
    </row>
    <row r="173" spans="1:2" x14ac:dyDescent="0.25">
      <c r="A173" s="2">
        <v>172</v>
      </c>
      <c r="B173" s="3">
        <v>1</v>
      </c>
    </row>
    <row r="174" spans="1:2" x14ac:dyDescent="0.25">
      <c r="A174" s="2">
        <v>173</v>
      </c>
      <c r="B174" s="3">
        <v>1</v>
      </c>
    </row>
    <row r="175" spans="1:2" x14ac:dyDescent="0.25">
      <c r="A175" s="2">
        <v>174</v>
      </c>
      <c r="B175" s="3">
        <v>1</v>
      </c>
    </row>
    <row r="176" spans="1:2" x14ac:dyDescent="0.25">
      <c r="A176" s="2">
        <v>175</v>
      </c>
      <c r="B176" s="3">
        <v>1</v>
      </c>
    </row>
    <row r="177" spans="1:2" x14ac:dyDescent="0.25">
      <c r="A177" s="2">
        <v>176</v>
      </c>
      <c r="B177" s="3">
        <v>2</v>
      </c>
    </row>
    <row r="178" spans="1:2" x14ac:dyDescent="0.25">
      <c r="A178" s="2">
        <v>177</v>
      </c>
      <c r="B178" s="3">
        <v>2</v>
      </c>
    </row>
    <row r="179" spans="1:2" x14ac:dyDescent="0.25">
      <c r="A179" s="2">
        <v>178</v>
      </c>
      <c r="B179" s="3">
        <v>2</v>
      </c>
    </row>
    <row r="180" spans="1:2" x14ac:dyDescent="0.25">
      <c r="A180" s="2">
        <v>179</v>
      </c>
      <c r="B180" s="3">
        <v>2</v>
      </c>
    </row>
    <row r="181" spans="1:2" x14ac:dyDescent="0.25">
      <c r="A181" s="2">
        <v>180</v>
      </c>
      <c r="B181" s="3">
        <v>2</v>
      </c>
    </row>
    <row r="182" spans="1:2" x14ac:dyDescent="0.25">
      <c r="A182" s="2">
        <v>181</v>
      </c>
      <c r="B182" s="3">
        <v>2</v>
      </c>
    </row>
    <row r="183" spans="1:2" x14ac:dyDescent="0.25">
      <c r="A183" s="2">
        <v>182</v>
      </c>
      <c r="B183" s="3">
        <v>2</v>
      </c>
    </row>
    <row r="184" spans="1:2" x14ac:dyDescent="0.25">
      <c r="A184" s="2">
        <v>183</v>
      </c>
      <c r="B184" s="3">
        <v>2</v>
      </c>
    </row>
    <row r="185" spans="1:2" x14ac:dyDescent="0.25">
      <c r="A185" s="2">
        <v>184</v>
      </c>
      <c r="B185" s="3">
        <v>2</v>
      </c>
    </row>
    <row r="186" spans="1:2" x14ac:dyDescent="0.25">
      <c r="A186" s="2">
        <v>185</v>
      </c>
      <c r="B186" s="3">
        <v>1</v>
      </c>
    </row>
    <row r="187" spans="1:2" x14ac:dyDescent="0.25">
      <c r="A187" s="2">
        <v>186</v>
      </c>
      <c r="B187" s="3">
        <v>1</v>
      </c>
    </row>
    <row r="188" spans="1:2" x14ac:dyDescent="0.25">
      <c r="A188" s="2">
        <v>187</v>
      </c>
      <c r="B188" s="3">
        <v>1</v>
      </c>
    </row>
    <row r="189" spans="1:2" x14ac:dyDescent="0.25">
      <c r="A189" s="2">
        <v>188</v>
      </c>
      <c r="B189" s="3">
        <v>1</v>
      </c>
    </row>
    <row r="190" spans="1:2" x14ac:dyDescent="0.25">
      <c r="A190" s="2">
        <v>189</v>
      </c>
      <c r="B190" s="3">
        <v>1</v>
      </c>
    </row>
    <row r="191" spans="1:2" x14ac:dyDescent="0.25">
      <c r="A191" s="2">
        <v>190</v>
      </c>
      <c r="B191" s="3">
        <v>1</v>
      </c>
    </row>
    <row r="192" spans="1:2" x14ac:dyDescent="0.25">
      <c r="A192" s="2">
        <v>191</v>
      </c>
      <c r="B192" s="3">
        <v>1</v>
      </c>
    </row>
    <row r="193" spans="1:2" x14ac:dyDescent="0.25">
      <c r="A193" s="2">
        <v>192</v>
      </c>
      <c r="B193" s="3">
        <v>1</v>
      </c>
    </row>
    <row r="194" spans="1:2" x14ac:dyDescent="0.25">
      <c r="A194" s="2">
        <v>193</v>
      </c>
      <c r="B194" s="3">
        <v>1</v>
      </c>
    </row>
    <row r="195" spans="1:2" x14ac:dyDescent="0.25">
      <c r="A195" s="2">
        <v>194</v>
      </c>
      <c r="B195" s="3">
        <v>2</v>
      </c>
    </row>
    <row r="196" spans="1:2" x14ac:dyDescent="0.25">
      <c r="A196" s="2">
        <v>195</v>
      </c>
      <c r="B196" s="3">
        <v>2</v>
      </c>
    </row>
    <row r="197" spans="1:2" x14ac:dyDescent="0.25">
      <c r="A197" s="2">
        <v>196</v>
      </c>
      <c r="B197" s="3">
        <v>2</v>
      </c>
    </row>
    <row r="198" spans="1:2" x14ac:dyDescent="0.25">
      <c r="A198" s="2">
        <v>197</v>
      </c>
      <c r="B198" s="3">
        <v>2</v>
      </c>
    </row>
    <row r="199" spans="1:2" x14ac:dyDescent="0.25">
      <c r="A199" s="2">
        <v>198</v>
      </c>
      <c r="B199" s="3">
        <v>2</v>
      </c>
    </row>
    <row r="200" spans="1:2" x14ac:dyDescent="0.25">
      <c r="A200" s="2">
        <v>199</v>
      </c>
      <c r="B200" s="3">
        <v>2</v>
      </c>
    </row>
    <row r="201" spans="1:2" x14ac:dyDescent="0.25">
      <c r="A201" s="2">
        <v>200</v>
      </c>
      <c r="B201" s="3">
        <v>2</v>
      </c>
    </row>
    <row r="202" spans="1:2" x14ac:dyDescent="0.25">
      <c r="A202" s="2">
        <v>201</v>
      </c>
      <c r="B202" s="3">
        <v>2</v>
      </c>
    </row>
    <row r="203" spans="1:2" x14ac:dyDescent="0.25">
      <c r="A203" s="2">
        <v>202</v>
      </c>
      <c r="B203" s="3">
        <v>2</v>
      </c>
    </row>
    <row r="204" spans="1:2" x14ac:dyDescent="0.25">
      <c r="A204" s="2">
        <v>203</v>
      </c>
      <c r="B204" s="3">
        <v>2</v>
      </c>
    </row>
    <row r="205" spans="1:2" x14ac:dyDescent="0.25">
      <c r="A205" s="2">
        <v>204</v>
      </c>
      <c r="B205" s="3">
        <v>2</v>
      </c>
    </row>
    <row r="206" spans="1:2" x14ac:dyDescent="0.25">
      <c r="A206" s="2">
        <v>205</v>
      </c>
      <c r="B206" s="3">
        <v>2</v>
      </c>
    </row>
    <row r="207" spans="1:2" x14ac:dyDescent="0.25">
      <c r="A207" s="2">
        <v>206</v>
      </c>
      <c r="B207" s="3">
        <v>2</v>
      </c>
    </row>
    <row r="208" spans="1:2" x14ac:dyDescent="0.25">
      <c r="A208" s="2">
        <v>207</v>
      </c>
      <c r="B208" s="3">
        <v>2</v>
      </c>
    </row>
    <row r="209" spans="1:2" x14ac:dyDescent="0.25">
      <c r="A209" s="2">
        <v>208</v>
      </c>
      <c r="B209" s="3">
        <v>2</v>
      </c>
    </row>
    <row r="210" spans="1:2" x14ac:dyDescent="0.25">
      <c r="A210" s="2">
        <v>209</v>
      </c>
      <c r="B210" s="3">
        <v>2</v>
      </c>
    </row>
    <row r="211" spans="1:2" x14ac:dyDescent="0.25">
      <c r="A211" s="2">
        <v>210</v>
      </c>
      <c r="B211" s="3">
        <v>2</v>
      </c>
    </row>
    <row r="212" spans="1:2" x14ac:dyDescent="0.25">
      <c r="A212" s="2">
        <v>211</v>
      </c>
      <c r="B212" s="3">
        <v>2</v>
      </c>
    </row>
    <row r="213" spans="1:2" x14ac:dyDescent="0.25">
      <c r="A213" s="2">
        <v>212</v>
      </c>
      <c r="B213" s="3">
        <v>2</v>
      </c>
    </row>
    <row r="214" spans="1:2" x14ac:dyDescent="0.25">
      <c r="A214" s="2">
        <v>213</v>
      </c>
      <c r="B214" s="3">
        <v>2</v>
      </c>
    </row>
    <row r="215" spans="1:2" x14ac:dyDescent="0.25">
      <c r="A215" s="2">
        <v>214</v>
      </c>
      <c r="B215" s="3">
        <v>2</v>
      </c>
    </row>
    <row r="216" spans="1:2" x14ac:dyDescent="0.25">
      <c r="A216" s="2">
        <v>215</v>
      </c>
      <c r="B216" s="3">
        <v>2</v>
      </c>
    </row>
    <row r="217" spans="1:2" x14ac:dyDescent="0.25">
      <c r="A217" s="2">
        <v>216</v>
      </c>
      <c r="B217" s="3">
        <v>1</v>
      </c>
    </row>
    <row r="218" spans="1:2" x14ac:dyDescent="0.25">
      <c r="A218" s="2">
        <v>217</v>
      </c>
      <c r="B218" s="3">
        <v>1</v>
      </c>
    </row>
    <row r="219" spans="1:2" x14ac:dyDescent="0.25">
      <c r="A219" s="2">
        <v>218</v>
      </c>
      <c r="B219" s="3">
        <v>1</v>
      </c>
    </row>
    <row r="220" spans="1:2" x14ac:dyDescent="0.25">
      <c r="A220" s="2">
        <v>219</v>
      </c>
      <c r="B220" s="3">
        <v>1</v>
      </c>
    </row>
    <row r="221" spans="1:2" x14ac:dyDescent="0.25">
      <c r="A221" s="2">
        <v>220</v>
      </c>
      <c r="B221" s="3">
        <v>1</v>
      </c>
    </row>
    <row r="222" spans="1:2" x14ac:dyDescent="0.25">
      <c r="A222" s="2">
        <v>221</v>
      </c>
      <c r="B222" s="3">
        <v>1</v>
      </c>
    </row>
    <row r="223" spans="1:2" x14ac:dyDescent="0.25">
      <c r="A223" s="2">
        <v>222</v>
      </c>
      <c r="B223" s="3">
        <v>1</v>
      </c>
    </row>
    <row r="224" spans="1:2" x14ac:dyDescent="0.25">
      <c r="A224" s="2">
        <v>223</v>
      </c>
      <c r="B224" s="3">
        <v>1</v>
      </c>
    </row>
    <row r="225" spans="1:2" x14ac:dyDescent="0.25">
      <c r="A225" s="2">
        <v>224</v>
      </c>
      <c r="B225" s="3">
        <v>1</v>
      </c>
    </row>
    <row r="226" spans="1:2" x14ac:dyDescent="0.25">
      <c r="A226" s="2">
        <v>225</v>
      </c>
      <c r="B226" s="3">
        <v>1</v>
      </c>
    </row>
    <row r="227" spans="1:2" x14ac:dyDescent="0.25">
      <c r="A227" s="2">
        <v>226</v>
      </c>
      <c r="B227" s="3">
        <v>1</v>
      </c>
    </row>
    <row r="228" spans="1:2" x14ac:dyDescent="0.25">
      <c r="A228" s="2">
        <v>227</v>
      </c>
      <c r="B228" s="3">
        <v>1</v>
      </c>
    </row>
    <row r="229" spans="1:2" x14ac:dyDescent="0.25">
      <c r="A229" s="2">
        <v>228</v>
      </c>
      <c r="B229" s="3">
        <v>1</v>
      </c>
    </row>
    <row r="230" spans="1:2" x14ac:dyDescent="0.25">
      <c r="A230" s="2">
        <v>229</v>
      </c>
      <c r="B230" s="3">
        <v>2</v>
      </c>
    </row>
    <row r="231" spans="1:2" x14ac:dyDescent="0.25">
      <c r="A231" s="2">
        <v>230</v>
      </c>
      <c r="B231" s="3">
        <v>2</v>
      </c>
    </row>
    <row r="232" spans="1:2" x14ac:dyDescent="0.25">
      <c r="A232" s="2">
        <v>231</v>
      </c>
      <c r="B232" s="3">
        <v>2</v>
      </c>
    </row>
    <row r="233" spans="1:2" x14ac:dyDescent="0.25">
      <c r="A233" s="2">
        <v>232</v>
      </c>
      <c r="B233" s="3">
        <v>2</v>
      </c>
    </row>
    <row r="234" spans="1:2" x14ac:dyDescent="0.25">
      <c r="A234" s="2">
        <v>233</v>
      </c>
      <c r="B234" s="3">
        <v>2</v>
      </c>
    </row>
    <row r="235" spans="1:2" x14ac:dyDescent="0.25">
      <c r="A235" s="2">
        <v>234</v>
      </c>
      <c r="B235" s="3">
        <v>2</v>
      </c>
    </row>
    <row r="236" spans="1:2" x14ac:dyDescent="0.25">
      <c r="A236" s="2">
        <v>235</v>
      </c>
      <c r="B236" s="3">
        <v>2</v>
      </c>
    </row>
    <row r="237" spans="1:2" x14ac:dyDescent="0.25">
      <c r="A237" s="2">
        <v>236</v>
      </c>
      <c r="B237" s="3">
        <v>2</v>
      </c>
    </row>
    <row r="238" spans="1:2" x14ac:dyDescent="0.25">
      <c r="A238" s="2">
        <v>237</v>
      </c>
      <c r="B238" s="3">
        <v>2</v>
      </c>
    </row>
    <row r="239" spans="1:2" x14ac:dyDescent="0.25">
      <c r="A239" s="2">
        <v>238</v>
      </c>
      <c r="B239" s="3">
        <v>2</v>
      </c>
    </row>
    <row r="240" spans="1:2" x14ac:dyDescent="0.25">
      <c r="A240" s="2">
        <v>239</v>
      </c>
      <c r="B240" s="3">
        <v>2</v>
      </c>
    </row>
    <row r="241" spans="1:2" x14ac:dyDescent="0.25">
      <c r="A241" s="2">
        <v>240</v>
      </c>
      <c r="B241" s="3">
        <v>2</v>
      </c>
    </row>
    <row r="242" spans="1:2" x14ac:dyDescent="0.25">
      <c r="A242" s="2">
        <v>241</v>
      </c>
      <c r="B242" s="3">
        <v>2</v>
      </c>
    </row>
    <row r="243" spans="1:2" x14ac:dyDescent="0.25">
      <c r="A243" s="2">
        <v>242</v>
      </c>
      <c r="B243" s="3">
        <v>2</v>
      </c>
    </row>
    <row r="244" spans="1:2" x14ac:dyDescent="0.25">
      <c r="A244" s="2">
        <v>243</v>
      </c>
      <c r="B244" s="3">
        <v>2</v>
      </c>
    </row>
    <row r="245" spans="1:2" x14ac:dyDescent="0.25">
      <c r="A245" s="2">
        <v>244</v>
      </c>
      <c r="B245" s="3">
        <v>2</v>
      </c>
    </row>
    <row r="246" spans="1:2" x14ac:dyDescent="0.25">
      <c r="A246" s="2">
        <v>245</v>
      </c>
      <c r="B246" s="3">
        <v>2</v>
      </c>
    </row>
    <row r="247" spans="1:2" x14ac:dyDescent="0.25">
      <c r="A247" s="2">
        <v>246</v>
      </c>
      <c r="B247" s="3">
        <v>2</v>
      </c>
    </row>
    <row r="248" spans="1:2" x14ac:dyDescent="0.25">
      <c r="A248" s="2">
        <v>247</v>
      </c>
      <c r="B248" s="3">
        <v>2</v>
      </c>
    </row>
    <row r="249" spans="1:2" x14ac:dyDescent="0.25">
      <c r="A249" s="2">
        <v>248</v>
      </c>
      <c r="B249" s="3">
        <v>2</v>
      </c>
    </row>
    <row r="250" spans="1:2" x14ac:dyDescent="0.25">
      <c r="A250" s="2">
        <v>249</v>
      </c>
      <c r="B250" s="3">
        <v>2</v>
      </c>
    </row>
    <row r="251" spans="1:2" x14ac:dyDescent="0.25">
      <c r="A251" s="2">
        <v>250</v>
      </c>
      <c r="B251" s="3">
        <v>2</v>
      </c>
    </row>
    <row r="252" spans="1:2" x14ac:dyDescent="0.25">
      <c r="A252" s="2">
        <v>251</v>
      </c>
      <c r="B252" s="3">
        <v>2</v>
      </c>
    </row>
    <row r="253" spans="1:2" x14ac:dyDescent="0.25">
      <c r="A253" s="2">
        <v>252</v>
      </c>
      <c r="B253" s="3">
        <v>2</v>
      </c>
    </row>
    <row r="254" spans="1:2" x14ac:dyDescent="0.25">
      <c r="A254" s="2">
        <v>253</v>
      </c>
      <c r="B254" s="3">
        <v>2</v>
      </c>
    </row>
    <row r="255" spans="1:2" x14ac:dyDescent="0.25">
      <c r="A255" s="2">
        <v>254</v>
      </c>
      <c r="B255" s="3">
        <v>2</v>
      </c>
    </row>
    <row r="256" spans="1:2" x14ac:dyDescent="0.25">
      <c r="A256" s="2">
        <v>255</v>
      </c>
      <c r="B256" s="3">
        <v>2</v>
      </c>
    </row>
    <row r="257" spans="1:2" x14ac:dyDescent="0.25">
      <c r="A257" s="2">
        <v>256</v>
      </c>
      <c r="B257" s="3">
        <v>2</v>
      </c>
    </row>
    <row r="258" spans="1:2" x14ac:dyDescent="0.25">
      <c r="A258" s="2">
        <v>257</v>
      </c>
      <c r="B258" s="3">
        <v>2</v>
      </c>
    </row>
    <row r="259" spans="1:2" x14ac:dyDescent="0.25">
      <c r="A259" s="2">
        <v>258</v>
      </c>
      <c r="B259" s="3">
        <v>2</v>
      </c>
    </row>
    <row r="260" spans="1:2" x14ac:dyDescent="0.25">
      <c r="A260" s="2">
        <v>259</v>
      </c>
      <c r="B260" s="3">
        <v>2</v>
      </c>
    </row>
    <row r="261" spans="1:2" x14ac:dyDescent="0.25">
      <c r="A261" s="2">
        <v>260</v>
      </c>
      <c r="B261" s="3">
        <v>2</v>
      </c>
    </row>
    <row r="262" spans="1:2" x14ac:dyDescent="0.25">
      <c r="A262" s="2">
        <v>261</v>
      </c>
      <c r="B262" s="3">
        <v>1</v>
      </c>
    </row>
    <row r="263" spans="1:2" x14ac:dyDescent="0.25">
      <c r="A263" s="2">
        <v>262</v>
      </c>
      <c r="B263" s="3">
        <v>1</v>
      </c>
    </row>
    <row r="264" spans="1:2" x14ac:dyDescent="0.25">
      <c r="A264" s="2">
        <v>263</v>
      </c>
      <c r="B264" s="3">
        <v>2</v>
      </c>
    </row>
    <row r="265" spans="1:2" x14ac:dyDescent="0.25">
      <c r="A265" s="2">
        <v>264</v>
      </c>
      <c r="B265" s="3">
        <v>2</v>
      </c>
    </row>
    <row r="266" spans="1:2" x14ac:dyDescent="0.25">
      <c r="A266" s="2">
        <v>265</v>
      </c>
      <c r="B266" s="3">
        <v>2</v>
      </c>
    </row>
    <row r="267" spans="1:2" x14ac:dyDescent="0.25">
      <c r="A267" s="2">
        <v>266</v>
      </c>
      <c r="B267" s="3">
        <v>2</v>
      </c>
    </row>
    <row r="268" spans="1:2" x14ac:dyDescent="0.25">
      <c r="A268" s="2">
        <v>267</v>
      </c>
      <c r="B268" s="3">
        <v>2</v>
      </c>
    </row>
    <row r="269" spans="1:2" x14ac:dyDescent="0.25">
      <c r="A269" s="2">
        <v>268</v>
      </c>
      <c r="B269" s="3">
        <v>2</v>
      </c>
    </row>
    <row r="270" spans="1:2" x14ac:dyDescent="0.25">
      <c r="A270" s="2">
        <v>269</v>
      </c>
      <c r="B270" s="3">
        <v>2</v>
      </c>
    </row>
    <row r="271" spans="1:2" x14ac:dyDescent="0.25">
      <c r="A271" s="2">
        <v>270</v>
      </c>
      <c r="B271" s="3">
        <v>2</v>
      </c>
    </row>
    <row r="272" spans="1:2" x14ac:dyDescent="0.25">
      <c r="A272" s="2">
        <v>271</v>
      </c>
      <c r="B272" s="3">
        <v>2</v>
      </c>
    </row>
    <row r="273" spans="1:2" x14ac:dyDescent="0.25">
      <c r="A273" s="2">
        <v>272</v>
      </c>
      <c r="B273" s="3">
        <v>2</v>
      </c>
    </row>
    <row r="274" spans="1:2" x14ac:dyDescent="0.25">
      <c r="A274" s="2">
        <v>273</v>
      </c>
      <c r="B274" s="3">
        <v>2</v>
      </c>
    </row>
    <row r="275" spans="1:2" x14ac:dyDescent="0.25">
      <c r="A275" s="2">
        <v>274</v>
      </c>
      <c r="B275" s="3">
        <v>2</v>
      </c>
    </row>
    <row r="276" spans="1:2" x14ac:dyDescent="0.25">
      <c r="A276" s="2">
        <v>275</v>
      </c>
      <c r="B276" s="3">
        <v>2</v>
      </c>
    </row>
    <row r="277" spans="1:2" x14ac:dyDescent="0.25">
      <c r="A277" s="2">
        <v>276</v>
      </c>
      <c r="B277" s="3">
        <v>2</v>
      </c>
    </row>
    <row r="278" spans="1:2" x14ac:dyDescent="0.25">
      <c r="A278" s="2">
        <v>277</v>
      </c>
      <c r="B278" s="3">
        <v>2</v>
      </c>
    </row>
    <row r="279" spans="1:2" x14ac:dyDescent="0.25">
      <c r="A279" s="2">
        <v>278</v>
      </c>
      <c r="B279" s="3">
        <v>2</v>
      </c>
    </row>
    <row r="280" spans="1:2" x14ac:dyDescent="0.25">
      <c r="A280" s="2">
        <v>279</v>
      </c>
      <c r="B280" s="3">
        <v>2</v>
      </c>
    </row>
    <row r="281" spans="1:2" x14ac:dyDescent="0.25">
      <c r="A281" s="2">
        <v>280</v>
      </c>
      <c r="B281" s="3">
        <v>2</v>
      </c>
    </row>
    <row r="282" spans="1:2" x14ac:dyDescent="0.25">
      <c r="A282" s="2">
        <v>281</v>
      </c>
      <c r="B282" s="3">
        <v>2</v>
      </c>
    </row>
    <row r="283" spans="1:2" x14ac:dyDescent="0.25">
      <c r="A283" s="2">
        <v>282</v>
      </c>
      <c r="B283" s="3">
        <v>2</v>
      </c>
    </row>
    <row r="284" spans="1:2" x14ac:dyDescent="0.25">
      <c r="A284" s="2">
        <v>283</v>
      </c>
      <c r="B284" s="3">
        <v>2</v>
      </c>
    </row>
    <row r="285" spans="1:2" x14ac:dyDescent="0.25">
      <c r="A285" s="2">
        <v>284</v>
      </c>
      <c r="B285" s="3">
        <v>2</v>
      </c>
    </row>
    <row r="286" spans="1:2" x14ac:dyDescent="0.25">
      <c r="A286" s="2">
        <v>285</v>
      </c>
      <c r="B286" s="3">
        <v>2</v>
      </c>
    </row>
    <row r="287" spans="1:2" x14ac:dyDescent="0.25">
      <c r="A287" s="2">
        <v>286</v>
      </c>
      <c r="B287" s="3">
        <v>2</v>
      </c>
    </row>
    <row r="288" spans="1:2" x14ac:dyDescent="0.25">
      <c r="A288" s="2">
        <v>287</v>
      </c>
      <c r="B288" s="3">
        <v>2</v>
      </c>
    </row>
    <row r="289" spans="1:2" x14ac:dyDescent="0.25">
      <c r="A289" s="2">
        <v>288</v>
      </c>
      <c r="B289" s="3">
        <v>2</v>
      </c>
    </row>
    <row r="290" spans="1:2" x14ac:dyDescent="0.25">
      <c r="A290" s="2">
        <v>289</v>
      </c>
      <c r="B290" s="3">
        <v>2</v>
      </c>
    </row>
    <row r="291" spans="1:2" x14ac:dyDescent="0.25">
      <c r="A291" s="2">
        <v>290</v>
      </c>
      <c r="B291" s="3">
        <v>2</v>
      </c>
    </row>
    <row r="292" spans="1:2" x14ac:dyDescent="0.25">
      <c r="A292" s="2">
        <v>291</v>
      </c>
      <c r="B292" s="3">
        <v>2</v>
      </c>
    </row>
    <row r="293" spans="1:2" x14ac:dyDescent="0.25">
      <c r="A293" s="2">
        <v>292</v>
      </c>
      <c r="B293" s="3">
        <v>2</v>
      </c>
    </row>
    <row r="294" spans="1:2" x14ac:dyDescent="0.25">
      <c r="A294" s="2">
        <v>293</v>
      </c>
      <c r="B294" s="3">
        <v>2</v>
      </c>
    </row>
    <row r="295" spans="1:2" x14ac:dyDescent="0.25">
      <c r="A295" s="2">
        <v>294</v>
      </c>
      <c r="B295" s="3">
        <v>2</v>
      </c>
    </row>
    <row r="296" spans="1:2" x14ac:dyDescent="0.25">
      <c r="A296" s="2">
        <v>295</v>
      </c>
      <c r="B296" s="3">
        <v>2</v>
      </c>
    </row>
    <row r="297" spans="1:2" x14ac:dyDescent="0.25">
      <c r="A297" s="2">
        <v>296</v>
      </c>
      <c r="B297" s="3">
        <v>2</v>
      </c>
    </row>
    <row r="298" spans="1:2" x14ac:dyDescent="0.25">
      <c r="A298" s="2">
        <v>297</v>
      </c>
      <c r="B298" s="3">
        <v>2</v>
      </c>
    </row>
    <row r="299" spans="1:2" x14ac:dyDescent="0.25">
      <c r="A299" s="2">
        <v>298</v>
      </c>
      <c r="B299" s="3">
        <v>2</v>
      </c>
    </row>
    <row r="300" spans="1:2" x14ac:dyDescent="0.25">
      <c r="A300" s="2">
        <v>299</v>
      </c>
      <c r="B300" s="3">
        <v>2</v>
      </c>
    </row>
    <row r="301" spans="1:2" x14ac:dyDescent="0.25">
      <c r="A301" s="2">
        <v>300</v>
      </c>
      <c r="B301" s="3">
        <v>2</v>
      </c>
    </row>
    <row r="302" spans="1:2" x14ac:dyDescent="0.25">
      <c r="A302" s="2">
        <v>301</v>
      </c>
      <c r="B302" s="3">
        <v>2</v>
      </c>
    </row>
    <row r="303" spans="1:2" x14ac:dyDescent="0.25">
      <c r="A303" s="2">
        <v>302</v>
      </c>
      <c r="B303" s="3">
        <v>2</v>
      </c>
    </row>
    <row r="304" spans="1:2" x14ac:dyDescent="0.25">
      <c r="A304" s="2">
        <v>303</v>
      </c>
      <c r="B304" s="3">
        <v>2</v>
      </c>
    </row>
    <row r="305" spans="1:2" x14ac:dyDescent="0.25">
      <c r="A305" s="2">
        <v>304</v>
      </c>
      <c r="B305" s="3">
        <v>2</v>
      </c>
    </row>
    <row r="306" spans="1:2" x14ac:dyDescent="0.25">
      <c r="A306" s="2">
        <v>305</v>
      </c>
      <c r="B306" s="3">
        <v>2</v>
      </c>
    </row>
    <row r="307" spans="1:2" x14ac:dyDescent="0.25">
      <c r="A307" s="2">
        <v>306</v>
      </c>
      <c r="B307" s="3">
        <v>2</v>
      </c>
    </row>
    <row r="308" spans="1:2" x14ac:dyDescent="0.25">
      <c r="A308" s="2">
        <v>307</v>
      </c>
      <c r="B308" s="3">
        <v>2</v>
      </c>
    </row>
    <row r="309" spans="1:2" x14ac:dyDescent="0.25">
      <c r="A309" s="2">
        <v>308</v>
      </c>
      <c r="B309" s="3">
        <v>1</v>
      </c>
    </row>
    <row r="310" spans="1:2" x14ac:dyDescent="0.25">
      <c r="A310" s="2">
        <v>309</v>
      </c>
      <c r="B310" s="3">
        <v>1</v>
      </c>
    </row>
    <row r="311" spans="1:2" x14ac:dyDescent="0.25">
      <c r="A311" s="2">
        <v>310</v>
      </c>
      <c r="B311" s="3">
        <v>1</v>
      </c>
    </row>
    <row r="312" spans="1:2" x14ac:dyDescent="0.25">
      <c r="A312" s="2">
        <v>311</v>
      </c>
      <c r="B312" s="3">
        <v>1</v>
      </c>
    </row>
    <row r="313" spans="1:2" x14ac:dyDescent="0.25">
      <c r="A313" s="2">
        <v>312</v>
      </c>
      <c r="B313" s="3">
        <v>1</v>
      </c>
    </row>
    <row r="314" spans="1:2" x14ac:dyDescent="0.25">
      <c r="A314" s="2">
        <v>313</v>
      </c>
      <c r="B314" s="3">
        <v>1</v>
      </c>
    </row>
    <row r="315" spans="1:2" x14ac:dyDescent="0.25">
      <c r="A315" s="2">
        <v>314</v>
      </c>
      <c r="B315" s="3">
        <v>1</v>
      </c>
    </row>
    <row r="316" spans="1:2" x14ac:dyDescent="0.25">
      <c r="A316" s="2">
        <v>315</v>
      </c>
      <c r="B316" s="3">
        <v>1</v>
      </c>
    </row>
    <row r="317" spans="1:2" x14ac:dyDescent="0.25">
      <c r="A317" s="2">
        <v>316</v>
      </c>
      <c r="B317" s="3">
        <v>1</v>
      </c>
    </row>
    <row r="318" spans="1:2" x14ac:dyDescent="0.25">
      <c r="A318" s="2">
        <v>317</v>
      </c>
      <c r="B318" s="3">
        <v>1</v>
      </c>
    </row>
    <row r="319" spans="1:2" x14ac:dyDescent="0.25">
      <c r="A319" s="2">
        <v>318</v>
      </c>
      <c r="B319" s="3">
        <v>1</v>
      </c>
    </row>
    <row r="320" spans="1:2" x14ac:dyDescent="0.25">
      <c r="A320" s="2">
        <v>319</v>
      </c>
      <c r="B320" s="3">
        <v>1</v>
      </c>
    </row>
    <row r="321" spans="1:2" x14ac:dyDescent="0.25">
      <c r="A321" s="2">
        <v>320</v>
      </c>
      <c r="B321" s="3">
        <v>1</v>
      </c>
    </row>
    <row r="322" spans="1:2" x14ac:dyDescent="0.25">
      <c r="A322" s="2">
        <v>321</v>
      </c>
      <c r="B322" s="3">
        <v>1</v>
      </c>
    </row>
    <row r="323" spans="1:2" x14ac:dyDescent="0.25">
      <c r="A323" s="2">
        <v>322</v>
      </c>
      <c r="B323" s="3">
        <v>1</v>
      </c>
    </row>
    <row r="324" spans="1:2" x14ac:dyDescent="0.25">
      <c r="A324" s="2">
        <v>323</v>
      </c>
      <c r="B324" s="3">
        <v>1</v>
      </c>
    </row>
    <row r="325" spans="1:2" x14ac:dyDescent="0.25">
      <c r="A325" s="2">
        <v>324</v>
      </c>
      <c r="B325" s="3">
        <v>1</v>
      </c>
    </row>
    <row r="326" spans="1:2" x14ac:dyDescent="0.25">
      <c r="A326" s="2">
        <v>325</v>
      </c>
      <c r="B326" s="3">
        <v>1</v>
      </c>
    </row>
    <row r="327" spans="1:2" x14ac:dyDescent="0.25">
      <c r="A327" s="2">
        <v>326</v>
      </c>
      <c r="B327" s="3">
        <v>1</v>
      </c>
    </row>
    <row r="328" spans="1:2" x14ac:dyDescent="0.25">
      <c r="A328" s="2">
        <v>327</v>
      </c>
      <c r="B328" s="3">
        <v>1</v>
      </c>
    </row>
    <row r="329" spans="1:2" x14ac:dyDescent="0.25">
      <c r="A329" s="2">
        <v>328</v>
      </c>
      <c r="B329" s="3">
        <v>1</v>
      </c>
    </row>
    <row r="330" spans="1:2" x14ac:dyDescent="0.25">
      <c r="A330" s="2">
        <v>329</v>
      </c>
      <c r="B330" s="3">
        <v>1</v>
      </c>
    </row>
    <row r="331" spans="1:2" x14ac:dyDescent="0.25">
      <c r="A331" s="2">
        <v>330</v>
      </c>
      <c r="B331" s="3">
        <v>1</v>
      </c>
    </row>
    <row r="332" spans="1:2" x14ac:dyDescent="0.25">
      <c r="A332" s="2">
        <v>331</v>
      </c>
      <c r="B332" s="3">
        <v>1</v>
      </c>
    </row>
    <row r="333" spans="1:2" x14ac:dyDescent="0.25">
      <c r="A333" s="2">
        <v>332</v>
      </c>
      <c r="B333" s="3">
        <v>1</v>
      </c>
    </row>
    <row r="334" spans="1:2" x14ac:dyDescent="0.25">
      <c r="A334" s="2">
        <v>333</v>
      </c>
      <c r="B334" s="3">
        <v>1</v>
      </c>
    </row>
    <row r="335" spans="1:2" x14ac:dyDescent="0.25">
      <c r="A335" s="2">
        <v>334</v>
      </c>
      <c r="B335" s="3">
        <v>1</v>
      </c>
    </row>
    <row r="336" spans="1:2" x14ac:dyDescent="0.25">
      <c r="A336" s="2">
        <v>335</v>
      </c>
      <c r="B336" s="3">
        <v>1</v>
      </c>
    </row>
    <row r="337" spans="1:2" x14ac:dyDescent="0.25">
      <c r="A337" s="2">
        <v>336</v>
      </c>
      <c r="B337" s="3">
        <v>1</v>
      </c>
    </row>
    <row r="338" spans="1:2" x14ac:dyDescent="0.25">
      <c r="A338" s="2">
        <v>337</v>
      </c>
      <c r="B338" s="3">
        <v>2</v>
      </c>
    </row>
    <row r="339" spans="1:2" x14ac:dyDescent="0.25">
      <c r="A339" s="2">
        <v>338</v>
      </c>
      <c r="B339" s="3">
        <v>2</v>
      </c>
    </row>
    <row r="340" spans="1:2" x14ac:dyDescent="0.25">
      <c r="A340" s="2">
        <v>339</v>
      </c>
      <c r="B340" s="3">
        <v>2</v>
      </c>
    </row>
    <row r="341" spans="1:2" x14ac:dyDescent="0.25">
      <c r="A341" s="2">
        <v>340</v>
      </c>
      <c r="B341" s="3">
        <v>2</v>
      </c>
    </row>
    <row r="342" spans="1:2" x14ac:dyDescent="0.25">
      <c r="A342" s="2">
        <v>341</v>
      </c>
      <c r="B342" s="3">
        <v>2</v>
      </c>
    </row>
    <row r="343" spans="1:2" x14ac:dyDescent="0.25">
      <c r="A343" s="2">
        <v>342</v>
      </c>
      <c r="B343" s="3">
        <v>1</v>
      </c>
    </row>
    <row r="344" spans="1:2" x14ac:dyDescent="0.25">
      <c r="A344" s="2">
        <v>343</v>
      </c>
      <c r="B344" s="3">
        <v>1</v>
      </c>
    </row>
    <row r="345" spans="1:2" x14ac:dyDescent="0.25">
      <c r="A345" s="2">
        <v>344</v>
      </c>
      <c r="B345" s="3">
        <v>1</v>
      </c>
    </row>
    <row r="346" spans="1:2" x14ac:dyDescent="0.25">
      <c r="A346" s="2">
        <v>345</v>
      </c>
      <c r="B346" s="3">
        <v>1</v>
      </c>
    </row>
    <row r="347" spans="1:2" x14ac:dyDescent="0.25">
      <c r="A347" s="2">
        <v>346</v>
      </c>
      <c r="B347" s="3">
        <v>1</v>
      </c>
    </row>
    <row r="348" spans="1:2" x14ac:dyDescent="0.25">
      <c r="A348" s="2">
        <v>347</v>
      </c>
      <c r="B348" s="3">
        <v>1</v>
      </c>
    </row>
    <row r="349" spans="1:2" x14ac:dyDescent="0.25">
      <c r="A349" s="2">
        <v>348</v>
      </c>
      <c r="B349" s="3">
        <v>1</v>
      </c>
    </row>
    <row r="350" spans="1:2" x14ac:dyDescent="0.25">
      <c r="A350" s="2">
        <v>349</v>
      </c>
      <c r="B350" s="3">
        <v>1</v>
      </c>
    </row>
    <row r="351" spans="1:2" x14ac:dyDescent="0.25">
      <c r="A351" s="2">
        <v>350</v>
      </c>
      <c r="B351" s="3">
        <v>1</v>
      </c>
    </row>
    <row r="352" spans="1:2" x14ac:dyDescent="0.25">
      <c r="A352" s="2">
        <v>351</v>
      </c>
      <c r="B352" s="3">
        <v>1</v>
      </c>
    </row>
    <row r="353" spans="1:2" x14ac:dyDescent="0.25">
      <c r="A353" s="2">
        <v>352</v>
      </c>
      <c r="B353" s="3">
        <v>1</v>
      </c>
    </row>
    <row r="354" spans="1:2" x14ac:dyDescent="0.25">
      <c r="A354" s="2">
        <v>353</v>
      </c>
      <c r="B354" s="3">
        <v>1</v>
      </c>
    </row>
    <row r="355" spans="1:2" x14ac:dyDescent="0.25">
      <c r="A355" s="2">
        <v>354</v>
      </c>
      <c r="B355" s="3">
        <v>1</v>
      </c>
    </row>
    <row r="356" spans="1:2" x14ac:dyDescent="0.25">
      <c r="A356" s="2">
        <v>355</v>
      </c>
      <c r="B356" s="3">
        <v>1</v>
      </c>
    </row>
    <row r="357" spans="1:2" x14ac:dyDescent="0.25">
      <c r="A357" s="2">
        <v>356</v>
      </c>
      <c r="B357" s="3">
        <v>1</v>
      </c>
    </row>
    <row r="358" spans="1:2" x14ac:dyDescent="0.25">
      <c r="A358" s="2">
        <v>357</v>
      </c>
      <c r="B358" s="3">
        <v>1</v>
      </c>
    </row>
    <row r="359" spans="1:2" x14ac:dyDescent="0.25">
      <c r="A359" s="2">
        <v>358</v>
      </c>
      <c r="B359" s="3">
        <v>1</v>
      </c>
    </row>
    <row r="360" spans="1:2" x14ac:dyDescent="0.25">
      <c r="A360" s="2">
        <v>359</v>
      </c>
      <c r="B360" s="3">
        <v>1</v>
      </c>
    </row>
    <row r="361" spans="1:2" x14ac:dyDescent="0.25">
      <c r="A361" s="2">
        <v>360</v>
      </c>
      <c r="B361" s="3">
        <v>1</v>
      </c>
    </row>
    <row r="362" spans="1:2" x14ac:dyDescent="0.25">
      <c r="A362" s="2">
        <v>361</v>
      </c>
      <c r="B362" s="3">
        <v>1</v>
      </c>
    </row>
    <row r="363" spans="1:2" x14ac:dyDescent="0.25">
      <c r="A363" s="2">
        <v>362</v>
      </c>
      <c r="B363" s="3">
        <v>1</v>
      </c>
    </row>
    <row r="364" spans="1:2" x14ac:dyDescent="0.25">
      <c r="A364" s="2">
        <v>363</v>
      </c>
      <c r="B364" s="3">
        <v>1</v>
      </c>
    </row>
    <row r="365" spans="1:2" x14ac:dyDescent="0.25">
      <c r="A365" s="2">
        <v>364</v>
      </c>
      <c r="B365" s="3">
        <v>1</v>
      </c>
    </row>
    <row r="366" spans="1:2" x14ac:dyDescent="0.25">
      <c r="A366" s="2">
        <v>365</v>
      </c>
      <c r="B366" s="3">
        <v>1</v>
      </c>
    </row>
    <row r="367" spans="1:2" x14ac:dyDescent="0.25">
      <c r="A367" s="2">
        <v>366</v>
      </c>
      <c r="B367" s="3">
        <v>1</v>
      </c>
    </row>
    <row r="368" spans="1:2" x14ac:dyDescent="0.25">
      <c r="A368" s="2">
        <v>367</v>
      </c>
      <c r="B368" s="3">
        <v>1</v>
      </c>
    </row>
    <row r="369" spans="1:2" x14ac:dyDescent="0.25">
      <c r="A369" s="2">
        <v>368</v>
      </c>
      <c r="B369" s="3">
        <v>1</v>
      </c>
    </row>
    <row r="370" spans="1:2" x14ac:dyDescent="0.25">
      <c r="A370" s="2">
        <v>369</v>
      </c>
      <c r="B370" s="3">
        <v>1</v>
      </c>
    </row>
    <row r="371" spans="1:2" x14ac:dyDescent="0.25">
      <c r="A371" s="2">
        <v>370</v>
      </c>
      <c r="B371" s="3">
        <v>1</v>
      </c>
    </row>
    <row r="372" spans="1:2" x14ac:dyDescent="0.25">
      <c r="A372" s="2">
        <v>371</v>
      </c>
      <c r="B372" s="3">
        <v>1</v>
      </c>
    </row>
    <row r="373" spans="1:2" x14ac:dyDescent="0.25">
      <c r="A373" s="2">
        <v>372</v>
      </c>
      <c r="B373" s="3">
        <v>1</v>
      </c>
    </row>
    <row r="374" spans="1:2" x14ac:dyDescent="0.25">
      <c r="A374" s="2">
        <v>373</v>
      </c>
      <c r="B374" s="3">
        <v>1</v>
      </c>
    </row>
    <row r="375" spans="1:2" x14ac:dyDescent="0.25">
      <c r="A375" s="2">
        <v>374</v>
      </c>
      <c r="B375" s="3">
        <v>1</v>
      </c>
    </row>
    <row r="376" spans="1:2" x14ac:dyDescent="0.25">
      <c r="A376" s="2">
        <v>375</v>
      </c>
      <c r="B376" s="3">
        <v>1</v>
      </c>
    </row>
    <row r="377" spans="1:2" x14ac:dyDescent="0.25">
      <c r="A377" s="2">
        <v>376</v>
      </c>
      <c r="B377" s="3">
        <v>1</v>
      </c>
    </row>
    <row r="378" spans="1:2" x14ac:dyDescent="0.25">
      <c r="A378" s="2">
        <v>377</v>
      </c>
      <c r="B378" s="3">
        <v>1</v>
      </c>
    </row>
    <row r="379" spans="1:2" x14ac:dyDescent="0.25">
      <c r="A379" s="2">
        <v>378</v>
      </c>
      <c r="B379" s="3">
        <v>1</v>
      </c>
    </row>
    <row r="380" spans="1:2" x14ac:dyDescent="0.25">
      <c r="A380" s="2">
        <v>379</v>
      </c>
      <c r="B380" s="3">
        <v>1</v>
      </c>
    </row>
    <row r="381" spans="1:2" x14ac:dyDescent="0.25">
      <c r="A381" s="2">
        <v>380</v>
      </c>
      <c r="B381" s="3">
        <v>1</v>
      </c>
    </row>
    <row r="382" spans="1:2" x14ac:dyDescent="0.25">
      <c r="A382" s="2">
        <v>381</v>
      </c>
      <c r="B382" s="3">
        <v>1</v>
      </c>
    </row>
    <row r="383" spans="1:2" x14ac:dyDescent="0.25">
      <c r="A383" s="2">
        <v>382</v>
      </c>
      <c r="B383" s="3">
        <v>1</v>
      </c>
    </row>
    <row r="384" spans="1:2" x14ac:dyDescent="0.25">
      <c r="A384" s="2">
        <v>383</v>
      </c>
      <c r="B384" s="3">
        <v>1</v>
      </c>
    </row>
    <row r="385" spans="1:2" x14ac:dyDescent="0.25">
      <c r="A385" s="2">
        <v>384</v>
      </c>
      <c r="B385" s="3">
        <v>2</v>
      </c>
    </row>
    <row r="386" spans="1:2" x14ac:dyDescent="0.25">
      <c r="A386" s="2">
        <v>385</v>
      </c>
      <c r="B386" s="3">
        <v>2</v>
      </c>
    </row>
    <row r="387" spans="1:2" x14ac:dyDescent="0.25">
      <c r="A387" s="2">
        <v>386</v>
      </c>
      <c r="B387" s="3">
        <v>2</v>
      </c>
    </row>
    <row r="388" spans="1:2" x14ac:dyDescent="0.25">
      <c r="A388" s="2">
        <v>387</v>
      </c>
      <c r="B388" s="3">
        <v>2</v>
      </c>
    </row>
    <row r="389" spans="1:2" x14ac:dyDescent="0.25">
      <c r="A389" s="2">
        <v>388</v>
      </c>
      <c r="B389" s="3">
        <v>2</v>
      </c>
    </row>
    <row r="390" spans="1:2" x14ac:dyDescent="0.25">
      <c r="A390" s="2">
        <v>389</v>
      </c>
      <c r="B390" s="3">
        <v>1</v>
      </c>
    </row>
    <row r="391" spans="1:2" x14ac:dyDescent="0.25">
      <c r="A391" s="2">
        <v>390</v>
      </c>
      <c r="B391" s="3">
        <v>2</v>
      </c>
    </row>
    <row r="392" spans="1:2" x14ac:dyDescent="0.25">
      <c r="A392" s="2">
        <v>391</v>
      </c>
      <c r="B392" s="3">
        <v>1</v>
      </c>
    </row>
    <row r="393" spans="1:2" x14ac:dyDescent="0.25">
      <c r="A393" s="2">
        <v>392</v>
      </c>
      <c r="B393" s="3">
        <v>1</v>
      </c>
    </row>
    <row r="394" spans="1:2" x14ac:dyDescent="0.25">
      <c r="A394" s="2">
        <v>393</v>
      </c>
      <c r="B394" s="3">
        <v>1</v>
      </c>
    </row>
    <row r="395" spans="1:2" x14ac:dyDescent="0.25">
      <c r="A395" s="2">
        <v>394</v>
      </c>
      <c r="B395" s="3">
        <v>1</v>
      </c>
    </row>
    <row r="396" spans="1:2" x14ac:dyDescent="0.25">
      <c r="A396" s="2">
        <v>395</v>
      </c>
      <c r="B396" s="3">
        <v>1</v>
      </c>
    </row>
    <row r="397" spans="1:2" x14ac:dyDescent="0.25">
      <c r="A397" s="2">
        <v>396</v>
      </c>
      <c r="B397" s="3">
        <v>2</v>
      </c>
    </row>
    <row r="398" spans="1:2" x14ac:dyDescent="0.25">
      <c r="A398" s="2">
        <v>397</v>
      </c>
      <c r="B398" s="3">
        <v>2</v>
      </c>
    </row>
    <row r="399" spans="1:2" x14ac:dyDescent="0.25">
      <c r="A399" s="2">
        <v>398</v>
      </c>
      <c r="B399" s="3">
        <v>2</v>
      </c>
    </row>
    <row r="400" spans="1:2" x14ac:dyDescent="0.25">
      <c r="A400" s="2">
        <v>399</v>
      </c>
      <c r="B400" s="3">
        <v>2</v>
      </c>
    </row>
    <row r="401" spans="1:2" x14ac:dyDescent="0.25">
      <c r="A401" s="2">
        <v>400</v>
      </c>
      <c r="B401" s="3">
        <v>2</v>
      </c>
    </row>
    <row r="402" spans="1:2" x14ac:dyDescent="0.25">
      <c r="A402" s="2">
        <v>401</v>
      </c>
      <c r="B402" s="3">
        <v>2</v>
      </c>
    </row>
    <row r="403" spans="1:2" x14ac:dyDescent="0.25">
      <c r="A403" s="2">
        <v>402</v>
      </c>
      <c r="B403" s="3">
        <v>2</v>
      </c>
    </row>
    <row r="404" spans="1:2" x14ac:dyDescent="0.25">
      <c r="A404" s="2">
        <v>403</v>
      </c>
      <c r="B404" s="3">
        <v>1</v>
      </c>
    </row>
    <row r="405" spans="1:2" x14ac:dyDescent="0.25">
      <c r="A405" s="2">
        <v>404</v>
      </c>
      <c r="B405" s="3">
        <v>1</v>
      </c>
    </row>
    <row r="406" spans="1:2" x14ac:dyDescent="0.25">
      <c r="A406" s="2">
        <v>405</v>
      </c>
      <c r="B406" s="3">
        <v>2</v>
      </c>
    </row>
    <row r="407" spans="1:2" x14ac:dyDescent="0.25">
      <c r="A407" s="2">
        <v>406</v>
      </c>
      <c r="B407" s="3">
        <v>1</v>
      </c>
    </row>
    <row r="408" spans="1:2" x14ac:dyDescent="0.25">
      <c r="A408" s="2">
        <v>407</v>
      </c>
      <c r="B408" s="3">
        <v>1</v>
      </c>
    </row>
    <row r="409" spans="1:2" x14ac:dyDescent="0.25">
      <c r="A409" s="2">
        <v>408</v>
      </c>
      <c r="B409" s="3">
        <v>1</v>
      </c>
    </row>
    <row r="410" spans="1:2" x14ac:dyDescent="0.25">
      <c r="A410" s="2">
        <v>409</v>
      </c>
      <c r="B410" s="3">
        <v>1</v>
      </c>
    </row>
    <row r="411" spans="1:2" x14ac:dyDescent="0.25">
      <c r="A411" s="2">
        <v>410</v>
      </c>
      <c r="B411" s="3">
        <v>2</v>
      </c>
    </row>
    <row r="412" spans="1:2" x14ac:dyDescent="0.25">
      <c r="A412" s="2">
        <v>411</v>
      </c>
      <c r="B412" s="3">
        <v>2</v>
      </c>
    </row>
    <row r="413" spans="1:2" x14ac:dyDescent="0.25">
      <c r="A413" s="2">
        <v>412</v>
      </c>
      <c r="B413" s="3">
        <v>2</v>
      </c>
    </row>
    <row r="414" spans="1:2" x14ac:dyDescent="0.25">
      <c r="A414" s="2">
        <v>413</v>
      </c>
      <c r="B414" s="3">
        <v>2</v>
      </c>
    </row>
    <row r="415" spans="1:2" x14ac:dyDescent="0.25">
      <c r="A415" s="2">
        <v>414</v>
      </c>
      <c r="B415" s="3">
        <v>1</v>
      </c>
    </row>
    <row r="416" spans="1:2" x14ac:dyDescent="0.25">
      <c r="A416" s="2">
        <v>415</v>
      </c>
      <c r="B416" s="3">
        <v>1</v>
      </c>
    </row>
    <row r="417" spans="1:2" x14ac:dyDescent="0.25">
      <c r="A417" s="2">
        <v>416</v>
      </c>
      <c r="B417" s="3">
        <v>1</v>
      </c>
    </row>
    <row r="418" spans="1:2" x14ac:dyDescent="0.25">
      <c r="A418" s="2">
        <v>417</v>
      </c>
      <c r="B418" s="3">
        <v>1</v>
      </c>
    </row>
    <row r="419" spans="1:2" x14ac:dyDescent="0.25">
      <c r="A419" s="2">
        <v>418</v>
      </c>
      <c r="B419" s="3">
        <v>1</v>
      </c>
    </row>
    <row r="420" spans="1:2" x14ac:dyDescent="0.25">
      <c r="A420" s="2">
        <v>419</v>
      </c>
      <c r="B420" s="3">
        <v>1</v>
      </c>
    </row>
    <row r="421" spans="1:2" x14ac:dyDescent="0.25">
      <c r="A421" s="2">
        <v>420</v>
      </c>
      <c r="B421" s="3">
        <v>1</v>
      </c>
    </row>
    <row r="422" spans="1:2" x14ac:dyDescent="0.25">
      <c r="A422" s="2">
        <v>421</v>
      </c>
      <c r="B422" s="3">
        <v>1</v>
      </c>
    </row>
    <row r="423" spans="1:2" x14ac:dyDescent="0.25">
      <c r="A423" s="2">
        <v>422</v>
      </c>
      <c r="B423" s="3">
        <v>2</v>
      </c>
    </row>
    <row r="424" spans="1:2" x14ac:dyDescent="0.25">
      <c r="A424" s="2">
        <v>423</v>
      </c>
      <c r="B424" s="3">
        <v>2</v>
      </c>
    </row>
    <row r="425" spans="1:2" x14ac:dyDescent="0.25">
      <c r="A425" s="2">
        <v>424</v>
      </c>
      <c r="B425" s="3">
        <v>2</v>
      </c>
    </row>
    <row r="426" spans="1:2" x14ac:dyDescent="0.25">
      <c r="A426" s="2">
        <v>425</v>
      </c>
      <c r="B426" s="3">
        <v>2</v>
      </c>
    </row>
    <row r="427" spans="1:2" x14ac:dyDescent="0.25">
      <c r="A427" s="2">
        <v>426</v>
      </c>
      <c r="B427" s="3">
        <v>2</v>
      </c>
    </row>
    <row r="428" spans="1:2" x14ac:dyDescent="0.25">
      <c r="A428" s="2">
        <v>427</v>
      </c>
      <c r="B428" s="3">
        <v>2</v>
      </c>
    </row>
    <row r="429" spans="1:2" x14ac:dyDescent="0.25">
      <c r="A429" s="2">
        <v>428</v>
      </c>
      <c r="B429" s="3">
        <v>2</v>
      </c>
    </row>
    <row r="430" spans="1:2" x14ac:dyDescent="0.25">
      <c r="A430" s="2">
        <v>429</v>
      </c>
      <c r="B430" s="3">
        <v>2</v>
      </c>
    </row>
    <row r="431" spans="1:2" x14ac:dyDescent="0.25">
      <c r="A431" s="2">
        <v>430</v>
      </c>
      <c r="B431" s="3">
        <v>2</v>
      </c>
    </row>
    <row r="432" spans="1:2" x14ac:dyDescent="0.25">
      <c r="A432" s="2">
        <v>431</v>
      </c>
      <c r="B432" s="3">
        <v>2</v>
      </c>
    </row>
    <row r="433" spans="1:2" x14ac:dyDescent="0.25">
      <c r="A433" s="2">
        <v>432</v>
      </c>
      <c r="B433" s="3">
        <v>1</v>
      </c>
    </row>
    <row r="434" spans="1:2" x14ac:dyDescent="0.25">
      <c r="A434" s="2">
        <v>433</v>
      </c>
      <c r="B434" s="3">
        <v>1</v>
      </c>
    </row>
    <row r="435" spans="1:2" x14ac:dyDescent="0.25">
      <c r="A435" s="2">
        <v>434</v>
      </c>
      <c r="B435" s="3">
        <v>1</v>
      </c>
    </row>
    <row r="436" spans="1:2" x14ac:dyDescent="0.25">
      <c r="A436" s="2">
        <v>435</v>
      </c>
      <c r="B436" s="3">
        <v>2</v>
      </c>
    </row>
    <row r="437" spans="1:2" x14ac:dyDescent="0.25">
      <c r="A437" s="2">
        <v>436</v>
      </c>
      <c r="B437" s="3">
        <v>1</v>
      </c>
    </row>
    <row r="438" spans="1:2" x14ac:dyDescent="0.25">
      <c r="A438" s="2">
        <v>437</v>
      </c>
      <c r="B438" s="3">
        <v>1</v>
      </c>
    </row>
    <row r="439" spans="1:2" x14ac:dyDescent="0.25">
      <c r="A439" s="2">
        <v>438</v>
      </c>
      <c r="B439" s="3">
        <v>1</v>
      </c>
    </row>
    <row r="440" spans="1:2" x14ac:dyDescent="0.25">
      <c r="A440" s="2">
        <v>439</v>
      </c>
      <c r="B440" s="3">
        <v>1</v>
      </c>
    </row>
    <row r="441" spans="1:2" x14ac:dyDescent="0.25">
      <c r="A441" s="2">
        <v>440</v>
      </c>
      <c r="B441" s="3">
        <v>1</v>
      </c>
    </row>
    <row r="442" spans="1:2" x14ac:dyDescent="0.25">
      <c r="A442" s="2">
        <v>441</v>
      </c>
      <c r="B442" s="3">
        <v>1</v>
      </c>
    </row>
    <row r="443" spans="1:2" x14ac:dyDescent="0.25">
      <c r="A443" s="2">
        <v>442</v>
      </c>
      <c r="B443" s="3">
        <v>1</v>
      </c>
    </row>
    <row r="444" spans="1:2" x14ac:dyDescent="0.25">
      <c r="A444" s="2">
        <v>443</v>
      </c>
      <c r="B444" s="3">
        <v>1</v>
      </c>
    </row>
    <row r="445" spans="1:2" x14ac:dyDescent="0.25">
      <c r="A445" s="2">
        <v>444</v>
      </c>
      <c r="B445" s="3">
        <v>1</v>
      </c>
    </row>
    <row r="446" spans="1:2" x14ac:dyDescent="0.25">
      <c r="A446" s="2">
        <v>445</v>
      </c>
      <c r="B446" s="3">
        <v>1</v>
      </c>
    </row>
    <row r="447" spans="1:2" x14ac:dyDescent="0.25">
      <c r="A447" s="2">
        <v>446</v>
      </c>
      <c r="B447" s="3">
        <v>1</v>
      </c>
    </row>
    <row r="448" spans="1:2" x14ac:dyDescent="0.25">
      <c r="A448" s="2">
        <v>447</v>
      </c>
      <c r="B448" s="3">
        <v>1</v>
      </c>
    </row>
    <row r="449" spans="1:2" x14ac:dyDescent="0.25">
      <c r="A449" s="2">
        <v>448</v>
      </c>
      <c r="B449" s="3">
        <v>1</v>
      </c>
    </row>
    <row r="450" spans="1:2" x14ac:dyDescent="0.25">
      <c r="A450" s="2">
        <v>449</v>
      </c>
      <c r="B450" s="8">
        <v>1</v>
      </c>
    </row>
    <row r="451" spans="1:2" x14ac:dyDescent="0.25">
      <c r="A451" s="2">
        <v>450</v>
      </c>
      <c r="B451" s="3">
        <v>1</v>
      </c>
    </row>
    <row r="452" spans="1:2" x14ac:dyDescent="0.25">
      <c r="A452" s="2">
        <v>451</v>
      </c>
      <c r="B452" s="3">
        <v>2</v>
      </c>
    </row>
    <row r="453" spans="1:2" x14ac:dyDescent="0.25">
      <c r="A453" s="2">
        <v>452</v>
      </c>
      <c r="B453" s="3">
        <v>1</v>
      </c>
    </row>
    <row r="454" spans="1:2" x14ac:dyDescent="0.25">
      <c r="A454" s="2">
        <v>453</v>
      </c>
      <c r="B454" s="3">
        <v>1</v>
      </c>
    </row>
    <row r="455" spans="1:2" x14ac:dyDescent="0.25">
      <c r="A455" s="2">
        <v>454</v>
      </c>
      <c r="B455" s="3">
        <v>1</v>
      </c>
    </row>
    <row r="456" spans="1:2" x14ac:dyDescent="0.25">
      <c r="A456" s="2">
        <v>455</v>
      </c>
      <c r="B456" s="3">
        <v>1</v>
      </c>
    </row>
    <row r="457" spans="1:2" x14ac:dyDescent="0.25">
      <c r="A457" s="2">
        <v>456</v>
      </c>
      <c r="B457" s="3">
        <v>1</v>
      </c>
    </row>
    <row r="458" spans="1:2" x14ac:dyDescent="0.25">
      <c r="A458" s="2">
        <v>457</v>
      </c>
      <c r="B458" s="3">
        <v>1</v>
      </c>
    </row>
    <row r="459" spans="1:2" x14ac:dyDescent="0.25">
      <c r="A459" s="2">
        <v>458</v>
      </c>
      <c r="B459" s="3">
        <v>1</v>
      </c>
    </row>
    <row r="460" spans="1:2" x14ac:dyDescent="0.25">
      <c r="A460" s="2">
        <v>459</v>
      </c>
      <c r="B460" s="3">
        <v>1</v>
      </c>
    </row>
    <row r="461" spans="1:2" x14ac:dyDescent="0.25">
      <c r="A461" s="2">
        <v>460</v>
      </c>
      <c r="B461" s="3">
        <v>1</v>
      </c>
    </row>
    <row r="462" spans="1:2" x14ac:dyDescent="0.25">
      <c r="A462" s="2">
        <v>461</v>
      </c>
      <c r="B462" s="3">
        <v>1</v>
      </c>
    </row>
    <row r="463" spans="1:2" x14ac:dyDescent="0.25">
      <c r="A463" s="2">
        <v>462</v>
      </c>
      <c r="B463" s="3">
        <v>1</v>
      </c>
    </row>
    <row r="464" spans="1:2" x14ac:dyDescent="0.25">
      <c r="A464" s="2">
        <v>463</v>
      </c>
      <c r="B464" s="3">
        <v>1</v>
      </c>
    </row>
    <row r="465" spans="1:2" x14ac:dyDescent="0.25">
      <c r="A465" s="2">
        <v>464</v>
      </c>
      <c r="B465" s="3">
        <v>1</v>
      </c>
    </row>
    <row r="466" spans="1:2" x14ac:dyDescent="0.25">
      <c r="A466" s="2">
        <v>465</v>
      </c>
      <c r="B466" s="3">
        <v>1</v>
      </c>
    </row>
    <row r="467" spans="1:2" x14ac:dyDescent="0.25">
      <c r="A467" s="2">
        <v>466</v>
      </c>
      <c r="B467" s="3">
        <v>1</v>
      </c>
    </row>
    <row r="468" spans="1:2" x14ac:dyDescent="0.25">
      <c r="A468" s="2">
        <v>467</v>
      </c>
      <c r="B468" s="3">
        <v>1</v>
      </c>
    </row>
    <row r="469" spans="1:2" x14ac:dyDescent="0.25">
      <c r="A469" s="2">
        <v>468</v>
      </c>
      <c r="B469" s="3">
        <v>1</v>
      </c>
    </row>
    <row r="470" spans="1:2" x14ac:dyDescent="0.25">
      <c r="A470" s="2">
        <v>469</v>
      </c>
      <c r="B470" s="3">
        <v>1</v>
      </c>
    </row>
    <row r="471" spans="1:2" x14ac:dyDescent="0.25">
      <c r="A471" s="2">
        <v>470</v>
      </c>
      <c r="B471" s="3">
        <v>1</v>
      </c>
    </row>
    <row r="472" spans="1:2" x14ac:dyDescent="0.25">
      <c r="A472" s="2">
        <v>471</v>
      </c>
      <c r="B472" s="3">
        <v>1</v>
      </c>
    </row>
    <row r="473" spans="1:2" x14ac:dyDescent="0.25">
      <c r="A473" s="2">
        <v>472</v>
      </c>
      <c r="B473" s="3">
        <v>1</v>
      </c>
    </row>
    <row r="474" spans="1:2" x14ac:dyDescent="0.25">
      <c r="A474" s="2">
        <v>473</v>
      </c>
      <c r="B474" s="3">
        <v>1</v>
      </c>
    </row>
    <row r="475" spans="1:2" x14ac:dyDescent="0.25">
      <c r="A475" s="2">
        <v>474</v>
      </c>
      <c r="B475" s="3">
        <v>1</v>
      </c>
    </row>
    <row r="476" spans="1:2" x14ac:dyDescent="0.25">
      <c r="A476" s="2">
        <v>475</v>
      </c>
      <c r="B476" s="3">
        <v>1</v>
      </c>
    </row>
    <row r="477" spans="1:2" x14ac:dyDescent="0.25">
      <c r="A477" s="2">
        <v>476</v>
      </c>
      <c r="B477" s="3">
        <v>1</v>
      </c>
    </row>
    <row r="478" spans="1:2" x14ac:dyDescent="0.25">
      <c r="A478" s="2">
        <v>477</v>
      </c>
      <c r="B478" s="3">
        <v>1</v>
      </c>
    </row>
    <row r="479" spans="1:2" x14ac:dyDescent="0.25">
      <c r="A479" s="2">
        <v>478</v>
      </c>
      <c r="B479" s="3">
        <v>1</v>
      </c>
    </row>
    <row r="480" spans="1:2" x14ac:dyDescent="0.25">
      <c r="A480" s="2">
        <v>479</v>
      </c>
      <c r="B480" s="3">
        <v>1</v>
      </c>
    </row>
    <row r="481" spans="1:2" x14ac:dyDescent="0.25">
      <c r="A481" s="2">
        <v>480</v>
      </c>
      <c r="B481" s="3">
        <v>1</v>
      </c>
    </row>
    <row r="482" spans="1:2" x14ac:dyDescent="0.25">
      <c r="A482" s="2">
        <v>481</v>
      </c>
      <c r="B482" s="3">
        <v>1</v>
      </c>
    </row>
    <row r="483" spans="1:2" x14ac:dyDescent="0.25">
      <c r="A483" s="2">
        <v>482</v>
      </c>
      <c r="B483" s="3">
        <v>1</v>
      </c>
    </row>
    <row r="484" spans="1:2" x14ac:dyDescent="0.25">
      <c r="A484" s="2">
        <v>483</v>
      </c>
      <c r="B484" s="8">
        <v>2</v>
      </c>
    </row>
    <row r="485" spans="1:2" x14ac:dyDescent="0.25">
      <c r="A485" s="2">
        <v>484</v>
      </c>
      <c r="B485" s="3">
        <v>1</v>
      </c>
    </row>
    <row r="486" spans="1:2" x14ac:dyDescent="0.25">
      <c r="A486" s="2">
        <v>485</v>
      </c>
      <c r="B486" s="3">
        <v>1</v>
      </c>
    </row>
    <row r="487" spans="1:2" x14ac:dyDescent="0.25">
      <c r="A487" s="2">
        <v>486</v>
      </c>
      <c r="B487" s="3">
        <v>1</v>
      </c>
    </row>
    <row r="488" spans="1:2" x14ac:dyDescent="0.25">
      <c r="A488" s="2">
        <v>487</v>
      </c>
      <c r="B488" s="3">
        <v>1</v>
      </c>
    </row>
    <row r="489" spans="1:2" x14ac:dyDescent="0.25">
      <c r="A489" s="2">
        <v>488</v>
      </c>
      <c r="B489" s="3">
        <v>1</v>
      </c>
    </row>
    <row r="490" spans="1:2" x14ac:dyDescent="0.25">
      <c r="A490" s="2">
        <v>489</v>
      </c>
      <c r="B490" s="3">
        <v>1</v>
      </c>
    </row>
    <row r="491" spans="1:2" x14ac:dyDescent="0.25">
      <c r="A491" s="2">
        <v>490</v>
      </c>
      <c r="B491" s="3">
        <v>2</v>
      </c>
    </row>
    <row r="492" spans="1:2" x14ac:dyDescent="0.25">
      <c r="A492" s="2">
        <v>491</v>
      </c>
      <c r="B492" s="3">
        <v>2</v>
      </c>
    </row>
    <row r="493" spans="1:2" x14ac:dyDescent="0.25">
      <c r="A493" s="2">
        <v>492</v>
      </c>
      <c r="B493" s="3">
        <v>1</v>
      </c>
    </row>
    <row r="494" spans="1:2" x14ac:dyDescent="0.25">
      <c r="A494" s="2">
        <v>493</v>
      </c>
      <c r="B494" s="3">
        <v>1</v>
      </c>
    </row>
    <row r="495" spans="1:2" x14ac:dyDescent="0.25">
      <c r="A495" s="2">
        <v>494</v>
      </c>
      <c r="B495" s="3">
        <v>1</v>
      </c>
    </row>
    <row r="496" spans="1:2" x14ac:dyDescent="0.25">
      <c r="A496" s="2">
        <v>495</v>
      </c>
      <c r="B496" s="3">
        <v>2</v>
      </c>
    </row>
    <row r="497" spans="1:2" x14ac:dyDescent="0.25">
      <c r="A497" s="2">
        <v>496</v>
      </c>
      <c r="B497" s="3">
        <v>1</v>
      </c>
    </row>
    <row r="498" spans="1:2" x14ac:dyDescent="0.25">
      <c r="A498" s="2">
        <v>497</v>
      </c>
      <c r="B498" s="3">
        <v>1</v>
      </c>
    </row>
    <row r="499" spans="1:2" x14ac:dyDescent="0.25">
      <c r="A499" s="2">
        <v>498</v>
      </c>
      <c r="B499" s="3">
        <v>1</v>
      </c>
    </row>
    <row r="500" spans="1:2" x14ac:dyDescent="0.25">
      <c r="A500" s="2">
        <v>499</v>
      </c>
      <c r="B500" s="3">
        <v>1</v>
      </c>
    </row>
    <row r="501" spans="1:2" x14ac:dyDescent="0.25">
      <c r="A501" s="2">
        <v>500</v>
      </c>
      <c r="B501" s="3">
        <v>1</v>
      </c>
    </row>
    <row r="502" spans="1:2" x14ac:dyDescent="0.25">
      <c r="A502" s="2">
        <v>501</v>
      </c>
      <c r="B502" s="3">
        <v>1</v>
      </c>
    </row>
    <row r="503" spans="1:2" x14ac:dyDescent="0.25">
      <c r="A503" s="2">
        <v>502</v>
      </c>
      <c r="B503" s="3">
        <v>1</v>
      </c>
    </row>
    <row r="504" spans="1:2" x14ac:dyDescent="0.25">
      <c r="A504" s="2">
        <v>503</v>
      </c>
      <c r="B504" s="3">
        <v>1</v>
      </c>
    </row>
    <row r="505" spans="1:2" x14ac:dyDescent="0.25">
      <c r="A505" s="2">
        <v>504</v>
      </c>
      <c r="B505" s="3">
        <v>1</v>
      </c>
    </row>
    <row r="506" spans="1:2" x14ac:dyDescent="0.25">
      <c r="A506" s="2">
        <v>505</v>
      </c>
      <c r="B506" s="3">
        <v>1</v>
      </c>
    </row>
    <row r="507" spans="1:2" x14ac:dyDescent="0.25">
      <c r="A507" s="2">
        <v>506</v>
      </c>
      <c r="B507" s="3">
        <v>1</v>
      </c>
    </row>
    <row r="508" spans="1:2" x14ac:dyDescent="0.25">
      <c r="A508" s="2">
        <v>507</v>
      </c>
      <c r="B508" s="3">
        <v>1</v>
      </c>
    </row>
    <row r="509" spans="1:2" x14ac:dyDescent="0.25">
      <c r="A509" s="2">
        <v>508</v>
      </c>
      <c r="B509" s="3">
        <v>1</v>
      </c>
    </row>
    <row r="510" spans="1:2" x14ac:dyDescent="0.25">
      <c r="A510" s="2">
        <v>509</v>
      </c>
      <c r="B510" s="3">
        <v>1</v>
      </c>
    </row>
    <row r="511" spans="1:2" x14ac:dyDescent="0.25">
      <c r="A511" s="2">
        <v>510</v>
      </c>
      <c r="B511" s="3">
        <v>1</v>
      </c>
    </row>
    <row r="512" spans="1:2" x14ac:dyDescent="0.25">
      <c r="A512" s="2">
        <v>511</v>
      </c>
      <c r="B512" s="3">
        <v>1</v>
      </c>
    </row>
    <row r="513" spans="1:2" x14ac:dyDescent="0.25">
      <c r="A513" s="2">
        <v>512</v>
      </c>
      <c r="B513" s="3">
        <v>1</v>
      </c>
    </row>
    <row r="514" spans="1:2" x14ac:dyDescent="0.25">
      <c r="A514" s="2">
        <v>513</v>
      </c>
      <c r="B514" s="3">
        <v>1</v>
      </c>
    </row>
    <row r="515" spans="1:2" x14ac:dyDescent="0.25">
      <c r="A515" s="2">
        <v>514</v>
      </c>
      <c r="B515" s="3">
        <v>1</v>
      </c>
    </row>
    <row r="516" spans="1:2" x14ac:dyDescent="0.25">
      <c r="A516" s="2">
        <v>515</v>
      </c>
      <c r="B516" s="3">
        <v>1</v>
      </c>
    </row>
    <row r="517" spans="1:2" x14ac:dyDescent="0.25">
      <c r="A517" s="2">
        <v>516</v>
      </c>
      <c r="B517" s="3">
        <v>1</v>
      </c>
    </row>
    <row r="518" spans="1:2" x14ac:dyDescent="0.25">
      <c r="A518" s="2">
        <v>517</v>
      </c>
      <c r="B518" s="3">
        <v>1</v>
      </c>
    </row>
    <row r="519" spans="1:2" x14ac:dyDescent="0.25">
      <c r="A519" s="2">
        <v>518</v>
      </c>
      <c r="B519" s="3">
        <v>1</v>
      </c>
    </row>
    <row r="520" spans="1:2" x14ac:dyDescent="0.25">
      <c r="A520" s="2">
        <v>519</v>
      </c>
      <c r="B520" s="3">
        <v>1</v>
      </c>
    </row>
    <row r="521" spans="1:2" x14ac:dyDescent="0.25">
      <c r="A521" s="2">
        <v>520</v>
      </c>
      <c r="B521" s="3">
        <v>1</v>
      </c>
    </row>
    <row r="522" spans="1:2" x14ac:dyDescent="0.25">
      <c r="A522" s="2">
        <v>521</v>
      </c>
      <c r="B522" s="3">
        <v>1</v>
      </c>
    </row>
    <row r="523" spans="1:2" x14ac:dyDescent="0.25">
      <c r="A523" s="2">
        <v>522</v>
      </c>
      <c r="B523" s="3">
        <v>1</v>
      </c>
    </row>
    <row r="524" spans="1:2" x14ac:dyDescent="0.25">
      <c r="A524" s="2">
        <v>523</v>
      </c>
      <c r="B524" s="3">
        <v>1</v>
      </c>
    </row>
    <row r="525" spans="1:2" x14ac:dyDescent="0.25">
      <c r="A525" s="2">
        <v>524</v>
      </c>
      <c r="B525" s="3">
        <v>1</v>
      </c>
    </row>
    <row r="526" spans="1:2" x14ac:dyDescent="0.25">
      <c r="A526" s="2">
        <v>525</v>
      </c>
      <c r="B526" s="3">
        <v>1</v>
      </c>
    </row>
    <row r="527" spans="1:2" x14ac:dyDescent="0.25">
      <c r="A527" s="2">
        <v>526</v>
      </c>
      <c r="B527" s="3">
        <v>1</v>
      </c>
    </row>
    <row r="528" spans="1:2" x14ac:dyDescent="0.25">
      <c r="A528" s="2">
        <v>527</v>
      </c>
      <c r="B528" s="3">
        <v>1</v>
      </c>
    </row>
    <row r="529" spans="1:2" x14ac:dyDescent="0.25">
      <c r="A529" s="2">
        <v>528</v>
      </c>
      <c r="B529" s="3">
        <v>1</v>
      </c>
    </row>
    <row r="530" spans="1:2" x14ac:dyDescent="0.25">
      <c r="A530" s="2">
        <v>529</v>
      </c>
      <c r="B530" s="3">
        <v>1</v>
      </c>
    </row>
    <row r="531" spans="1:2" x14ac:dyDescent="0.25">
      <c r="A531" s="2">
        <v>530</v>
      </c>
      <c r="B531" s="3">
        <v>1</v>
      </c>
    </row>
    <row r="532" spans="1:2" x14ac:dyDescent="0.25">
      <c r="A532" s="2">
        <v>531</v>
      </c>
      <c r="B532" s="3">
        <v>1</v>
      </c>
    </row>
    <row r="533" spans="1:2" x14ac:dyDescent="0.25">
      <c r="A533" s="2">
        <v>532</v>
      </c>
      <c r="B533" s="3">
        <v>1</v>
      </c>
    </row>
    <row r="534" spans="1:2" x14ac:dyDescent="0.25">
      <c r="A534" s="2">
        <v>533</v>
      </c>
      <c r="B534" s="3">
        <v>1</v>
      </c>
    </row>
    <row r="535" spans="1:2" x14ac:dyDescent="0.25">
      <c r="A535" s="2">
        <v>534</v>
      </c>
      <c r="B535" s="3">
        <v>1</v>
      </c>
    </row>
    <row r="536" spans="1:2" x14ac:dyDescent="0.25">
      <c r="A536" s="2">
        <v>535</v>
      </c>
      <c r="B536" s="3">
        <v>1</v>
      </c>
    </row>
    <row r="537" spans="1:2" x14ac:dyDescent="0.25">
      <c r="A537" s="2">
        <v>536</v>
      </c>
      <c r="B537" s="3">
        <v>1</v>
      </c>
    </row>
    <row r="538" spans="1:2" x14ac:dyDescent="0.25">
      <c r="A538" s="2">
        <v>537</v>
      </c>
      <c r="B538" s="3">
        <v>1</v>
      </c>
    </row>
    <row r="539" spans="1:2" x14ac:dyDescent="0.25">
      <c r="A539" s="2">
        <v>538</v>
      </c>
      <c r="B539" s="3">
        <v>1</v>
      </c>
    </row>
    <row r="540" spans="1:2" x14ac:dyDescent="0.25">
      <c r="A540" s="2">
        <v>539</v>
      </c>
      <c r="B540" s="3">
        <v>1</v>
      </c>
    </row>
    <row r="541" spans="1:2" x14ac:dyDescent="0.25">
      <c r="A541" s="2">
        <v>540</v>
      </c>
      <c r="B541" s="3">
        <v>1</v>
      </c>
    </row>
    <row r="542" spans="1:2" x14ac:dyDescent="0.25">
      <c r="A542" s="2">
        <v>541</v>
      </c>
      <c r="B542" s="3">
        <v>1</v>
      </c>
    </row>
    <row r="543" spans="1:2" x14ac:dyDescent="0.25">
      <c r="A543" s="2">
        <v>542</v>
      </c>
      <c r="B543" s="3">
        <v>1</v>
      </c>
    </row>
    <row r="544" spans="1:2" x14ac:dyDescent="0.25">
      <c r="A544" s="2">
        <v>543</v>
      </c>
      <c r="B544" s="3">
        <v>1</v>
      </c>
    </row>
    <row r="545" spans="1:2" x14ac:dyDescent="0.25">
      <c r="A545" s="2">
        <v>544</v>
      </c>
      <c r="B545" s="3">
        <v>1</v>
      </c>
    </row>
    <row r="546" spans="1:2" x14ac:dyDescent="0.25">
      <c r="A546" s="2">
        <v>545</v>
      </c>
      <c r="B546" s="3">
        <v>1</v>
      </c>
    </row>
    <row r="547" spans="1:2" x14ac:dyDescent="0.25">
      <c r="A547" s="2">
        <v>546</v>
      </c>
      <c r="B547" s="3">
        <v>1</v>
      </c>
    </row>
    <row r="548" spans="1:2" x14ac:dyDescent="0.25">
      <c r="A548" s="2">
        <v>547</v>
      </c>
      <c r="B548" s="3">
        <v>1</v>
      </c>
    </row>
    <row r="549" spans="1:2" x14ac:dyDescent="0.25">
      <c r="A549" s="2">
        <v>548</v>
      </c>
      <c r="B549" s="3">
        <v>1</v>
      </c>
    </row>
    <row r="550" spans="1:2" x14ac:dyDescent="0.25">
      <c r="A550" s="2">
        <v>549</v>
      </c>
      <c r="B550" s="3">
        <v>1</v>
      </c>
    </row>
    <row r="551" spans="1:2" x14ac:dyDescent="0.25">
      <c r="A551" s="2">
        <v>550</v>
      </c>
      <c r="B551" s="3">
        <v>1</v>
      </c>
    </row>
    <row r="552" spans="1:2" x14ac:dyDescent="0.25">
      <c r="A552" s="2">
        <v>551</v>
      </c>
      <c r="B552" s="3">
        <v>1</v>
      </c>
    </row>
    <row r="553" spans="1:2" x14ac:dyDescent="0.25">
      <c r="A553" s="2">
        <v>552</v>
      </c>
      <c r="B553" s="3">
        <v>1</v>
      </c>
    </row>
    <row r="554" spans="1:2" x14ac:dyDescent="0.25">
      <c r="A554" s="2">
        <v>553</v>
      </c>
      <c r="B554" s="3">
        <v>1</v>
      </c>
    </row>
    <row r="555" spans="1:2" x14ac:dyDescent="0.25">
      <c r="A555" s="2">
        <v>554</v>
      </c>
      <c r="B555" s="3">
        <v>2</v>
      </c>
    </row>
    <row r="556" spans="1:2" x14ac:dyDescent="0.25">
      <c r="A556" s="2">
        <v>555</v>
      </c>
      <c r="B556" s="3">
        <v>2</v>
      </c>
    </row>
    <row r="557" spans="1:2" x14ac:dyDescent="0.25">
      <c r="A557" s="2">
        <v>556</v>
      </c>
      <c r="B557" s="3">
        <v>2</v>
      </c>
    </row>
    <row r="558" spans="1:2" x14ac:dyDescent="0.25">
      <c r="A558" s="2">
        <v>557</v>
      </c>
      <c r="B558" s="3">
        <v>2</v>
      </c>
    </row>
    <row r="559" spans="1:2" x14ac:dyDescent="0.25">
      <c r="A559" s="2">
        <v>558</v>
      </c>
      <c r="B559" s="3">
        <v>2</v>
      </c>
    </row>
    <row r="560" spans="1:2" x14ac:dyDescent="0.25">
      <c r="A560" s="2">
        <v>559</v>
      </c>
      <c r="B560" s="3">
        <v>2</v>
      </c>
    </row>
    <row r="561" spans="1:2" x14ac:dyDescent="0.25">
      <c r="A561" s="2">
        <v>560</v>
      </c>
      <c r="B561" s="3">
        <v>2</v>
      </c>
    </row>
    <row r="562" spans="1:2" x14ac:dyDescent="0.25">
      <c r="A562" s="2">
        <v>561</v>
      </c>
      <c r="B562" s="3">
        <v>2</v>
      </c>
    </row>
    <row r="563" spans="1:2" x14ac:dyDescent="0.25">
      <c r="A563" s="2">
        <v>562</v>
      </c>
      <c r="B563" s="3">
        <v>2</v>
      </c>
    </row>
    <row r="564" spans="1:2" x14ac:dyDescent="0.25">
      <c r="A564" s="2">
        <v>563</v>
      </c>
      <c r="B564" s="3">
        <v>2</v>
      </c>
    </row>
    <row r="565" spans="1:2" x14ac:dyDescent="0.25">
      <c r="A565" s="2">
        <v>564</v>
      </c>
      <c r="B565" s="3">
        <v>2</v>
      </c>
    </row>
    <row r="566" spans="1:2" x14ac:dyDescent="0.25">
      <c r="A566" s="2">
        <v>565</v>
      </c>
      <c r="B566" s="3">
        <v>2</v>
      </c>
    </row>
    <row r="567" spans="1:2" x14ac:dyDescent="0.25">
      <c r="A567" s="2">
        <v>566</v>
      </c>
      <c r="B567" s="3">
        <v>2</v>
      </c>
    </row>
    <row r="568" spans="1:2" x14ac:dyDescent="0.25">
      <c r="A568" s="2">
        <v>567</v>
      </c>
      <c r="B568" s="3">
        <v>2</v>
      </c>
    </row>
    <row r="569" spans="1:2" x14ac:dyDescent="0.25">
      <c r="A569" s="2">
        <v>568</v>
      </c>
      <c r="B569" s="3">
        <v>2</v>
      </c>
    </row>
    <row r="570" spans="1:2" x14ac:dyDescent="0.25">
      <c r="A570" s="2">
        <v>569</v>
      </c>
      <c r="B570" s="3">
        <v>2</v>
      </c>
    </row>
    <row r="571" spans="1:2" x14ac:dyDescent="0.25">
      <c r="A571" s="2">
        <v>570</v>
      </c>
      <c r="B571" s="3">
        <v>2</v>
      </c>
    </row>
    <row r="572" spans="1:2" x14ac:dyDescent="0.25">
      <c r="A572" s="2">
        <v>571</v>
      </c>
      <c r="B572" s="3">
        <v>2</v>
      </c>
    </row>
    <row r="573" spans="1:2" x14ac:dyDescent="0.25">
      <c r="A573" s="2">
        <v>572</v>
      </c>
      <c r="B573" s="3">
        <v>2</v>
      </c>
    </row>
    <row r="574" spans="1:2" x14ac:dyDescent="0.25">
      <c r="A574" s="2">
        <v>573</v>
      </c>
      <c r="B574" s="3">
        <v>2</v>
      </c>
    </row>
    <row r="575" spans="1:2" x14ac:dyDescent="0.25">
      <c r="A575" s="2">
        <v>574</v>
      </c>
      <c r="B575" s="3">
        <v>2</v>
      </c>
    </row>
    <row r="576" spans="1:2" x14ac:dyDescent="0.25">
      <c r="A576" s="2">
        <v>575</v>
      </c>
      <c r="B576" s="3">
        <v>2</v>
      </c>
    </row>
    <row r="577" spans="1:2" x14ac:dyDescent="0.25">
      <c r="A577" s="2">
        <v>576</v>
      </c>
      <c r="B577" s="3">
        <v>2</v>
      </c>
    </row>
    <row r="578" spans="1:2" x14ac:dyDescent="0.25">
      <c r="A578" s="2">
        <v>577</v>
      </c>
      <c r="B578" s="3">
        <v>2</v>
      </c>
    </row>
    <row r="579" spans="1:2" x14ac:dyDescent="0.25">
      <c r="A579" s="2">
        <v>578</v>
      </c>
      <c r="B579" s="3">
        <v>2</v>
      </c>
    </row>
    <row r="580" spans="1:2" x14ac:dyDescent="0.25">
      <c r="A580" s="2">
        <v>579</v>
      </c>
      <c r="B580" s="3">
        <v>2</v>
      </c>
    </row>
    <row r="581" spans="1:2" x14ac:dyDescent="0.25">
      <c r="A581" s="2">
        <v>580</v>
      </c>
      <c r="B581" s="3">
        <v>2</v>
      </c>
    </row>
    <row r="582" spans="1:2" x14ac:dyDescent="0.25">
      <c r="A582" s="2">
        <v>581</v>
      </c>
      <c r="B582" s="3">
        <v>2</v>
      </c>
    </row>
    <row r="583" spans="1:2" x14ac:dyDescent="0.25">
      <c r="A583" s="2">
        <v>582</v>
      </c>
      <c r="B583" s="3">
        <v>2</v>
      </c>
    </row>
    <row r="584" spans="1:2" x14ac:dyDescent="0.25">
      <c r="A584" s="2">
        <v>583</v>
      </c>
      <c r="B584" s="3">
        <v>2</v>
      </c>
    </row>
    <row r="585" spans="1:2" x14ac:dyDescent="0.25">
      <c r="A585" s="2">
        <v>584</v>
      </c>
      <c r="B585" s="3">
        <v>2</v>
      </c>
    </row>
    <row r="586" spans="1:2" x14ac:dyDescent="0.25">
      <c r="A586" s="2">
        <v>585</v>
      </c>
      <c r="B586" s="3">
        <v>2</v>
      </c>
    </row>
    <row r="587" spans="1:2" x14ac:dyDescent="0.25">
      <c r="A587" s="2">
        <v>586</v>
      </c>
      <c r="B587" s="3">
        <v>2</v>
      </c>
    </row>
    <row r="588" spans="1:2" x14ac:dyDescent="0.25">
      <c r="A588" s="2">
        <v>587</v>
      </c>
      <c r="B588" s="3">
        <v>2</v>
      </c>
    </row>
    <row r="589" spans="1:2" x14ac:dyDescent="0.25">
      <c r="A589" s="2">
        <v>588</v>
      </c>
      <c r="B589" s="3">
        <v>2</v>
      </c>
    </row>
    <row r="590" spans="1:2" x14ac:dyDescent="0.25">
      <c r="A590" s="2">
        <v>589</v>
      </c>
      <c r="B590" s="3">
        <v>1</v>
      </c>
    </row>
    <row r="591" spans="1:2" x14ac:dyDescent="0.25">
      <c r="A591" s="2">
        <v>590</v>
      </c>
      <c r="B591" s="3">
        <v>1</v>
      </c>
    </row>
    <row r="592" spans="1:2" x14ac:dyDescent="0.25">
      <c r="A592" s="2">
        <v>591</v>
      </c>
      <c r="B592" s="3">
        <v>1</v>
      </c>
    </row>
    <row r="593" spans="1:2" x14ac:dyDescent="0.25">
      <c r="A593" s="2">
        <v>592</v>
      </c>
      <c r="B593" s="3">
        <v>1</v>
      </c>
    </row>
    <row r="594" spans="1:2" x14ac:dyDescent="0.25">
      <c r="A594" s="2">
        <v>593</v>
      </c>
      <c r="B594" s="3">
        <v>1</v>
      </c>
    </row>
    <row r="595" spans="1:2" x14ac:dyDescent="0.25">
      <c r="A595" s="2">
        <v>594</v>
      </c>
      <c r="B595" s="3">
        <v>1</v>
      </c>
    </row>
    <row r="596" spans="1:2" x14ac:dyDescent="0.25">
      <c r="A596" s="2">
        <v>595</v>
      </c>
      <c r="B596" s="3">
        <v>1</v>
      </c>
    </row>
    <row r="597" spans="1:2" x14ac:dyDescent="0.25">
      <c r="A597" s="2">
        <v>596</v>
      </c>
      <c r="B597" s="3">
        <v>1</v>
      </c>
    </row>
    <row r="598" spans="1:2" x14ac:dyDescent="0.25">
      <c r="A598" s="2">
        <v>597</v>
      </c>
      <c r="B598" s="3">
        <v>1</v>
      </c>
    </row>
    <row r="599" spans="1:2" x14ac:dyDescent="0.25">
      <c r="A599" s="2">
        <v>598</v>
      </c>
      <c r="B599" s="3">
        <v>1</v>
      </c>
    </row>
    <row r="600" spans="1:2" x14ac:dyDescent="0.25">
      <c r="A600" s="2">
        <v>599</v>
      </c>
      <c r="B600" s="3">
        <v>1</v>
      </c>
    </row>
    <row r="601" spans="1:2" x14ac:dyDescent="0.25">
      <c r="A601" s="2">
        <v>600</v>
      </c>
      <c r="B601" s="3">
        <v>1</v>
      </c>
    </row>
    <row r="602" spans="1:2" x14ac:dyDescent="0.25">
      <c r="A602" s="2">
        <v>601</v>
      </c>
      <c r="B602" s="3">
        <v>1</v>
      </c>
    </row>
    <row r="603" spans="1:2" x14ac:dyDescent="0.25">
      <c r="A603" s="2">
        <v>602</v>
      </c>
      <c r="B603" s="3">
        <v>1</v>
      </c>
    </row>
    <row r="604" spans="1:2" x14ac:dyDescent="0.25">
      <c r="A604" s="2">
        <v>603</v>
      </c>
      <c r="B604" s="3">
        <v>1</v>
      </c>
    </row>
    <row r="605" spans="1:2" x14ac:dyDescent="0.25">
      <c r="A605" s="2">
        <v>604</v>
      </c>
      <c r="B605" s="3">
        <v>1</v>
      </c>
    </row>
    <row r="606" spans="1:2" x14ac:dyDescent="0.25">
      <c r="A606" s="2">
        <v>605</v>
      </c>
      <c r="B606" s="3">
        <v>1</v>
      </c>
    </row>
    <row r="607" spans="1:2" x14ac:dyDescent="0.25">
      <c r="A607" s="2">
        <v>606</v>
      </c>
      <c r="B607" s="3">
        <v>1</v>
      </c>
    </row>
    <row r="608" spans="1:2" x14ac:dyDescent="0.25">
      <c r="A608" s="2">
        <v>607</v>
      </c>
      <c r="B608" s="3">
        <v>1</v>
      </c>
    </row>
    <row r="609" spans="1:2" x14ac:dyDescent="0.25">
      <c r="A609" s="2">
        <v>608</v>
      </c>
      <c r="B609" s="3">
        <v>1</v>
      </c>
    </row>
    <row r="610" spans="1:2" x14ac:dyDescent="0.25">
      <c r="A610" s="2">
        <v>609</v>
      </c>
      <c r="B610" s="3">
        <v>1</v>
      </c>
    </row>
    <row r="611" spans="1:2" x14ac:dyDescent="0.25">
      <c r="A611" s="2">
        <v>610</v>
      </c>
      <c r="B611" s="3">
        <v>1</v>
      </c>
    </row>
    <row r="612" spans="1:2" x14ac:dyDescent="0.25">
      <c r="A612" s="2">
        <v>611</v>
      </c>
      <c r="B612" s="3">
        <v>1</v>
      </c>
    </row>
    <row r="613" spans="1:2" x14ac:dyDescent="0.25">
      <c r="A613" s="2">
        <v>612</v>
      </c>
      <c r="B613" s="3">
        <v>1</v>
      </c>
    </row>
    <row r="614" spans="1:2" x14ac:dyDescent="0.25">
      <c r="A614" s="2">
        <v>613</v>
      </c>
      <c r="B614" s="3">
        <v>1</v>
      </c>
    </row>
    <row r="615" spans="1:2" x14ac:dyDescent="0.25">
      <c r="A615" s="2">
        <v>614</v>
      </c>
      <c r="B615" s="3">
        <v>1</v>
      </c>
    </row>
    <row r="616" spans="1:2" x14ac:dyDescent="0.25">
      <c r="A616" s="2">
        <v>615</v>
      </c>
      <c r="B616" s="3">
        <v>1</v>
      </c>
    </row>
    <row r="617" spans="1:2" x14ac:dyDescent="0.25">
      <c r="A617" s="2">
        <v>616</v>
      </c>
      <c r="B617" s="3">
        <v>1</v>
      </c>
    </row>
    <row r="618" spans="1:2" x14ac:dyDescent="0.25">
      <c r="A618" s="2">
        <v>617</v>
      </c>
      <c r="B618" s="3">
        <v>1</v>
      </c>
    </row>
    <row r="619" spans="1:2" x14ac:dyDescent="0.25">
      <c r="A619" s="2">
        <v>618</v>
      </c>
      <c r="B619" s="3">
        <v>1</v>
      </c>
    </row>
    <row r="620" spans="1:2" x14ac:dyDescent="0.25">
      <c r="A620" s="2">
        <v>619</v>
      </c>
      <c r="B620" s="3">
        <v>1</v>
      </c>
    </row>
    <row r="621" spans="1:2" x14ac:dyDescent="0.25">
      <c r="A621" s="2">
        <v>620</v>
      </c>
      <c r="B621" s="3">
        <v>1</v>
      </c>
    </row>
    <row r="622" spans="1:2" x14ac:dyDescent="0.25">
      <c r="A622" s="2">
        <v>621</v>
      </c>
      <c r="B622" s="3">
        <v>1</v>
      </c>
    </row>
    <row r="623" spans="1:2" x14ac:dyDescent="0.25">
      <c r="A623" s="2">
        <v>622</v>
      </c>
      <c r="B623" s="3">
        <v>1</v>
      </c>
    </row>
    <row r="624" spans="1:2" x14ac:dyDescent="0.25">
      <c r="A624" s="2">
        <v>623</v>
      </c>
      <c r="B624" s="3">
        <v>1</v>
      </c>
    </row>
    <row r="625" spans="1:2" x14ac:dyDescent="0.25">
      <c r="A625" s="2">
        <v>624</v>
      </c>
      <c r="B625" s="3">
        <v>1</v>
      </c>
    </row>
    <row r="626" spans="1:2" x14ac:dyDescent="0.25">
      <c r="A626" s="2">
        <v>625</v>
      </c>
      <c r="B626" s="3">
        <v>1</v>
      </c>
    </row>
    <row r="627" spans="1:2" x14ac:dyDescent="0.25">
      <c r="A627" s="2">
        <v>626</v>
      </c>
      <c r="B627" s="3">
        <v>1</v>
      </c>
    </row>
    <row r="628" spans="1:2" x14ac:dyDescent="0.25">
      <c r="A628" s="2">
        <v>627</v>
      </c>
      <c r="B628" s="3">
        <v>1</v>
      </c>
    </row>
    <row r="629" spans="1:2" x14ac:dyDescent="0.25">
      <c r="A629" s="2">
        <v>628</v>
      </c>
      <c r="B629" s="3">
        <v>2</v>
      </c>
    </row>
    <row r="630" spans="1:2" x14ac:dyDescent="0.25">
      <c r="A630" s="2">
        <v>629</v>
      </c>
      <c r="B630" s="3">
        <v>1</v>
      </c>
    </row>
    <row r="631" spans="1:2" x14ac:dyDescent="0.25">
      <c r="A631" s="2">
        <v>630</v>
      </c>
      <c r="B631" s="3">
        <v>1</v>
      </c>
    </row>
    <row r="632" spans="1:2" x14ac:dyDescent="0.25">
      <c r="A632" s="2">
        <v>631</v>
      </c>
      <c r="B632" s="3">
        <v>1</v>
      </c>
    </row>
    <row r="633" spans="1:2" x14ac:dyDescent="0.25">
      <c r="A633" s="2">
        <v>632</v>
      </c>
      <c r="B633" s="3">
        <v>1</v>
      </c>
    </row>
    <row r="634" spans="1:2" x14ac:dyDescent="0.25">
      <c r="A634" s="2">
        <v>633</v>
      </c>
      <c r="B634" s="3">
        <v>1</v>
      </c>
    </row>
    <row r="635" spans="1:2" x14ac:dyDescent="0.25">
      <c r="A635" s="2">
        <v>634</v>
      </c>
      <c r="B635" s="3">
        <v>1</v>
      </c>
    </row>
    <row r="636" spans="1:2" x14ac:dyDescent="0.25">
      <c r="A636" s="2">
        <v>635</v>
      </c>
      <c r="B636" s="3">
        <v>1</v>
      </c>
    </row>
    <row r="637" spans="1:2" x14ac:dyDescent="0.25">
      <c r="A637" s="2">
        <v>636</v>
      </c>
      <c r="B637" s="3">
        <v>1</v>
      </c>
    </row>
    <row r="638" spans="1:2" x14ac:dyDescent="0.25">
      <c r="A638" s="2">
        <v>637</v>
      </c>
      <c r="B638" s="3">
        <v>2</v>
      </c>
    </row>
    <row r="639" spans="1:2" x14ac:dyDescent="0.25">
      <c r="A639" s="2">
        <v>638</v>
      </c>
      <c r="B639" s="3">
        <v>2</v>
      </c>
    </row>
    <row r="640" spans="1:2" x14ac:dyDescent="0.25">
      <c r="A640" s="2">
        <v>639</v>
      </c>
      <c r="B640" s="3">
        <v>2</v>
      </c>
    </row>
    <row r="641" spans="1:2" x14ac:dyDescent="0.25">
      <c r="A641" s="2">
        <v>640</v>
      </c>
      <c r="B641" s="3">
        <v>2</v>
      </c>
    </row>
    <row r="642" spans="1:2" x14ac:dyDescent="0.25">
      <c r="A642" s="2">
        <v>641</v>
      </c>
      <c r="B642" s="3">
        <v>2</v>
      </c>
    </row>
    <row r="643" spans="1:2" x14ac:dyDescent="0.25">
      <c r="A643" s="2">
        <v>642</v>
      </c>
      <c r="B643" s="3">
        <v>2</v>
      </c>
    </row>
    <row r="644" spans="1:2" x14ac:dyDescent="0.25">
      <c r="A644" s="2">
        <v>643</v>
      </c>
      <c r="B644" s="3">
        <v>2</v>
      </c>
    </row>
    <row r="645" spans="1:2" x14ac:dyDescent="0.25">
      <c r="A645" s="2">
        <v>644</v>
      </c>
      <c r="B645" s="3">
        <v>2</v>
      </c>
    </row>
    <row r="646" spans="1:2" x14ac:dyDescent="0.25">
      <c r="A646" s="2">
        <v>645</v>
      </c>
      <c r="B646" s="3">
        <v>2</v>
      </c>
    </row>
    <row r="647" spans="1:2" x14ac:dyDescent="0.25">
      <c r="A647" s="2">
        <v>646</v>
      </c>
      <c r="B647" s="3">
        <v>2</v>
      </c>
    </row>
    <row r="648" spans="1:2" x14ac:dyDescent="0.25">
      <c r="A648" s="2">
        <v>647</v>
      </c>
      <c r="B648" s="3">
        <v>1</v>
      </c>
    </row>
    <row r="649" spans="1:2" x14ac:dyDescent="0.25">
      <c r="A649" s="2">
        <v>648</v>
      </c>
      <c r="B649" s="3">
        <v>1</v>
      </c>
    </row>
    <row r="650" spans="1:2" x14ac:dyDescent="0.25">
      <c r="A650" s="2">
        <v>649</v>
      </c>
      <c r="B650" s="3">
        <v>1</v>
      </c>
    </row>
    <row r="651" spans="1:2" x14ac:dyDescent="0.25">
      <c r="A651" s="2">
        <v>650</v>
      </c>
      <c r="B651" s="3">
        <v>1</v>
      </c>
    </row>
    <row r="652" spans="1:2" x14ac:dyDescent="0.25">
      <c r="A652" s="2">
        <v>651</v>
      </c>
      <c r="B652" s="3">
        <v>1</v>
      </c>
    </row>
    <row r="653" spans="1:2" x14ac:dyDescent="0.25">
      <c r="A653" s="2">
        <v>652</v>
      </c>
      <c r="B653" s="3">
        <v>1</v>
      </c>
    </row>
    <row r="654" spans="1:2" x14ac:dyDescent="0.25">
      <c r="A654" s="2">
        <v>653</v>
      </c>
      <c r="B654" s="3">
        <v>1</v>
      </c>
    </row>
    <row r="655" spans="1:2" x14ac:dyDescent="0.25">
      <c r="A655" s="2">
        <v>654</v>
      </c>
      <c r="B655" s="3">
        <v>1</v>
      </c>
    </row>
    <row r="656" spans="1:2" x14ac:dyDescent="0.25">
      <c r="A656" s="2">
        <v>655</v>
      </c>
      <c r="B656" s="3">
        <v>1</v>
      </c>
    </row>
    <row r="657" spans="1:2" x14ac:dyDescent="0.25">
      <c r="A657" s="2">
        <v>656</v>
      </c>
      <c r="B657" s="3">
        <v>1</v>
      </c>
    </row>
    <row r="658" spans="1:2" x14ac:dyDescent="0.25">
      <c r="A658" s="2">
        <v>657</v>
      </c>
      <c r="B658" s="3">
        <v>1</v>
      </c>
    </row>
    <row r="659" spans="1:2" x14ac:dyDescent="0.25">
      <c r="A659" s="2">
        <v>658</v>
      </c>
      <c r="B659" s="3">
        <v>2</v>
      </c>
    </row>
    <row r="660" spans="1:2" x14ac:dyDescent="0.25">
      <c r="A660" s="2">
        <v>659</v>
      </c>
      <c r="B660" s="3">
        <v>1</v>
      </c>
    </row>
    <row r="661" spans="1:2" x14ac:dyDescent="0.25">
      <c r="A661" s="2">
        <v>660</v>
      </c>
      <c r="B661" s="3">
        <v>1</v>
      </c>
    </row>
    <row r="662" spans="1:2" x14ac:dyDescent="0.25">
      <c r="A662" s="2">
        <v>661</v>
      </c>
      <c r="B662" s="3">
        <v>1</v>
      </c>
    </row>
    <row r="663" spans="1:2" x14ac:dyDescent="0.25">
      <c r="A663" s="2">
        <v>662</v>
      </c>
      <c r="B663" s="3">
        <v>1</v>
      </c>
    </row>
    <row r="664" spans="1:2" x14ac:dyDescent="0.25">
      <c r="A664" s="2">
        <v>663</v>
      </c>
      <c r="B664" s="3">
        <v>1</v>
      </c>
    </row>
    <row r="665" spans="1:2" x14ac:dyDescent="0.25">
      <c r="A665" s="2">
        <v>664</v>
      </c>
      <c r="B665" s="3">
        <v>1</v>
      </c>
    </row>
    <row r="666" spans="1:2" x14ac:dyDescent="0.25">
      <c r="A666" s="2">
        <v>665</v>
      </c>
      <c r="B666" s="3">
        <v>1</v>
      </c>
    </row>
    <row r="667" spans="1:2" x14ac:dyDescent="0.25">
      <c r="A667" s="2">
        <v>666</v>
      </c>
      <c r="B667" s="3">
        <v>1</v>
      </c>
    </row>
    <row r="668" spans="1:2" x14ac:dyDescent="0.25">
      <c r="A668" s="2">
        <v>667</v>
      </c>
      <c r="B668" s="3">
        <v>1</v>
      </c>
    </row>
    <row r="669" spans="1:2" x14ac:dyDescent="0.25">
      <c r="A669" s="2">
        <v>668</v>
      </c>
      <c r="B669" s="3">
        <v>1</v>
      </c>
    </row>
    <row r="670" spans="1:2" x14ac:dyDescent="0.25">
      <c r="A670" s="2">
        <v>669</v>
      </c>
      <c r="B670" s="3">
        <v>1</v>
      </c>
    </row>
    <row r="671" spans="1:2" x14ac:dyDescent="0.25">
      <c r="A671" s="2">
        <v>670</v>
      </c>
      <c r="B671" s="3">
        <v>1</v>
      </c>
    </row>
    <row r="672" spans="1:2" x14ac:dyDescent="0.25">
      <c r="A672" s="2">
        <v>671</v>
      </c>
      <c r="B672" s="3">
        <v>1</v>
      </c>
    </row>
    <row r="673" spans="1:2" x14ac:dyDescent="0.25">
      <c r="A673" s="2">
        <v>672</v>
      </c>
      <c r="B673" s="3">
        <v>1</v>
      </c>
    </row>
    <row r="674" spans="1:2" x14ac:dyDescent="0.25">
      <c r="A674" s="2">
        <v>673</v>
      </c>
      <c r="B674" s="3">
        <v>1</v>
      </c>
    </row>
    <row r="675" spans="1:2" x14ac:dyDescent="0.25">
      <c r="A675" s="2">
        <v>674</v>
      </c>
      <c r="B675" s="3">
        <v>1</v>
      </c>
    </row>
    <row r="676" spans="1:2" x14ac:dyDescent="0.25">
      <c r="A676" s="2">
        <v>675</v>
      </c>
      <c r="B676" s="3">
        <v>1</v>
      </c>
    </row>
    <row r="677" spans="1:2" x14ac:dyDescent="0.25">
      <c r="A677" s="2">
        <v>676</v>
      </c>
      <c r="B677" s="3">
        <v>1</v>
      </c>
    </row>
    <row r="678" spans="1:2" x14ac:dyDescent="0.25">
      <c r="A678" s="2">
        <v>677</v>
      </c>
      <c r="B678" s="3">
        <v>1</v>
      </c>
    </row>
    <row r="679" spans="1:2" x14ac:dyDescent="0.25">
      <c r="A679" s="2">
        <v>678</v>
      </c>
      <c r="B679" s="3">
        <v>1</v>
      </c>
    </row>
    <row r="680" spans="1:2" x14ac:dyDescent="0.25">
      <c r="A680" s="2">
        <v>679</v>
      </c>
      <c r="B680" s="3">
        <v>1</v>
      </c>
    </row>
    <row r="681" spans="1:2" x14ac:dyDescent="0.25">
      <c r="A681" s="2">
        <v>680</v>
      </c>
      <c r="B681" s="3">
        <v>1</v>
      </c>
    </row>
    <row r="682" spans="1:2" x14ac:dyDescent="0.25">
      <c r="A682" s="2">
        <v>681</v>
      </c>
      <c r="B682" s="3">
        <v>1</v>
      </c>
    </row>
    <row r="683" spans="1:2" x14ac:dyDescent="0.25">
      <c r="A683" s="2">
        <v>682</v>
      </c>
      <c r="B683" s="3">
        <v>1</v>
      </c>
    </row>
    <row r="684" spans="1:2" x14ac:dyDescent="0.25">
      <c r="A684" s="2">
        <v>683</v>
      </c>
      <c r="B684" s="3">
        <v>1</v>
      </c>
    </row>
    <row r="685" spans="1:2" x14ac:dyDescent="0.25">
      <c r="A685" s="2">
        <v>684</v>
      </c>
      <c r="B685" s="3">
        <v>1</v>
      </c>
    </row>
    <row r="686" spans="1:2" x14ac:dyDescent="0.25">
      <c r="A686" s="2">
        <v>685</v>
      </c>
      <c r="B686" s="3">
        <v>1</v>
      </c>
    </row>
    <row r="687" spans="1:2" x14ac:dyDescent="0.25">
      <c r="A687" s="2">
        <v>686</v>
      </c>
      <c r="B687" s="3">
        <v>1</v>
      </c>
    </row>
    <row r="688" spans="1:2" x14ac:dyDescent="0.25">
      <c r="A688" s="2">
        <v>687</v>
      </c>
      <c r="B688" s="3">
        <v>1</v>
      </c>
    </row>
    <row r="689" spans="1:2" x14ac:dyDescent="0.25">
      <c r="A689" s="2">
        <v>688</v>
      </c>
      <c r="B689" s="3">
        <v>1</v>
      </c>
    </row>
    <row r="690" spans="1:2" x14ac:dyDescent="0.25">
      <c r="A690" s="2">
        <v>689</v>
      </c>
      <c r="B690" s="3">
        <v>1</v>
      </c>
    </row>
    <row r="691" spans="1:2" x14ac:dyDescent="0.25">
      <c r="A691" s="2">
        <v>690</v>
      </c>
      <c r="B691" s="3">
        <v>1</v>
      </c>
    </row>
    <row r="692" spans="1:2" x14ac:dyDescent="0.25">
      <c r="A692" s="2">
        <v>691</v>
      </c>
      <c r="B692" s="3">
        <v>1</v>
      </c>
    </row>
    <row r="693" spans="1:2" x14ac:dyDescent="0.25">
      <c r="A693" s="2">
        <v>692</v>
      </c>
      <c r="B693" s="3">
        <v>1</v>
      </c>
    </row>
    <row r="694" spans="1:2" x14ac:dyDescent="0.25">
      <c r="A694" s="2">
        <v>693</v>
      </c>
      <c r="B694" s="3">
        <v>1</v>
      </c>
    </row>
    <row r="695" spans="1:2" x14ac:dyDescent="0.25">
      <c r="A695" s="2">
        <v>694</v>
      </c>
      <c r="B695" s="3">
        <v>1</v>
      </c>
    </row>
    <row r="696" spans="1:2" x14ac:dyDescent="0.25">
      <c r="A696" s="2">
        <v>695</v>
      </c>
      <c r="B696" s="3">
        <v>1</v>
      </c>
    </row>
    <row r="697" spans="1:2" x14ac:dyDescent="0.25">
      <c r="A697" s="2">
        <v>696</v>
      </c>
      <c r="B697" s="3">
        <v>1</v>
      </c>
    </row>
    <row r="698" spans="1:2" x14ac:dyDescent="0.25">
      <c r="A698" s="2">
        <v>697</v>
      </c>
      <c r="B698" s="3">
        <v>1</v>
      </c>
    </row>
    <row r="699" spans="1:2" x14ac:dyDescent="0.25">
      <c r="A699" s="2">
        <v>698</v>
      </c>
      <c r="B699" s="3">
        <v>1</v>
      </c>
    </row>
    <row r="700" spans="1:2" x14ac:dyDescent="0.25">
      <c r="A700" s="2">
        <v>699</v>
      </c>
      <c r="B700" s="3">
        <v>1</v>
      </c>
    </row>
    <row r="701" spans="1:2" x14ac:dyDescent="0.25">
      <c r="A701" s="2">
        <v>700</v>
      </c>
      <c r="B701" s="3">
        <v>1</v>
      </c>
    </row>
    <row r="702" spans="1:2" x14ac:dyDescent="0.25">
      <c r="A702" s="2">
        <v>701</v>
      </c>
      <c r="B702" s="3">
        <v>1</v>
      </c>
    </row>
    <row r="703" spans="1:2" x14ac:dyDescent="0.25">
      <c r="A703" s="2">
        <v>702</v>
      </c>
      <c r="B703" s="3">
        <v>1</v>
      </c>
    </row>
    <row r="704" spans="1:2" x14ac:dyDescent="0.25">
      <c r="A704" s="2">
        <v>703</v>
      </c>
      <c r="B704" s="3">
        <v>1</v>
      </c>
    </row>
    <row r="705" spans="1:2" x14ac:dyDescent="0.25">
      <c r="A705" s="2">
        <v>704</v>
      </c>
      <c r="B705" s="3">
        <v>1</v>
      </c>
    </row>
    <row r="706" spans="1:2" x14ac:dyDescent="0.25">
      <c r="A706" s="2">
        <v>705</v>
      </c>
      <c r="B706" s="3">
        <v>1</v>
      </c>
    </row>
    <row r="707" spans="1:2" x14ac:dyDescent="0.25">
      <c r="A707" s="2">
        <v>706</v>
      </c>
      <c r="B707" s="3">
        <v>1</v>
      </c>
    </row>
    <row r="708" spans="1:2" x14ac:dyDescent="0.25">
      <c r="A708" s="2">
        <v>707</v>
      </c>
      <c r="B708" s="3">
        <v>1</v>
      </c>
    </row>
    <row r="709" spans="1:2" x14ac:dyDescent="0.25">
      <c r="A709" s="2">
        <v>708</v>
      </c>
      <c r="B709" s="3">
        <v>1</v>
      </c>
    </row>
    <row r="710" spans="1:2" x14ac:dyDescent="0.25">
      <c r="A710" s="2">
        <v>709</v>
      </c>
      <c r="B710" s="3">
        <v>1</v>
      </c>
    </row>
    <row r="711" spans="1:2" x14ac:dyDescent="0.25">
      <c r="A711" s="2">
        <v>710</v>
      </c>
      <c r="B711" s="3">
        <v>1</v>
      </c>
    </row>
    <row r="712" spans="1:2" x14ac:dyDescent="0.25">
      <c r="A712" s="2">
        <v>711</v>
      </c>
      <c r="B712" s="3">
        <v>1</v>
      </c>
    </row>
    <row r="713" spans="1:2" x14ac:dyDescent="0.25">
      <c r="A713" s="2">
        <v>712</v>
      </c>
      <c r="B713" s="3">
        <v>2</v>
      </c>
    </row>
    <row r="714" spans="1:2" x14ac:dyDescent="0.25">
      <c r="A714" s="2">
        <v>713</v>
      </c>
      <c r="B714" s="3">
        <v>2</v>
      </c>
    </row>
    <row r="715" spans="1:2" x14ac:dyDescent="0.25">
      <c r="A715" s="2">
        <v>714</v>
      </c>
      <c r="B715" s="3">
        <v>2</v>
      </c>
    </row>
    <row r="716" spans="1:2" x14ac:dyDescent="0.25">
      <c r="A716" s="2">
        <v>715</v>
      </c>
      <c r="B716" s="3">
        <v>2</v>
      </c>
    </row>
    <row r="717" spans="1:2" x14ac:dyDescent="0.25">
      <c r="A717" s="2">
        <v>716</v>
      </c>
      <c r="B717" s="3">
        <v>2</v>
      </c>
    </row>
    <row r="718" spans="1:2" x14ac:dyDescent="0.25">
      <c r="A718" s="2">
        <v>717</v>
      </c>
      <c r="B718" s="3">
        <v>2</v>
      </c>
    </row>
    <row r="719" spans="1:2" x14ac:dyDescent="0.25">
      <c r="A719" s="2">
        <v>718</v>
      </c>
      <c r="B719" s="3">
        <v>2</v>
      </c>
    </row>
    <row r="720" spans="1:2" x14ac:dyDescent="0.25">
      <c r="A720" s="2">
        <v>719</v>
      </c>
      <c r="B720" s="3">
        <v>2</v>
      </c>
    </row>
    <row r="721" spans="1:2" x14ac:dyDescent="0.25">
      <c r="A721" s="2">
        <v>720</v>
      </c>
      <c r="B721" s="3">
        <v>2</v>
      </c>
    </row>
    <row r="722" spans="1:2" x14ac:dyDescent="0.25">
      <c r="A722" s="2">
        <v>721</v>
      </c>
      <c r="B722" s="3">
        <v>2</v>
      </c>
    </row>
    <row r="723" spans="1:2" x14ac:dyDescent="0.25">
      <c r="A723" s="2">
        <v>722</v>
      </c>
      <c r="B723" s="3">
        <v>2</v>
      </c>
    </row>
    <row r="724" spans="1:2" x14ac:dyDescent="0.25">
      <c r="A724" s="2">
        <v>723</v>
      </c>
      <c r="B724" s="3">
        <v>2</v>
      </c>
    </row>
    <row r="725" spans="1:2" x14ac:dyDescent="0.25">
      <c r="A725" s="2">
        <v>724</v>
      </c>
      <c r="B725" s="3">
        <v>2</v>
      </c>
    </row>
    <row r="726" spans="1:2" x14ac:dyDescent="0.25">
      <c r="A726" s="2">
        <v>725</v>
      </c>
      <c r="B726" s="3">
        <v>1</v>
      </c>
    </row>
    <row r="727" spans="1:2" x14ac:dyDescent="0.25">
      <c r="A727" s="2">
        <v>726</v>
      </c>
      <c r="B727" s="3">
        <v>1</v>
      </c>
    </row>
    <row r="728" spans="1:2" x14ac:dyDescent="0.25">
      <c r="A728" s="2">
        <v>727</v>
      </c>
      <c r="B728" s="3">
        <v>1</v>
      </c>
    </row>
    <row r="729" spans="1:2" x14ac:dyDescent="0.25">
      <c r="A729" s="2">
        <v>728</v>
      </c>
      <c r="B729" s="3">
        <v>1</v>
      </c>
    </row>
    <row r="730" spans="1:2" x14ac:dyDescent="0.25">
      <c r="A730" s="2">
        <v>729</v>
      </c>
      <c r="B730" s="3">
        <v>1</v>
      </c>
    </row>
    <row r="731" spans="1:2" x14ac:dyDescent="0.25">
      <c r="A731" s="2">
        <v>730</v>
      </c>
      <c r="B731" s="3">
        <v>1</v>
      </c>
    </row>
    <row r="732" spans="1:2" x14ac:dyDescent="0.25">
      <c r="A732" s="2">
        <v>731</v>
      </c>
      <c r="B732" s="3">
        <v>1</v>
      </c>
    </row>
    <row r="733" spans="1:2" x14ac:dyDescent="0.25">
      <c r="A733" s="2">
        <v>732</v>
      </c>
      <c r="B733" s="3">
        <v>1</v>
      </c>
    </row>
    <row r="734" spans="1:2" x14ac:dyDescent="0.25">
      <c r="A734" s="2">
        <v>733</v>
      </c>
      <c r="B734" s="3">
        <v>1</v>
      </c>
    </row>
    <row r="735" spans="1:2" x14ac:dyDescent="0.25">
      <c r="A735" s="2">
        <v>734</v>
      </c>
      <c r="B735" s="3">
        <v>1</v>
      </c>
    </row>
    <row r="736" spans="1:2" x14ac:dyDescent="0.25">
      <c r="A736" s="2">
        <v>735</v>
      </c>
      <c r="B736" s="3">
        <v>1</v>
      </c>
    </row>
    <row r="737" spans="1:2" x14ac:dyDescent="0.25">
      <c r="A737" s="2">
        <v>736</v>
      </c>
      <c r="B737" s="3">
        <v>1</v>
      </c>
    </row>
    <row r="738" spans="1:2" x14ac:dyDescent="0.25">
      <c r="A738" s="2">
        <v>737</v>
      </c>
      <c r="B738" s="3">
        <v>1</v>
      </c>
    </row>
    <row r="739" spans="1:2" x14ac:dyDescent="0.25">
      <c r="A739" s="2">
        <v>738</v>
      </c>
      <c r="B739" s="3">
        <v>1</v>
      </c>
    </row>
    <row r="740" spans="1:2" x14ac:dyDescent="0.25">
      <c r="A740" s="2">
        <v>739</v>
      </c>
      <c r="B740" s="3">
        <v>1</v>
      </c>
    </row>
    <row r="741" spans="1:2" x14ac:dyDescent="0.25">
      <c r="A741" s="2">
        <v>740</v>
      </c>
      <c r="B741" s="3">
        <v>1</v>
      </c>
    </row>
    <row r="742" spans="1:2" x14ac:dyDescent="0.25">
      <c r="A742" s="2">
        <v>741</v>
      </c>
      <c r="B742" s="3">
        <v>1</v>
      </c>
    </row>
    <row r="743" spans="1:2" x14ac:dyDescent="0.25">
      <c r="A743" s="2">
        <v>742</v>
      </c>
      <c r="B743" s="3">
        <v>2</v>
      </c>
    </row>
    <row r="744" spans="1:2" x14ac:dyDescent="0.25">
      <c r="A744" s="2">
        <v>743</v>
      </c>
      <c r="B744" s="3">
        <v>2</v>
      </c>
    </row>
    <row r="745" spans="1:2" x14ac:dyDescent="0.25">
      <c r="A745" s="2">
        <v>744</v>
      </c>
      <c r="B745" s="3">
        <v>2</v>
      </c>
    </row>
    <row r="746" spans="1:2" x14ac:dyDescent="0.25">
      <c r="A746" s="2">
        <v>745</v>
      </c>
      <c r="B746" s="3">
        <v>2</v>
      </c>
    </row>
    <row r="747" spans="1:2" x14ac:dyDescent="0.25">
      <c r="A747" s="2">
        <v>746</v>
      </c>
      <c r="B747" s="3">
        <v>2</v>
      </c>
    </row>
    <row r="748" spans="1:2" x14ac:dyDescent="0.25">
      <c r="A748" s="2">
        <v>747</v>
      </c>
      <c r="B748" s="3">
        <v>1</v>
      </c>
    </row>
    <row r="749" spans="1:2" x14ac:dyDescent="0.25">
      <c r="A749" s="2">
        <v>748</v>
      </c>
      <c r="B749" s="3">
        <v>1</v>
      </c>
    </row>
    <row r="750" spans="1:2" x14ac:dyDescent="0.25">
      <c r="A750" s="2">
        <v>749</v>
      </c>
      <c r="B750" s="3">
        <v>1</v>
      </c>
    </row>
    <row r="751" spans="1:2" x14ac:dyDescent="0.25">
      <c r="A751" s="2">
        <v>750</v>
      </c>
      <c r="B751" s="3">
        <v>1</v>
      </c>
    </row>
    <row r="752" spans="1:2" x14ac:dyDescent="0.25">
      <c r="A752" s="2">
        <v>751</v>
      </c>
      <c r="B752" s="3">
        <v>1</v>
      </c>
    </row>
    <row r="753" spans="1:2" x14ac:dyDescent="0.25">
      <c r="A753" s="2">
        <v>752</v>
      </c>
      <c r="B753" s="3">
        <v>1</v>
      </c>
    </row>
    <row r="754" spans="1:2" x14ac:dyDescent="0.25">
      <c r="A754" s="2">
        <v>753</v>
      </c>
      <c r="B754" s="3">
        <v>1</v>
      </c>
    </row>
    <row r="755" spans="1:2" x14ac:dyDescent="0.25">
      <c r="A755" s="2">
        <v>754</v>
      </c>
      <c r="B755" s="3">
        <v>1</v>
      </c>
    </row>
    <row r="756" spans="1:2" x14ac:dyDescent="0.25">
      <c r="A756" s="2">
        <v>755</v>
      </c>
      <c r="B756" s="3">
        <v>1</v>
      </c>
    </row>
    <row r="757" spans="1:2" x14ac:dyDescent="0.25">
      <c r="A757" s="2">
        <v>756</v>
      </c>
      <c r="B757" s="3">
        <v>1</v>
      </c>
    </row>
    <row r="758" spans="1:2" x14ac:dyDescent="0.25">
      <c r="A758" s="2">
        <v>757</v>
      </c>
      <c r="B758" s="3">
        <v>1</v>
      </c>
    </row>
    <row r="759" spans="1:2" x14ac:dyDescent="0.25">
      <c r="A759" s="2">
        <v>758</v>
      </c>
      <c r="B759" s="3">
        <v>1</v>
      </c>
    </row>
    <row r="760" spans="1:2" x14ac:dyDescent="0.25">
      <c r="A760" s="2">
        <v>759</v>
      </c>
      <c r="B760" s="3">
        <v>1</v>
      </c>
    </row>
    <row r="761" spans="1:2" x14ac:dyDescent="0.25">
      <c r="A761" s="2">
        <v>760</v>
      </c>
      <c r="B761" s="3">
        <v>1</v>
      </c>
    </row>
    <row r="762" spans="1:2" x14ac:dyDescent="0.25">
      <c r="A762" s="2">
        <v>761</v>
      </c>
      <c r="B762" s="3">
        <v>1</v>
      </c>
    </row>
    <row r="763" spans="1:2" x14ac:dyDescent="0.25">
      <c r="A763" s="2">
        <v>762</v>
      </c>
      <c r="B763" s="3">
        <v>1</v>
      </c>
    </row>
    <row r="764" spans="1:2" x14ac:dyDescent="0.25">
      <c r="A764" s="2">
        <v>763</v>
      </c>
      <c r="B764" s="3">
        <v>1</v>
      </c>
    </row>
    <row r="765" spans="1:2" x14ac:dyDescent="0.25">
      <c r="A765" s="2">
        <v>764</v>
      </c>
      <c r="B765" s="3">
        <v>1</v>
      </c>
    </row>
    <row r="766" spans="1:2" x14ac:dyDescent="0.25">
      <c r="A766" s="2">
        <v>765</v>
      </c>
      <c r="B766" s="3">
        <v>1</v>
      </c>
    </row>
    <row r="767" spans="1:2" x14ac:dyDescent="0.25">
      <c r="A767" s="2">
        <v>766</v>
      </c>
      <c r="B767" s="3">
        <v>1</v>
      </c>
    </row>
    <row r="768" spans="1:2" x14ac:dyDescent="0.25">
      <c r="A768" s="2">
        <v>767</v>
      </c>
      <c r="B768" s="3">
        <v>1</v>
      </c>
    </row>
    <row r="769" spans="1:2" x14ac:dyDescent="0.25">
      <c r="A769" s="2">
        <v>768</v>
      </c>
      <c r="B769" s="3">
        <v>1</v>
      </c>
    </row>
    <row r="770" spans="1:2" x14ac:dyDescent="0.25">
      <c r="A770" s="2">
        <v>769</v>
      </c>
      <c r="B770" s="3">
        <v>1</v>
      </c>
    </row>
    <row r="771" spans="1:2" x14ac:dyDescent="0.25">
      <c r="A771" s="2">
        <v>770</v>
      </c>
      <c r="B771" s="3">
        <v>1</v>
      </c>
    </row>
    <row r="772" spans="1:2" x14ac:dyDescent="0.25">
      <c r="A772" s="2">
        <v>771</v>
      </c>
      <c r="B772" s="3">
        <v>1</v>
      </c>
    </row>
    <row r="773" spans="1:2" x14ac:dyDescent="0.25">
      <c r="A773" s="2">
        <v>772</v>
      </c>
      <c r="B773" s="3">
        <v>1</v>
      </c>
    </row>
    <row r="774" spans="1:2" x14ac:dyDescent="0.25">
      <c r="A774" s="2">
        <v>773</v>
      </c>
      <c r="B774" s="3">
        <v>1</v>
      </c>
    </row>
    <row r="775" spans="1:2" x14ac:dyDescent="0.25">
      <c r="A775" s="2">
        <v>774</v>
      </c>
      <c r="B775" s="3">
        <v>1</v>
      </c>
    </row>
    <row r="776" spans="1:2" x14ac:dyDescent="0.25">
      <c r="A776" s="2">
        <v>775</v>
      </c>
      <c r="B776" s="3">
        <v>1</v>
      </c>
    </row>
    <row r="777" spans="1:2" x14ac:dyDescent="0.25">
      <c r="A777" s="2">
        <v>776</v>
      </c>
      <c r="B777" s="3">
        <v>1</v>
      </c>
    </row>
    <row r="778" spans="1:2" x14ac:dyDescent="0.25">
      <c r="A778" s="2">
        <v>777</v>
      </c>
      <c r="B778" s="3">
        <v>1</v>
      </c>
    </row>
    <row r="779" spans="1:2" x14ac:dyDescent="0.25">
      <c r="A779" s="2">
        <v>778</v>
      </c>
      <c r="B779" s="3">
        <v>1</v>
      </c>
    </row>
    <row r="780" spans="1:2" x14ac:dyDescent="0.25">
      <c r="A780" s="2">
        <v>779</v>
      </c>
      <c r="B780" s="3">
        <v>1</v>
      </c>
    </row>
    <row r="781" spans="1:2" x14ac:dyDescent="0.25">
      <c r="A781" s="2">
        <v>780</v>
      </c>
      <c r="B781" s="3">
        <v>1</v>
      </c>
    </row>
    <row r="782" spans="1:2" x14ac:dyDescent="0.25">
      <c r="A782" s="2">
        <v>781</v>
      </c>
      <c r="B782" s="3">
        <v>1</v>
      </c>
    </row>
    <row r="783" spans="1:2" x14ac:dyDescent="0.25">
      <c r="A783" s="2">
        <v>782</v>
      </c>
      <c r="B783" s="3">
        <v>1</v>
      </c>
    </row>
    <row r="784" spans="1:2" x14ac:dyDescent="0.25">
      <c r="A784" s="2">
        <v>783</v>
      </c>
      <c r="B784" s="3">
        <v>1</v>
      </c>
    </row>
    <row r="785" spans="1:2" x14ac:dyDescent="0.25">
      <c r="A785" s="2">
        <v>784</v>
      </c>
      <c r="B785" s="3">
        <v>1</v>
      </c>
    </row>
    <row r="786" spans="1:2" x14ac:dyDescent="0.25">
      <c r="A786" s="2">
        <v>785</v>
      </c>
      <c r="B786" s="3">
        <v>1</v>
      </c>
    </row>
    <row r="787" spans="1:2" x14ac:dyDescent="0.25">
      <c r="A787" s="2">
        <v>786</v>
      </c>
      <c r="B787" s="3">
        <v>1</v>
      </c>
    </row>
    <row r="788" spans="1:2" x14ac:dyDescent="0.25">
      <c r="A788" s="2">
        <v>787</v>
      </c>
      <c r="B788" s="3">
        <v>1</v>
      </c>
    </row>
    <row r="789" spans="1:2" x14ac:dyDescent="0.25">
      <c r="A789" s="2">
        <v>788</v>
      </c>
      <c r="B789" s="3">
        <v>1</v>
      </c>
    </row>
    <row r="790" spans="1:2" x14ac:dyDescent="0.25">
      <c r="A790" s="2">
        <v>789</v>
      </c>
      <c r="B790" s="3">
        <v>1</v>
      </c>
    </row>
    <row r="791" spans="1:2" x14ac:dyDescent="0.25">
      <c r="A791" s="2">
        <v>790</v>
      </c>
      <c r="B791" s="3">
        <v>1</v>
      </c>
    </row>
    <row r="792" spans="1:2" x14ac:dyDescent="0.25">
      <c r="A792" s="2">
        <v>791</v>
      </c>
      <c r="B792" s="3">
        <v>1</v>
      </c>
    </row>
    <row r="793" spans="1:2" x14ac:dyDescent="0.25">
      <c r="A793" s="2">
        <v>792</v>
      </c>
      <c r="B793" s="3">
        <v>1</v>
      </c>
    </row>
    <row r="794" spans="1:2" x14ac:dyDescent="0.25">
      <c r="A794" s="2">
        <v>793</v>
      </c>
      <c r="B794" s="3">
        <v>1</v>
      </c>
    </row>
    <row r="795" spans="1:2" x14ac:dyDescent="0.25">
      <c r="A795" s="2">
        <v>794</v>
      </c>
      <c r="B795" s="3">
        <v>1</v>
      </c>
    </row>
    <row r="796" spans="1:2" x14ac:dyDescent="0.25">
      <c r="A796" s="2">
        <v>795</v>
      </c>
      <c r="B796" s="3">
        <v>1</v>
      </c>
    </row>
    <row r="797" spans="1:2" x14ac:dyDescent="0.25">
      <c r="A797" s="2">
        <v>796</v>
      </c>
      <c r="B797" s="3">
        <v>1</v>
      </c>
    </row>
    <row r="798" spans="1:2" x14ac:dyDescent="0.25">
      <c r="A798" s="2">
        <v>797</v>
      </c>
      <c r="B798" s="3">
        <v>1</v>
      </c>
    </row>
    <row r="799" spans="1:2" x14ac:dyDescent="0.25">
      <c r="A799" s="2">
        <v>798</v>
      </c>
      <c r="B799" s="3">
        <v>1</v>
      </c>
    </row>
    <row r="800" spans="1:2" x14ac:dyDescent="0.25">
      <c r="A800" s="2">
        <v>799</v>
      </c>
      <c r="B800" s="3">
        <v>1</v>
      </c>
    </row>
    <row r="801" spans="1:2" x14ac:dyDescent="0.25">
      <c r="A801" s="2">
        <v>800</v>
      </c>
      <c r="B801" s="3">
        <v>1</v>
      </c>
    </row>
    <row r="802" spans="1:2" x14ac:dyDescent="0.25">
      <c r="A802" s="2">
        <v>801</v>
      </c>
      <c r="B802" s="3">
        <v>1</v>
      </c>
    </row>
    <row r="803" spans="1:2" x14ac:dyDescent="0.25">
      <c r="A803" s="2">
        <v>802</v>
      </c>
      <c r="B803" s="3">
        <v>1</v>
      </c>
    </row>
    <row r="804" spans="1:2" x14ac:dyDescent="0.25">
      <c r="A804" s="2">
        <v>803</v>
      </c>
      <c r="B804" s="3">
        <v>1</v>
      </c>
    </row>
    <row r="805" spans="1:2" x14ac:dyDescent="0.25">
      <c r="A805" s="2">
        <v>804</v>
      </c>
      <c r="B805" s="3">
        <v>1</v>
      </c>
    </row>
    <row r="806" spans="1:2" x14ac:dyDescent="0.25">
      <c r="A806" s="2">
        <v>805</v>
      </c>
      <c r="B806" s="3">
        <v>1</v>
      </c>
    </row>
    <row r="807" spans="1:2" x14ac:dyDescent="0.25">
      <c r="A807" s="2">
        <v>806</v>
      </c>
      <c r="B807" s="3">
        <v>1</v>
      </c>
    </row>
    <row r="808" spans="1:2" x14ac:dyDescent="0.25">
      <c r="A808" s="2">
        <v>807</v>
      </c>
      <c r="B808" s="3">
        <v>1</v>
      </c>
    </row>
    <row r="809" spans="1:2" x14ac:dyDescent="0.25">
      <c r="A809" s="2">
        <v>808</v>
      </c>
      <c r="B809" s="3">
        <v>1</v>
      </c>
    </row>
    <row r="810" spans="1:2" x14ac:dyDescent="0.25">
      <c r="A810" s="2">
        <v>809</v>
      </c>
      <c r="B810" s="3">
        <v>1</v>
      </c>
    </row>
    <row r="811" spans="1:2" x14ac:dyDescent="0.25">
      <c r="A811" s="2">
        <v>810</v>
      </c>
      <c r="B811" s="3">
        <v>1</v>
      </c>
    </row>
    <row r="812" spans="1:2" x14ac:dyDescent="0.25">
      <c r="A812" s="2">
        <v>811</v>
      </c>
      <c r="B812" s="3">
        <v>1</v>
      </c>
    </row>
    <row r="813" spans="1:2" x14ac:dyDescent="0.25">
      <c r="A813" s="2">
        <v>812</v>
      </c>
      <c r="B813" s="3">
        <v>1</v>
      </c>
    </row>
    <row r="814" spans="1:2" x14ac:dyDescent="0.25">
      <c r="A814" s="2">
        <v>813</v>
      </c>
      <c r="B814" s="3">
        <v>1</v>
      </c>
    </row>
    <row r="815" spans="1:2" x14ac:dyDescent="0.25">
      <c r="A815" s="2">
        <v>814</v>
      </c>
      <c r="B815" s="3">
        <v>1</v>
      </c>
    </row>
    <row r="816" spans="1:2" x14ac:dyDescent="0.25">
      <c r="A816" s="2">
        <v>815</v>
      </c>
      <c r="B816" s="3">
        <v>1</v>
      </c>
    </row>
    <row r="817" spans="1:2" x14ac:dyDescent="0.25">
      <c r="A817" s="2">
        <v>816</v>
      </c>
      <c r="B817" s="3">
        <v>1</v>
      </c>
    </row>
    <row r="818" spans="1:2" x14ac:dyDescent="0.25">
      <c r="A818" s="2">
        <v>817</v>
      </c>
      <c r="B818" s="3">
        <v>1</v>
      </c>
    </row>
    <row r="819" spans="1:2" x14ac:dyDescent="0.25">
      <c r="A819" s="2">
        <v>818</v>
      </c>
      <c r="B819" s="3">
        <v>1</v>
      </c>
    </row>
    <row r="820" spans="1:2" x14ac:dyDescent="0.25">
      <c r="A820" s="2">
        <v>819</v>
      </c>
      <c r="B820" s="3">
        <v>1</v>
      </c>
    </row>
    <row r="821" spans="1:2" x14ac:dyDescent="0.25">
      <c r="A821" s="2">
        <v>820</v>
      </c>
      <c r="B821" s="3">
        <v>1</v>
      </c>
    </row>
    <row r="822" spans="1:2" x14ac:dyDescent="0.25">
      <c r="A822" s="2">
        <v>821</v>
      </c>
      <c r="B822" s="3">
        <v>1</v>
      </c>
    </row>
    <row r="823" spans="1:2" x14ac:dyDescent="0.25">
      <c r="A823" s="2">
        <v>822</v>
      </c>
      <c r="B823" s="3">
        <v>1</v>
      </c>
    </row>
    <row r="824" spans="1:2" x14ac:dyDescent="0.25">
      <c r="A824" s="2">
        <v>823</v>
      </c>
      <c r="B824" s="3">
        <v>1</v>
      </c>
    </row>
    <row r="825" spans="1:2" x14ac:dyDescent="0.25">
      <c r="A825" s="2">
        <v>824</v>
      </c>
      <c r="B825" s="3">
        <v>1</v>
      </c>
    </row>
    <row r="826" spans="1:2" x14ac:dyDescent="0.25">
      <c r="A826" s="2">
        <v>825</v>
      </c>
      <c r="B826" s="3">
        <v>1</v>
      </c>
    </row>
    <row r="827" spans="1:2" x14ac:dyDescent="0.25">
      <c r="A827" s="2">
        <v>826</v>
      </c>
      <c r="B827" s="3">
        <v>1</v>
      </c>
    </row>
    <row r="828" spans="1:2" x14ac:dyDescent="0.25">
      <c r="A828" s="2">
        <v>827</v>
      </c>
      <c r="B828" s="3">
        <v>1</v>
      </c>
    </row>
    <row r="829" spans="1:2" x14ac:dyDescent="0.25">
      <c r="A829" s="2">
        <v>828</v>
      </c>
      <c r="B829" s="3">
        <v>1</v>
      </c>
    </row>
    <row r="830" spans="1:2" x14ac:dyDescent="0.25">
      <c r="A830" s="2">
        <v>829</v>
      </c>
      <c r="B830" s="3">
        <v>1</v>
      </c>
    </row>
    <row r="831" spans="1:2" x14ac:dyDescent="0.25">
      <c r="A831" s="2">
        <v>830</v>
      </c>
      <c r="B831" s="3">
        <v>1</v>
      </c>
    </row>
    <row r="832" spans="1:2" x14ac:dyDescent="0.25">
      <c r="A832" s="2">
        <v>831</v>
      </c>
      <c r="B832" s="3">
        <v>1</v>
      </c>
    </row>
    <row r="833" spans="1:2" x14ac:dyDescent="0.25">
      <c r="A833" s="2">
        <v>832</v>
      </c>
      <c r="B833" s="3">
        <v>2</v>
      </c>
    </row>
    <row r="834" spans="1:2" x14ac:dyDescent="0.25">
      <c r="A834" s="2">
        <v>833</v>
      </c>
      <c r="B834" s="3">
        <v>2</v>
      </c>
    </row>
    <row r="835" spans="1:2" x14ac:dyDescent="0.25">
      <c r="A835" s="2">
        <v>834</v>
      </c>
      <c r="B835" s="3">
        <v>2</v>
      </c>
    </row>
    <row r="836" spans="1:2" x14ac:dyDescent="0.25">
      <c r="A836" s="2">
        <v>835</v>
      </c>
      <c r="B836" s="3">
        <v>2</v>
      </c>
    </row>
    <row r="837" spans="1:2" x14ac:dyDescent="0.25">
      <c r="A837" s="2">
        <v>836</v>
      </c>
      <c r="B837" s="3">
        <v>2</v>
      </c>
    </row>
    <row r="838" spans="1:2" x14ac:dyDescent="0.25">
      <c r="A838" s="2">
        <v>837</v>
      </c>
      <c r="B838" s="3">
        <v>2</v>
      </c>
    </row>
    <row r="839" spans="1:2" x14ac:dyDescent="0.25">
      <c r="A839" s="2">
        <v>838</v>
      </c>
      <c r="B839" s="3">
        <v>2</v>
      </c>
    </row>
    <row r="840" spans="1:2" x14ac:dyDescent="0.25">
      <c r="A840" s="2">
        <v>839</v>
      </c>
      <c r="B840" s="3">
        <v>2</v>
      </c>
    </row>
    <row r="841" spans="1:2" x14ac:dyDescent="0.25">
      <c r="A841" s="2">
        <v>840</v>
      </c>
      <c r="B841" s="3">
        <v>2</v>
      </c>
    </row>
    <row r="842" spans="1:2" x14ac:dyDescent="0.25">
      <c r="A842" s="2">
        <v>841</v>
      </c>
      <c r="B842" s="3">
        <v>2</v>
      </c>
    </row>
    <row r="843" spans="1:2" x14ac:dyDescent="0.25">
      <c r="A843" s="2">
        <v>842</v>
      </c>
      <c r="B843" s="3">
        <v>2</v>
      </c>
    </row>
    <row r="844" spans="1:2" x14ac:dyDescent="0.25">
      <c r="A844" s="2">
        <v>843</v>
      </c>
      <c r="B844" s="3">
        <v>2</v>
      </c>
    </row>
    <row r="845" spans="1:2" x14ac:dyDescent="0.25">
      <c r="A845" s="2">
        <v>844</v>
      </c>
      <c r="B845" s="3">
        <v>2</v>
      </c>
    </row>
    <row r="846" spans="1:2" x14ac:dyDescent="0.25">
      <c r="A846" s="2">
        <v>845</v>
      </c>
      <c r="B846" s="3">
        <v>2</v>
      </c>
    </row>
    <row r="847" spans="1:2" x14ac:dyDescent="0.25">
      <c r="A847" s="2">
        <v>846</v>
      </c>
      <c r="B847" s="3">
        <v>2</v>
      </c>
    </row>
    <row r="848" spans="1:2" x14ac:dyDescent="0.25">
      <c r="A848" s="2">
        <v>847</v>
      </c>
      <c r="B848" s="3">
        <v>2</v>
      </c>
    </row>
    <row r="849" spans="1:2" x14ac:dyDescent="0.25">
      <c r="A849" s="2">
        <v>848</v>
      </c>
      <c r="B849" s="3">
        <v>2</v>
      </c>
    </row>
    <row r="850" spans="1:2" x14ac:dyDescent="0.25">
      <c r="A850" s="2">
        <v>849</v>
      </c>
      <c r="B850" s="3">
        <v>2</v>
      </c>
    </row>
    <row r="851" spans="1:2" x14ac:dyDescent="0.25">
      <c r="A851" s="2">
        <v>850</v>
      </c>
      <c r="B851" s="3">
        <v>2</v>
      </c>
    </row>
    <row r="852" spans="1:2" x14ac:dyDescent="0.25">
      <c r="A852" s="2">
        <v>851</v>
      </c>
      <c r="B852" s="3">
        <v>2</v>
      </c>
    </row>
    <row r="853" spans="1:2" x14ac:dyDescent="0.25">
      <c r="A853" s="2">
        <v>852</v>
      </c>
      <c r="B853" s="3">
        <v>2</v>
      </c>
    </row>
    <row r="854" spans="1:2" x14ac:dyDescent="0.25">
      <c r="A854" s="2">
        <v>853</v>
      </c>
      <c r="B854" s="3">
        <v>2</v>
      </c>
    </row>
    <row r="855" spans="1:2" x14ac:dyDescent="0.25">
      <c r="A855" s="2">
        <v>854</v>
      </c>
      <c r="B855" s="3">
        <v>2</v>
      </c>
    </row>
    <row r="856" spans="1:2" x14ac:dyDescent="0.25">
      <c r="A856" s="2">
        <v>855</v>
      </c>
      <c r="B856" s="3">
        <v>2</v>
      </c>
    </row>
    <row r="857" spans="1:2" x14ac:dyDescent="0.25">
      <c r="A857" s="2">
        <v>856</v>
      </c>
      <c r="B857" s="3">
        <v>2</v>
      </c>
    </row>
    <row r="858" spans="1:2" x14ac:dyDescent="0.25">
      <c r="A858" s="2">
        <v>857</v>
      </c>
      <c r="B858" s="3">
        <v>2</v>
      </c>
    </row>
    <row r="859" spans="1:2" x14ac:dyDescent="0.25">
      <c r="A859" s="2">
        <v>858</v>
      </c>
      <c r="B859" s="3">
        <v>2</v>
      </c>
    </row>
    <row r="860" spans="1:2" x14ac:dyDescent="0.25">
      <c r="A860" s="2">
        <v>859</v>
      </c>
      <c r="B860" s="3">
        <v>2</v>
      </c>
    </row>
    <row r="861" spans="1:2" x14ac:dyDescent="0.25">
      <c r="A861" s="2">
        <v>860</v>
      </c>
      <c r="B861" s="3">
        <v>2</v>
      </c>
    </row>
    <row r="862" spans="1:2" x14ac:dyDescent="0.25">
      <c r="A862" s="2">
        <v>861</v>
      </c>
      <c r="B862" s="3">
        <v>2</v>
      </c>
    </row>
    <row r="863" spans="1:2" x14ac:dyDescent="0.25">
      <c r="A863" s="2">
        <v>862</v>
      </c>
      <c r="B863" s="3">
        <v>2</v>
      </c>
    </row>
    <row r="864" spans="1:2" x14ac:dyDescent="0.25">
      <c r="A864" s="2">
        <v>863</v>
      </c>
      <c r="B864" s="3">
        <v>2</v>
      </c>
    </row>
    <row r="865" spans="1:2" x14ac:dyDescent="0.25">
      <c r="A865" s="2">
        <v>864</v>
      </c>
      <c r="B865" s="3">
        <v>2</v>
      </c>
    </row>
    <row r="866" spans="1:2" x14ac:dyDescent="0.25">
      <c r="A866" s="2">
        <v>865</v>
      </c>
      <c r="B866" s="3">
        <v>2</v>
      </c>
    </row>
    <row r="867" spans="1:2" x14ac:dyDescent="0.25">
      <c r="A867" s="2">
        <v>866</v>
      </c>
      <c r="B867" s="3">
        <v>2</v>
      </c>
    </row>
    <row r="868" spans="1:2" x14ac:dyDescent="0.25">
      <c r="A868" s="2">
        <v>867</v>
      </c>
      <c r="B868" s="3">
        <v>2</v>
      </c>
    </row>
    <row r="869" spans="1:2" x14ac:dyDescent="0.25">
      <c r="A869" s="2">
        <v>868</v>
      </c>
      <c r="B869" s="3">
        <v>2</v>
      </c>
    </row>
    <row r="870" spans="1:2" x14ac:dyDescent="0.25">
      <c r="A870" s="2">
        <v>869</v>
      </c>
      <c r="B870" s="3">
        <v>2</v>
      </c>
    </row>
    <row r="871" spans="1:2" x14ac:dyDescent="0.25">
      <c r="A871" s="2">
        <v>870</v>
      </c>
      <c r="B871" s="3">
        <v>2</v>
      </c>
    </row>
    <row r="872" spans="1:2" x14ac:dyDescent="0.25">
      <c r="A872" s="2">
        <v>871</v>
      </c>
      <c r="B872" s="3">
        <v>2</v>
      </c>
    </row>
    <row r="873" spans="1:2" x14ac:dyDescent="0.25">
      <c r="A873" s="2">
        <v>872</v>
      </c>
      <c r="B873" s="3">
        <v>1</v>
      </c>
    </row>
    <row r="874" spans="1:2" x14ac:dyDescent="0.25">
      <c r="A874" s="2">
        <v>873</v>
      </c>
      <c r="B874" s="3">
        <v>1</v>
      </c>
    </row>
    <row r="875" spans="1:2" x14ac:dyDescent="0.25">
      <c r="A875" s="2">
        <v>874</v>
      </c>
      <c r="B875" s="3">
        <v>1</v>
      </c>
    </row>
    <row r="876" spans="1:2" x14ac:dyDescent="0.25">
      <c r="A876" s="2">
        <v>875</v>
      </c>
      <c r="B876" s="3">
        <v>1</v>
      </c>
    </row>
    <row r="877" spans="1:2" x14ac:dyDescent="0.25">
      <c r="A877" s="2">
        <v>876</v>
      </c>
      <c r="B877" s="3">
        <v>1</v>
      </c>
    </row>
    <row r="878" spans="1:2" x14ac:dyDescent="0.25">
      <c r="A878" s="2">
        <v>877</v>
      </c>
      <c r="B878" s="3">
        <v>2</v>
      </c>
    </row>
    <row r="879" spans="1:2" x14ac:dyDescent="0.25">
      <c r="A879" s="2">
        <v>878</v>
      </c>
      <c r="B879" s="3">
        <v>2</v>
      </c>
    </row>
    <row r="880" spans="1:2" x14ac:dyDescent="0.25">
      <c r="A880" s="2">
        <v>879</v>
      </c>
      <c r="B880" s="3">
        <v>2</v>
      </c>
    </row>
    <row r="881" spans="1:2" x14ac:dyDescent="0.25">
      <c r="A881" s="2">
        <v>880</v>
      </c>
      <c r="B881" s="3">
        <v>2</v>
      </c>
    </row>
    <row r="882" spans="1:2" x14ac:dyDescent="0.25">
      <c r="A882" s="2">
        <v>881</v>
      </c>
      <c r="B882" s="3">
        <v>2</v>
      </c>
    </row>
    <row r="883" spans="1:2" x14ac:dyDescent="0.25">
      <c r="A883" s="2">
        <v>882</v>
      </c>
      <c r="B883" s="3">
        <v>2</v>
      </c>
    </row>
    <row r="884" spans="1:2" x14ac:dyDescent="0.25">
      <c r="A884" s="2">
        <v>883</v>
      </c>
      <c r="B884" s="3">
        <v>2</v>
      </c>
    </row>
    <row r="885" spans="1:2" x14ac:dyDescent="0.25">
      <c r="A885" s="2">
        <v>884</v>
      </c>
      <c r="B885" s="3">
        <v>2</v>
      </c>
    </row>
    <row r="886" spans="1:2" x14ac:dyDescent="0.25">
      <c r="A886" s="2">
        <v>885</v>
      </c>
      <c r="B886" s="3">
        <v>2</v>
      </c>
    </row>
    <row r="887" spans="1:2" x14ac:dyDescent="0.25">
      <c r="A887" s="2">
        <v>886</v>
      </c>
      <c r="B887" s="3">
        <v>2</v>
      </c>
    </row>
    <row r="888" spans="1:2" x14ac:dyDescent="0.25">
      <c r="A888" s="2">
        <v>887</v>
      </c>
      <c r="B888" s="3">
        <v>2</v>
      </c>
    </row>
    <row r="889" spans="1:2" x14ac:dyDescent="0.25">
      <c r="A889" s="2">
        <v>888</v>
      </c>
      <c r="B889" s="3">
        <v>2</v>
      </c>
    </row>
    <row r="890" spans="1:2" x14ac:dyDescent="0.25">
      <c r="A890" s="2">
        <v>889</v>
      </c>
      <c r="B890" s="3">
        <v>2</v>
      </c>
    </row>
    <row r="891" spans="1:2" x14ac:dyDescent="0.25">
      <c r="A891" s="2">
        <v>890</v>
      </c>
      <c r="B891" s="3">
        <v>2</v>
      </c>
    </row>
    <row r="892" spans="1:2" x14ac:dyDescent="0.25">
      <c r="A892" s="2">
        <v>891</v>
      </c>
      <c r="B892" s="3">
        <v>1</v>
      </c>
    </row>
    <row r="893" spans="1:2" x14ac:dyDescent="0.25">
      <c r="A893" s="2">
        <v>892</v>
      </c>
      <c r="B893" s="3">
        <v>1</v>
      </c>
    </row>
    <row r="894" spans="1:2" x14ac:dyDescent="0.25">
      <c r="A894" s="2">
        <v>893</v>
      </c>
      <c r="B894" s="3">
        <v>1</v>
      </c>
    </row>
    <row r="895" spans="1:2" x14ac:dyDescent="0.25">
      <c r="A895" s="2">
        <v>894</v>
      </c>
      <c r="B895" s="3">
        <v>1</v>
      </c>
    </row>
    <row r="896" spans="1:2" x14ac:dyDescent="0.25">
      <c r="A896" s="2">
        <v>895</v>
      </c>
      <c r="B896" s="3">
        <v>1</v>
      </c>
    </row>
    <row r="897" spans="1:2" x14ac:dyDescent="0.25">
      <c r="A897" s="2">
        <v>896</v>
      </c>
      <c r="B897" s="3">
        <v>1</v>
      </c>
    </row>
    <row r="898" spans="1:2" x14ac:dyDescent="0.25">
      <c r="A898" s="2">
        <v>897</v>
      </c>
      <c r="B898" s="3">
        <v>1</v>
      </c>
    </row>
    <row r="899" spans="1:2" x14ac:dyDescent="0.25">
      <c r="A899" s="2">
        <v>898</v>
      </c>
      <c r="B899" s="3">
        <v>1</v>
      </c>
    </row>
    <row r="900" spans="1:2" x14ac:dyDescent="0.25">
      <c r="A900" s="2">
        <v>899</v>
      </c>
      <c r="B900" s="3">
        <v>1</v>
      </c>
    </row>
    <row r="901" spans="1:2" x14ac:dyDescent="0.25">
      <c r="A901" s="2">
        <v>900</v>
      </c>
      <c r="B901" s="3">
        <v>1</v>
      </c>
    </row>
    <row r="902" spans="1:2" x14ac:dyDescent="0.25">
      <c r="A902" s="2">
        <v>901</v>
      </c>
      <c r="B902" s="3">
        <v>1</v>
      </c>
    </row>
    <row r="903" spans="1:2" x14ac:dyDescent="0.25">
      <c r="A903" s="2">
        <v>902</v>
      </c>
      <c r="B903" s="3">
        <v>1</v>
      </c>
    </row>
    <row r="904" spans="1:2" x14ac:dyDescent="0.25">
      <c r="A904" s="2">
        <v>903</v>
      </c>
      <c r="B904" s="3">
        <v>1</v>
      </c>
    </row>
    <row r="905" spans="1:2" x14ac:dyDescent="0.25">
      <c r="A905" s="2">
        <v>904</v>
      </c>
      <c r="B905" s="3">
        <v>1</v>
      </c>
    </row>
    <row r="906" spans="1:2" x14ac:dyDescent="0.25">
      <c r="A906" s="2">
        <v>905</v>
      </c>
      <c r="B906" s="3">
        <v>1</v>
      </c>
    </row>
    <row r="907" spans="1:2" x14ac:dyDescent="0.25">
      <c r="A907" s="2">
        <v>906</v>
      </c>
      <c r="B907" s="3">
        <v>1</v>
      </c>
    </row>
    <row r="908" spans="1:2" x14ac:dyDescent="0.25">
      <c r="A908" s="2">
        <v>907</v>
      </c>
      <c r="B908" s="3">
        <v>1</v>
      </c>
    </row>
    <row r="909" spans="1:2" x14ac:dyDescent="0.25">
      <c r="A909" s="2">
        <v>908</v>
      </c>
      <c r="B909" s="3">
        <v>1</v>
      </c>
    </row>
    <row r="910" spans="1:2" x14ac:dyDescent="0.25">
      <c r="A910" s="2">
        <v>909</v>
      </c>
      <c r="B910" s="3">
        <v>1</v>
      </c>
    </row>
    <row r="911" spans="1:2" x14ac:dyDescent="0.25">
      <c r="A911" s="2">
        <v>910</v>
      </c>
      <c r="B911" s="3">
        <v>1</v>
      </c>
    </row>
    <row r="912" spans="1:2" x14ac:dyDescent="0.25">
      <c r="A912" s="2">
        <v>911</v>
      </c>
      <c r="B912" s="3">
        <v>1</v>
      </c>
    </row>
    <row r="913" spans="1:2" x14ac:dyDescent="0.25">
      <c r="A913" s="2">
        <v>912</v>
      </c>
      <c r="B913" s="3">
        <v>2</v>
      </c>
    </row>
    <row r="914" spans="1:2" x14ac:dyDescent="0.25">
      <c r="A914" s="2">
        <v>913</v>
      </c>
      <c r="B914" s="3">
        <v>2</v>
      </c>
    </row>
    <row r="915" spans="1:2" x14ac:dyDescent="0.25">
      <c r="A915" s="2">
        <v>914</v>
      </c>
      <c r="B915" s="3">
        <v>2</v>
      </c>
    </row>
    <row r="916" spans="1:2" x14ac:dyDescent="0.25">
      <c r="A916" s="2">
        <v>915</v>
      </c>
      <c r="B916" s="3">
        <v>1</v>
      </c>
    </row>
    <row r="917" spans="1:2" x14ac:dyDescent="0.25">
      <c r="A917" s="2">
        <v>916</v>
      </c>
      <c r="B917" s="3">
        <v>1</v>
      </c>
    </row>
    <row r="918" spans="1:2" x14ac:dyDescent="0.25">
      <c r="A918" s="2">
        <v>917</v>
      </c>
      <c r="B918" s="3">
        <v>1</v>
      </c>
    </row>
    <row r="919" spans="1:2" x14ac:dyDescent="0.25">
      <c r="A919" s="2">
        <v>918</v>
      </c>
      <c r="B919" s="3">
        <v>2</v>
      </c>
    </row>
    <row r="920" spans="1:2" x14ac:dyDescent="0.25">
      <c r="A920" s="2">
        <v>919</v>
      </c>
      <c r="B920" s="3">
        <v>2</v>
      </c>
    </row>
    <row r="921" spans="1:2" x14ac:dyDescent="0.25">
      <c r="A921" s="2">
        <v>920</v>
      </c>
      <c r="B921" s="3">
        <v>2</v>
      </c>
    </row>
    <row r="922" spans="1:2" x14ac:dyDescent="0.25">
      <c r="A922" s="2">
        <v>921</v>
      </c>
      <c r="B922" s="3">
        <v>2</v>
      </c>
    </row>
    <row r="923" spans="1:2" x14ac:dyDescent="0.25">
      <c r="A923" s="2">
        <v>922</v>
      </c>
      <c r="B923" s="3">
        <v>2</v>
      </c>
    </row>
    <row r="924" spans="1:2" x14ac:dyDescent="0.25">
      <c r="A924" s="7">
        <v>923</v>
      </c>
      <c r="B924" s="3">
        <v>2</v>
      </c>
    </row>
    <row r="925" spans="1:2" x14ac:dyDescent="0.25">
      <c r="A925" s="7">
        <v>924</v>
      </c>
      <c r="B925" s="3">
        <v>2</v>
      </c>
    </row>
    <row r="926" spans="1:2" x14ac:dyDescent="0.25">
      <c r="A926" s="2">
        <v>925</v>
      </c>
      <c r="B926" s="3">
        <v>2</v>
      </c>
    </row>
    <row r="927" spans="1:2" x14ac:dyDescent="0.25">
      <c r="A927" s="2">
        <v>926</v>
      </c>
      <c r="B927" s="3">
        <v>2</v>
      </c>
    </row>
    <row r="928" spans="1:2" x14ac:dyDescent="0.25">
      <c r="A928" s="2">
        <v>927</v>
      </c>
      <c r="B928" s="3">
        <v>1</v>
      </c>
    </row>
    <row r="929" spans="1:2" x14ac:dyDescent="0.25">
      <c r="A929" s="2">
        <v>928</v>
      </c>
      <c r="B929" s="3">
        <v>1</v>
      </c>
    </row>
    <row r="930" spans="1:2" x14ac:dyDescent="0.25">
      <c r="A930" s="2">
        <v>929</v>
      </c>
      <c r="B930" s="3">
        <v>2</v>
      </c>
    </row>
    <row r="931" spans="1:2" x14ac:dyDescent="0.25">
      <c r="A931" s="2">
        <v>930</v>
      </c>
      <c r="B931" s="3">
        <v>2</v>
      </c>
    </row>
    <row r="932" spans="1:2" x14ac:dyDescent="0.25">
      <c r="A932" s="2">
        <v>931</v>
      </c>
      <c r="B932" s="3">
        <v>2</v>
      </c>
    </row>
    <row r="933" spans="1:2" x14ac:dyDescent="0.25">
      <c r="A933" s="2">
        <v>932</v>
      </c>
      <c r="B933" s="3">
        <v>2</v>
      </c>
    </row>
    <row r="934" spans="1:2" x14ac:dyDescent="0.25">
      <c r="A934" s="2">
        <v>933</v>
      </c>
      <c r="B934" s="3">
        <v>2</v>
      </c>
    </row>
    <row r="935" spans="1:2" x14ac:dyDescent="0.25">
      <c r="A935" s="2">
        <v>934</v>
      </c>
      <c r="B935" s="3">
        <v>2</v>
      </c>
    </row>
    <row r="936" spans="1:2" x14ac:dyDescent="0.25">
      <c r="A936" s="2">
        <v>935</v>
      </c>
      <c r="B936" s="3">
        <v>2</v>
      </c>
    </row>
    <row r="937" spans="1:2" x14ac:dyDescent="0.25">
      <c r="A937" s="2">
        <v>936</v>
      </c>
      <c r="B937" s="3">
        <v>2</v>
      </c>
    </row>
    <row r="938" spans="1:2" x14ac:dyDescent="0.25">
      <c r="A938" s="2">
        <v>937</v>
      </c>
      <c r="B938" s="3">
        <v>2</v>
      </c>
    </row>
    <row r="939" spans="1:2" x14ac:dyDescent="0.25">
      <c r="A939" s="2">
        <v>938</v>
      </c>
      <c r="B939" s="3">
        <v>2</v>
      </c>
    </row>
    <row r="940" spans="1:2" x14ac:dyDescent="0.25">
      <c r="A940" s="2">
        <v>939</v>
      </c>
      <c r="B940" s="3">
        <v>2</v>
      </c>
    </row>
    <row r="941" spans="1:2" x14ac:dyDescent="0.25">
      <c r="A941" s="2">
        <v>940</v>
      </c>
      <c r="B941" s="3">
        <v>2</v>
      </c>
    </row>
    <row r="942" spans="1:2" x14ac:dyDescent="0.25">
      <c r="A942" s="2">
        <v>941</v>
      </c>
      <c r="B942" s="3">
        <v>2</v>
      </c>
    </row>
    <row r="943" spans="1:2" x14ac:dyDescent="0.25">
      <c r="A943" s="2">
        <v>942</v>
      </c>
      <c r="B943" s="3">
        <v>2</v>
      </c>
    </row>
    <row r="944" spans="1:2" x14ac:dyDescent="0.25">
      <c r="A944" s="2">
        <v>943</v>
      </c>
      <c r="B944" s="3">
        <v>2</v>
      </c>
    </row>
    <row r="945" spans="1:2" x14ac:dyDescent="0.25">
      <c r="A945" s="2">
        <v>944</v>
      </c>
      <c r="B945" s="3">
        <v>2</v>
      </c>
    </row>
    <row r="946" spans="1:2" x14ac:dyDescent="0.25">
      <c r="A946" s="2">
        <v>945</v>
      </c>
      <c r="B946" s="3">
        <v>2</v>
      </c>
    </row>
    <row r="947" spans="1:2" x14ac:dyDescent="0.25">
      <c r="A947" s="2">
        <v>946</v>
      </c>
      <c r="B947" s="3">
        <v>2</v>
      </c>
    </row>
    <row r="948" spans="1:2" x14ac:dyDescent="0.25">
      <c r="A948" s="2">
        <v>947</v>
      </c>
      <c r="B948" s="3">
        <v>2</v>
      </c>
    </row>
    <row r="949" spans="1:2" x14ac:dyDescent="0.25">
      <c r="A949" s="2">
        <v>948</v>
      </c>
      <c r="B949" s="3">
        <v>2</v>
      </c>
    </row>
    <row r="950" spans="1:2" x14ac:dyDescent="0.25">
      <c r="A950" s="2">
        <v>949</v>
      </c>
      <c r="B950" s="3">
        <v>2</v>
      </c>
    </row>
    <row r="951" spans="1:2" x14ac:dyDescent="0.25">
      <c r="A951" s="2">
        <v>950</v>
      </c>
      <c r="B951" s="3">
        <v>2</v>
      </c>
    </row>
    <row r="952" spans="1:2" x14ac:dyDescent="0.25">
      <c r="A952" s="2">
        <v>951</v>
      </c>
      <c r="B952" s="3">
        <v>2</v>
      </c>
    </row>
    <row r="953" spans="1:2" x14ac:dyDescent="0.25">
      <c r="A953" s="2">
        <v>952</v>
      </c>
      <c r="B953" s="3">
        <v>2</v>
      </c>
    </row>
    <row r="954" spans="1:2" x14ac:dyDescent="0.25">
      <c r="A954" s="2">
        <v>953</v>
      </c>
      <c r="B954" s="3">
        <v>2</v>
      </c>
    </row>
    <row r="955" spans="1:2" x14ac:dyDescent="0.25">
      <c r="A955" s="2">
        <v>954</v>
      </c>
      <c r="B955" s="3">
        <v>2</v>
      </c>
    </row>
    <row r="956" spans="1:2" x14ac:dyDescent="0.25">
      <c r="A956" s="2">
        <v>955</v>
      </c>
      <c r="B956" s="3">
        <v>2</v>
      </c>
    </row>
    <row r="957" spans="1:2" x14ac:dyDescent="0.25">
      <c r="A957" s="2">
        <v>956</v>
      </c>
      <c r="B957" s="3">
        <v>2</v>
      </c>
    </row>
    <row r="958" spans="1:2" x14ac:dyDescent="0.25">
      <c r="A958" s="2">
        <v>957</v>
      </c>
      <c r="B958" s="3">
        <v>2</v>
      </c>
    </row>
    <row r="959" spans="1:2" x14ac:dyDescent="0.25">
      <c r="A959" s="2">
        <v>958</v>
      </c>
      <c r="B959" s="3">
        <v>2</v>
      </c>
    </row>
    <row r="960" spans="1:2" x14ac:dyDescent="0.25">
      <c r="A960" s="2">
        <v>959</v>
      </c>
      <c r="B960" s="3">
        <v>2</v>
      </c>
    </row>
    <row r="961" spans="1:2" x14ac:dyDescent="0.25">
      <c r="A961" s="2">
        <v>960</v>
      </c>
      <c r="B961" s="3">
        <v>2</v>
      </c>
    </row>
    <row r="962" spans="1:2" x14ac:dyDescent="0.25">
      <c r="A962" s="2">
        <v>961</v>
      </c>
      <c r="B962" s="3">
        <v>2</v>
      </c>
    </row>
    <row r="963" spans="1:2" x14ac:dyDescent="0.25">
      <c r="A963" s="2">
        <v>962</v>
      </c>
      <c r="B963" s="3">
        <v>2</v>
      </c>
    </row>
    <row r="964" spans="1:2" x14ac:dyDescent="0.25">
      <c r="A964" s="2">
        <v>963</v>
      </c>
      <c r="B964" s="3">
        <v>2</v>
      </c>
    </row>
    <row r="965" spans="1:2" x14ac:dyDescent="0.25">
      <c r="A965" s="2">
        <v>964</v>
      </c>
      <c r="B965" s="3">
        <v>2</v>
      </c>
    </row>
    <row r="966" spans="1:2" x14ac:dyDescent="0.25">
      <c r="A966" s="2">
        <v>965</v>
      </c>
      <c r="B966" s="3">
        <v>2</v>
      </c>
    </row>
    <row r="967" spans="1:2" x14ac:dyDescent="0.25">
      <c r="A967" s="2">
        <v>966</v>
      </c>
      <c r="B967" s="3">
        <v>2</v>
      </c>
    </row>
    <row r="968" spans="1:2" x14ac:dyDescent="0.25">
      <c r="A968" s="2">
        <v>967</v>
      </c>
      <c r="B968" s="3">
        <v>1</v>
      </c>
    </row>
    <row r="969" spans="1:2" x14ac:dyDescent="0.25">
      <c r="A969" s="2">
        <v>968</v>
      </c>
      <c r="B969" s="3">
        <v>1</v>
      </c>
    </row>
    <row r="970" spans="1:2" x14ac:dyDescent="0.25">
      <c r="A970" s="2">
        <v>969</v>
      </c>
      <c r="B970" s="3">
        <v>1</v>
      </c>
    </row>
    <row r="971" spans="1:2" x14ac:dyDescent="0.25">
      <c r="A971" s="2">
        <v>970</v>
      </c>
      <c r="B971" s="3">
        <v>1</v>
      </c>
    </row>
    <row r="972" spans="1:2" x14ac:dyDescent="0.25">
      <c r="A972" s="2">
        <v>971</v>
      </c>
      <c r="B972" s="3">
        <v>1</v>
      </c>
    </row>
    <row r="973" spans="1:2" x14ac:dyDescent="0.25">
      <c r="A973" s="2">
        <v>972</v>
      </c>
      <c r="B973" s="3">
        <v>1</v>
      </c>
    </row>
    <row r="974" spans="1:2" x14ac:dyDescent="0.25">
      <c r="A974" s="2">
        <v>973</v>
      </c>
      <c r="B974" s="3">
        <v>1</v>
      </c>
    </row>
    <row r="975" spans="1:2" x14ac:dyDescent="0.25">
      <c r="A975" s="2">
        <v>974</v>
      </c>
      <c r="B975" s="3">
        <v>1</v>
      </c>
    </row>
    <row r="976" spans="1:2" x14ac:dyDescent="0.25">
      <c r="A976" s="2">
        <v>975</v>
      </c>
      <c r="B976" s="3">
        <v>1</v>
      </c>
    </row>
    <row r="977" spans="1:2" x14ac:dyDescent="0.25">
      <c r="A977" s="2">
        <v>976</v>
      </c>
      <c r="B977" s="3">
        <v>1</v>
      </c>
    </row>
    <row r="978" spans="1:2" x14ac:dyDescent="0.25">
      <c r="A978" s="2">
        <v>977</v>
      </c>
      <c r="B978" s="3">
        <v>1</v>
      </c>
    </row>
    <row r="979" spans="1:2" x14ac:dyDescent="0.25">
      <c r="A979" s="2">
        <v>978</v>
      </c>
      <c r="B979" s="3">
        <v>1</v>
      </c>
    </row>
    <row r="980" spans="1:2" x14ac:dyDescent="0.25">
      <c r="A980" s="2">
        <v>979</v>
      </c>
      <c r="B980" s="3">
        <v>1</v>
      </c>
    </row>
    <row r="981" spans="1:2" x14ac:dyDescent="0.25">
      <c r="A981" s="2">
        <v>980</v>
      </c>
      <c r="B981" s="3">
        <v>1</v>
      </c>
    </row>
    <row r="982" spans="1:2" x14ac:dyDescent="0.25">
      <c r="A982" s="2">
        <v>981</v>
      </c>
      <c r="B982" s="3">
        <v>1</v>
      </c>
    </row>
    <row r="983" spans="1:2" x14ac:dyDescent="0.25">
      <c r="A983" s="2">
        <v>982</v>
      </c>
      <c r="B983" s="3">
        <v>1</v>
      </c>
    </row>
    <row r="984" spans="1:2" x14ac:dyDescent="0.25">
      <c r="A984" s="2">
        <v>983</v>
      </c>
      <c r="B984" s="3">
        <v>1</v>
      </c>
    </row>
    <row r="985" spans="1:2" x14ac:dyDescent="0.25">
      <c r="A985" s="2">
        <v>984</v>
      </c>
      <c r="B985" s="3">
        <v>1</v>
      </c>
    </row>
    <row r="986" spans="1:2" x14ac:dyDescent="0.25">
      <c r="A986" s="2">
        <v>985</v>
      </c>
      <c r="B986" s="3">
        <v>1</v>
      </c>
    </row>
    <row r="987" spans="1:2" x14ac:dyDescent="0.25">
      <c r="A987" s="2">
        <v>986</v>
      </c>
      <c r="B987" s="3">
        <v>1</v>
      </c>
    </row>
    <row r="988" spans="1:2" x14ac:dyDescent="0.25">
      <c r="A988" s="2">
        <v>987</v>
      </c>
      <c r="B988" s="3">
        <v>1</v>
      </c>
    </row>
    <row r="989" spans="1:2" x14ac:dyDescent="0.25">
      <c r="A989" s="2">
        <v>988</v>
      </c>
      <c r="B989" s="3">
        <v>1</v>
      </c>
    </row>
    <row r="990" spans="1:2" x14ac:dyDescent="0.25">
      <c r="A990" s="2">
        <v>989</v>
      </c>
      <c r="B990" s="3">
        <v>1</v>
      </c>
    </row>
    <row r="991" spans="1:2" x14ac:dyDescent="0.25">
      <c r="A991" s="2">
        <v>990</v>
      </c>
      <c r="B991" s="3">
        <v>1</v>
      </c>
    </row>
    <row r="992" spans="1:2" x14ac:dyDescent="0.25">
      <c r="A992" s="2">
        <v>991</v>
      </c>
      <c r="B992" s="3">
        <v>1</v>
      </c>
    </row>
    <row r="993" spans="1:2" x14ac:dyDescent="0.25">
      <c r="A993" s="2">
        <v>992</v>
      </c>
      <c r="B993" s="3">
        <v>1</v>
      </c>
    </row>
    <row r="994" spans="1:2" x14ac:dyDescent="0.25">
      <c r="A994" s="2">
        <v>993</v>
      </c>
      <c r="B994" s="3">
        <v>1</v>
      </c>
    </row>
    <row r="995" spans="1:2" x14ac:dyDescent="0.25">
      <c r="A995" s="2">
        <v>994</v>
      </c>
      <c r="B995" s="3">
        <v>1</v>
      </c>
    </row>
    <row r="996" spans="1:2" x14ac:dyDescent="0.25">
      <c r="A996" s="2">
        <v>995</v>
      </c>
      <c r="B996" s="3">
        <v>1</v>
      </c>
    </row>
    <row r="997" spans="1:2" x14ac:dyDescent="0.25">
      <c r="A997" s="2">
        <v>996</v>
      </c>
      <c r="B997" s="3">
        <v>1</v>
      </c>
    </row>
    <row r="998" spans="1:2" x14ac:dyDescent="0.25">
      <c r="A998" s="2">
        <v>997</v>
      </c>
      <c r="B998" s="3">
        <v>1</v>
      </c>
    </row>
    <row r="999" spans="1:2" x14ac:dyDescent="0.25">
      <c r="A999" s="2">
        <v>998</v>
      </c>
      <c r="B999" s="3">
        <v>1</v>
      </c>
    </row>
    <row r="1000" spans="1:2" x14ac:dyDescent="0.25">
      <c r="A1000" s="2">
        <v>999</v>
      </c>
      <c r="B1000" s="3">
        <v>1</v>
      </c>
    </row>
    <row r="1001" spans="1:2" x14ac:dyDescent="0.25">
      <c r="A1001" s="2">
        <v>1000</v>
      </c>
      <c r="B1001" s="3">
        <v>1</v>
      </c>
    </row>
    <row r="1002" spans="1:2" x14ac:dyDescent="0.25">
      <c r="A1002" s="2">
        <v>1001</v>
      </c>
      <c r="B1002" s="3">
        <v>1</v>
      </c>
    </row>
    <row r="1003" spans="1:2" x14ac:dyDescent="0.25">
      <c r="A1003" s="2">
        <v>1002</v>
      </c>
      <c r="B1003" s="3">
        <v>1</v>
      </c>
    </row>
    <row r="1004" spans="1:2" x14ac:dyDescent="0.25">
      <c r="A1004" s="2">
        <v>1003</v>
      </c>
      <c r="B1004" s="3">
        <v>1</v>
      </c>
    </row>
    <row r="1005" spans="1:2" x14ac:dyDescent="0.25">
      <c r="A1005" s="2">
        <v>1004</v>
      </c>
      <c r="B1005" s="3">
        <v>1</v>
      </c>
    </row>
    <row r="1006" spans="1:2" x14ac:dyDescent="0.25">
      <c r="A1006" s="2">
        <v>1005</v>
      </c>
      <c r="B1006" s="3">
        <v>1</v>
      </c>
    </row>
    <row r="1007" spans="1:2" x14ac:dyDescent="0.25">
      <c r="A1007" s="2">
        <v>1006</v>
      </c>
      <c r="B1007" s="3">
        <v>1</v>
      </c>
    </row>
    <row r="1008" spans="1:2" x14ac:dyDescent="0.25">
      <c r="A1008" s="2">
        <v>1007</v>
      </c>
      <c r="B1008" s="3">
        <v>1</v>
      </c>
    </row>
    <row r="1009" spans="1:2" x14ac:dyDescent="0.25">
      <c r="A1009" s="2">
        <v>1008</v>
      </c>
      <c r="B1009" s="3">
        <v>1</v>
      </c>
    </row>
    <row r="1010" spans="1:2" x14ac:dyDescent="0.25">
      <c r="A1010" s="2">
        <v>1009</v>
      </c>
      <c r="B1010" s="3">
        <v>1</v>
      </c>
    </row>
    <row r="1011" spans="1:2" x14ac:dyDescent="0.25">
      <c r="A1011" s="2">
        <v>1010</v>
      </c>
      <c r="B1011" s="3">
        <v>1</v>
      </c>
    </row>
    <row r="1012" spans="1:2" x14ac:dyDescent="0.25">
      <c r="A1012" s="2">
        <v>1011</v>
      </c>
      <c r="B1012" s="3">
        <v>1</v>
      </c>
    </row>
    <row r="1013" spans="1:2" x14ac:dyDescent="0.25">
      <c r="A1013" s="2">
        <v>1012</v>
      </c>
      <c r="B1013" s="3">
        <v>1</v>
      </c>
    </row>
    <row r="1014" spans="1:2" x14ac:dyDescent="0.25">
      <c r="A1014" s="2">
        <v>1013</v>
      </c>
      <c r="B1014" s="3">
        <v>1</v>
      </c>
    </row>
    <row r="1015" spans="1:2" x14ac:dyDescent="0.25">
      <c r="A1015" s="2">
        <v>1014</v>
      </c>
      <c r="B1015" s="3">
        <v>1</v>
      </c>
    </row>
    <row r="1016" spans="1:2" x14ac:dyDescent="0.25">
      <c r="A1016" s="2">
        <v>1015</v>
      </c>
      <c r="B1016" s="3">
        <v>1</v>
      </c>
    </row>
    <row r="1017" spans="1:2" x14ac:dyDescent="0.25">
      <c r="A1017" s="2">
        <v>1016</v>
      </c>
      <c r="B1017" s="3">
        <v>1</v>
      </c>
    </row>
    <row r="1018" spans="1:2" x14ac:dyDescent="0.25">
      <c r="A1018" s="2">
        <v>1017</v>
      </c>
      <c r="B1018" s="3">
        <v>1</v>
      </c>
    </row>
    <row r="1019" spans="1:2" x14ac:dyDescent="0.25">
      <c r="A1019" s="2">
        <v>1018</v>
      </c>
      <c r="B1019" s="3">
        <v>1</v>
      </c>
    </row>
    <row r="1020" spans="1:2" x14ac:dyDescent="0.25">
      <c r="A1020" s="2">
        <v>1019</v>
      </c>
      <c r="B1020" s="3">
        <v>1</v>
      </c>
    </row>
    <row r="1021" spans="1:2" x14ac:dyDescent="0.25">
      <c r="A1021" s="2">
        <v>1020</v>
      </c>
      <c r="B1021" s="3">
        <v>1</v>
      </c>
    </row>
    <row r="1022" spans="1:2" x14ac:dyDescent="0.25">
      <c r="A1022" s="2">
        <v>1021</v>
      </c>
      <c r="B1022" s="3">
        <v>1</v>
      </c>
    </row>
    <row r="1023" spans="1:2" x14ac:dyDescent="0.25">
      <c r="A1023" s="2">
        <v>1022</v>
      </c>
      <c r="B1023" s="3">
        <v>1</v>
      </c>
    </row>
    <row r="1024" spans="1:2" x14ac:dyDescent="0.25">
      <c r="A1024" s="2">
        <v>1023</v>
      </c>
      <c r="B1024" s="3">
        <v>1</v>
      </c>
    </row>
    <row r="1025" spans="1:2" x14ac:dyDescent="0.25">
      <c r="A1025" s="2">
        <v>1024</v>
      </c>
      <c r="B1025" s="3">
        <v>1</v>
      </c>
    </row>
    <row r="1026" spans="1:2" x14ac:dyDescent="0.25">
      <c r="A1026" s="2">
        <v>1025</v>
      </c>
      <c r="B1026" s="3">
        <v>1</v>
      </c>
    </row>
    <row r="1027" spans="1:2" x14ac:dyDescent="0.25">
      <c r="A1027" s="2">
        <v>1026</v>
      </c>
      <c r="B1027" s="3">
        <v>1</v>
      </c>
    </row>
    <row r="1028" spans="1:2" x14ac:dyDescent="0.25">
      <c r="A1028" s="2">
        <v>1027</v>
      </c>
      <c r="B1028" s="3">
        <v>1</v>
      </c>
    </row>
    <row r="1029" spans="1:2" x14ac:dyDescent="0.25">
      <c r="A1029" s="2">
        <v>1028</v>
      </c>
      <c r="B1029" s="3">
        <v>1</v>
      </c>
    </row>
    <row r="1030" spans="1:2" x14ac:dyDescent="0.25">
      <c r="A1030" s="2">
        <v>1029</v>
      </c>
      <c r="B1030" s="3">
        <v>1</v>
      </c>
    </row>
    <row r="1031" spans="1:2" x14ac:dyDescent="0.25">
      <c r="A1031" s="2">
        <v>1030</v>
      </c>
      <c r="B1031" s="3">
        <v>1</v>
      </c>
    </row>
    <row r="1032" spans="1:2" x14ac:dyDescent="0.25">
      <c r="A1032" s="2">
        <v>1031</v>
      </c>
      <c r="B1032" s="3">
        <v>1</v>
      </c>
    </row>
    <row r="1033" spans="1:2" x14ac:dyDescent="0.25">
      <c r="A1033" s="2">
        <v>1032</v>
      </c>
      <c r="B1033" s="3">
        <v>1</v>
      </c>
    </row>
    <row r="1034" spans="1:2" x14ac:dyDescent="0.25">
      <c r="A1034" s="2">
        <v>1033</v>
      </c>
      <c r="B1034" s="3">
        <v>1</v>
      </c>
    </row>
    <row r="1035" spans="1:2" x14ac:dyDescent="0.25">
      <c r="A1035" s="2">
        <v>1034</v>
      </c>
      <c r="B1035" s="3">
        <v>1</v>
      </c>
    </row>
    <row r="1036" spans="1:2" x14ac:dyDescent="0.25">
      <c r="A1036" s="2">
        <v>1035</v>
      </c>
      <c r="B1036" s="3">
        <v>1</v>
      </c>
    </row>
    <row r="1037" spans="1:2" x14ac:dyDescent="0.25">
      <c r="A1037" s="2">
        <v>1036</v>
      </c>
      <c r="B1037" s="3">
        <v>2</v>
      </c>
    </row>
    <row r="1038" spans="1:2" x14ac:dyDescent="0.25">
      <c r="A1038" s="2">
        <v>1037</v>
      </c>
      <c r="B1038" s="3">
        <v>2</v>
      </c>
    </row>
    <row r="1039" spans="1:2" x14ac:dyDescent="0.25">
      <c r="A1039" s="2">
        <v>1038</v>
      </c>
      <c r="B1039" s="3">
        <v>2</v>
      </c>
    </row>
    <row r="1040" spans="1:2" x14ac:dyDescent="0.25">
      <c r="A1040" s="2">
        <v>1039</v>
      </c>
      <c r="B1040" s="3">
        <v>2</v>
      </c>
    </row>
    <row r="1041" spans="1:2" x14ac:dyDescent="0.25">
      <c r="A1041" s="2">
        <v>1040</v>
      </c>
      <c r="B1041" s="3">
        <v>2</v>
      </c>
    </row>
    <row r="1042" spans="1:2" x14ac:dyDescent="0.25">
      <c r="A1042" s="2">
        <v>1041</v>
      </c>
      <c r="B1042" s="3">
        <v>2</v>
      </c>
    </row>
    <row r="1043" spans="1:2" x14ac:dyDescent="0.25">
      <c r="A1043" s="2">
        <v>1042</v>
      </c>
      <c r="B1043" s="3">
        <v>2</v>
      </c>
    </row>
    <row r="1044" spans="1:2" x14ac:dyDescent="0.25">
      <c r="A1044" s="2">
        <v>1043</v>
      </c>
      <c r="B1044" s="3">
        <v>2</v>
      </c>
    </row>
    <row r="1045" spans="1:2" x14ac:dyDescent="0.25">
      <c r="A1045" s="2">
        <v>1044</v>
      </c>
      <c r="B1045" s="3">
        <v>2</v>
      </c>
    </row>
    <row r="1046" spans="1:2" x14ac:dyDescent="0.25">
      <c r="A1046" s="2">
        <v>1045</v>
      </c>
      <c r="B1046" s="3">
        <v>2</v>
      </c>
    </row>
    <row r="1047" spans="1:2" x14ac:dyDescent="0.25">
      <c r="A1047" s="2">
        <v>1046</v>
      </c>
      <c r="B1047" s="3">
        <v>2</v>
      </c>
    </row>
    <row r="1048" spans="1:2" x14ac:dyDescent="0.25">
      <c r="A1048" s="2">
        <v>1047</v>
      </c>
      <c r="B1048" s="3">
        <v>2</v>
      </c>
    </row>
    <row r="1049" spans="1:2" x14ac:dyDescent="0.25">
      <c r="A1049" s="2">
        <v>1048</v>
      </c>
      <c r="B1049" s="3">
        <v>2</v>
      </c>
    </row>
    <row r="1050" spans="1:2" x14ac:dyDescent="0.25">
      <c r="A1050" s="2">
        <v>1049</v>
      </c>
      <c r="B1050" s="3">
        <v>2</v>
      </c>
    </row>
    <row r="1051" spans="1:2" x14ac:dyDescent="0.25">
      <c r="A1051" s="2">
        <v>1050</v>
      </c>
      <c r="B1051" s="3">
        <v>2</v>
      </c>
    </row>
    <row r="1052" spans="1:2" x14ac:dyDescent="0.25">
      <c r="A1052" s="2">
        <v>1051</v>
      </c>
      <c r="B1052" s="3">
        <v>2</v>
      </c>
    </row>
    <row r="1053" spans="1:2" x14ac:dyDescent="0.25">
      <c r="A1053" s="2">
        <v>1052</v>
      </c>
      <c r="B1053" s="3">
        <v>2</v>
      </c>
    </row>
    <row r="1054" spans="1:2" x14ac:dyDescent="0.25">
      <c r="A1054" s="2">
        <v>1053</v>
      </c>
      <c r="B1054" s="3">
        <v>2</v>
      </c>
    </row>
    <row r="1055" spans="1:2" x14ac:dyDescent="0.25">
      <c r="A1055" s="2">
        <v>1054</v>
      </c>
      <c r="B1055" s="3">
        <v>2</v>
      </c>
    </row>
    <row r="1056" spans="1:2" x14ac:dyDescent="0.25">
      <c r="A1056" s="2">
        <v>1055</v>
      </c>
      <c r="B1056" s="3">
        <v>2</v>
      </c>
    </row>
    <row r="1057" spans="1:2" x14ac:dyDescent="0.25">
      <c r="A1057" s="2">
        <v>1056</v>
      </c>
      <c r="B1057" s="3">
        <v>2</v>
      </c>
    </row>
    <row r="1058" spans="1:2" x14ac:dyDescent="0.25">
      <c r="A1058" s="2">
        <v>1057</v>
      </c>
      <c r="B1058" s="3">
        <v>2</v>
      </c>
    </row>
    <row r="1059" spans="1:2" x14ac:dyDescent="0.25">
      <c r="A1059" s="2">
        <v>1058</v>
      </c>
      <c r="B1059" s="3">
        <v>2</v>
      </c>
    </row>
    <row r="1060" spans="1:2" x14ac:dyDescent="0.25">
      <c r="A1060" s="2">
        <v>1059</v>
      </c>
      <c r="B1060" s="3">
        <v>2</v>
      </c>
    </row>
    <row r="1061" spans="1:2" x14ac:dyDescent="0.25">
      <c r="A1061" s="2">
        <v>1060</v>
      </c>
      <c r="B1061" s="3">
        <v>2</v>
      </c>
    </row>
    <row r="1062" spans="1:2" x14ac:dyDescent="0.25">
      <c r="A1062" s="2">
        <v>1061</v>
      </c>
      <c r="B1062" s="3">
        <v>2</v>
      </c>
    </row>
    <row r="1063" spans="1:2" x14ac:dyDescent="0.25">
      <c r="A1063" s="2">
        <v>1062</v>
      </c>
      <c r="B1063" s="3">
        <v>2</v>
      </c>
    </row>
    <row r="1064" spans="1:2" x14ac:dyDescent="0.25">
      <c r="A1064" s="2">
        <v>1063</v>
      </c>
      <c r="B1064" s="3">
        <v>2</v>
      </c>
    </row>
    <row r="1065" spans="1:2" x14ac:dyDescent="0.25">
      <c r="A1065" s="2">
        <v>1064</v>
      </c>
      <c r="B1065" s="3">
        <v>2</v>
      </c>
    </row>
    <row r="1066" spans="1:2" x14ac:dyDescent="0.25">
      <c r="A1066" s="2">
        <v>1065</v>
      </c>
      <c r="B1066" s="3">
        <v>2</v>
      </c>
    </row>
    <row r="1067" spans="1:2" x14ac:dyDescent="0.25">
      <c r="A1067" s="2">
        <v>1066</v>
      </c>
      <c r="B1067" s="3">
        <v>2</v>
      </c>
    </row>
    <row r="1068" spans="1:2" x14ac:dyDescent="0.25">
      <c r="A1068" s="2">
        <v>1067</v>
      </c>
      <c r="B1068" s="3">
        <v>2</v>
      </c>
    </row>
    <row r="1069" spans="1:2" x14ac:dyDescent="0.25">
      <c r="A1069" s="2">
        <v>1068</v>
      </c>
      <c r="B1069" s="3">
        <v>2</v>
      </c>
    </row>
    <row r="1070" spans="1:2" x14ac:dyDescent="0.25">
      <c r="A1070" s="2">
        <v>1069</v>
      </c>
      <c r="B1070" s="3">
        <v>2</v>
      </c>
    </row>
    <row r="1071" spans="1:2" x14ac:dyDescent="0.25">
      <c r="A1071" s="2">
        <v>1070</v>
      </c>
      <c r="B1071" s="3">
        <v>2</v>
      </c>
    </row>
    <row r="1072" spans="1:2" x14ac:dyDescent="0.25">
      <c r="A1072" s="2">
        <v>1071</v>
      </c>
      <c r="B1072" s="3">
        <v>2</v>
      </c>
    </row>
    <row r="1073" spans="1:2" x14ac:dyDescent="0.25">
      <c r="A1073" s="2">
        <v>1072</v>
      </c>
      <c r="B1073" s="3">
        <v>2</v>
      </c>
    </row>
    <row r="1074" spans="1:2" x14ac:dyDescent="0.25">
      <c r="A1074" s="2">
        <v>1073</v>
      </c>
      <c r="B1074" s="3">
        <v>2</v>
      </c>
    </row>
    <row r="1075" spans="1:2" x14ac:dyDescent="0.25">
      <c r="A1075" s="2">
        <v>1074</v>
      </c>
      <c r="B1075" s="3">
        <v>2</v>
      </c>
    </row>
    <row r="1076" spans="1:2" x14ac:dyDescent="0.25">
      <c r="A1076" s="2">
        <v>1075</v>
      </c>
      <c r="B1076" s="3">
        <v>2</v>
      </c>
    </row>
    <row r="1077" spans="1:2" x14ac:dyDescent="0.25">
      <c r="A1077" s="2">
        <v>1076</v>
      </c>
      <c r="B1077" s="3">
        <v>2</v>
      </c>
    </row>
    <row r="1078" spans="1:2" x14ac:dyDescent="0.25">
      <c r="A1078" s="2">
        <v>1077</v>
      </c>
      <c r="B1078" s="3">
        <v>2</v>
      </c>
    </row>
    <row r="1079" spans="1:2" x14ac:dyDescent="0.25">
      <c r="A1079" s="2">
        <v>1078</v>
      </c>
      <c r="B1079" s="3">
        <v>2</v>
      </c>
    </row>
    <row r="1080" spans="1:2" x14ac:dyDescent="0.25">
      <c r="A1080" s="2">
        <v>1079</v>
      </c>
      <c r="B1080" s="3">
        <v>2</v>
      </c>
    </row>
    <row r="1081" spans="1:2" x14ac:dyDescent="0.25">
      <c r="A1081" s="2">
        <v>1080</v>
      </c>
      <c r="B1081" s="3">
        <v>2</v>
      </c>
    </row>
    <row r="1082" spans="1:2" x14ac:dyDescent="0.25">
      <c r="A1082" s="2">
        <v>1081</v>
      </c>
      <c r="B1082" s="3">
        <v>2</v>
      </c>
    </row>
    <row r="1083" spans="1:2" x14ac:dyDescent="0.25">
      <c r="A1083" s="2">
        <v>1082</v>
      </c>
      <c r="B1083" s="3">
        <v>2</v>
      </c>
    </row>
    <row r="1084" spans="1:2" x14ac:dyDescent="0.25">
      <c r="A1084" s="2">
        <v>1083</v>
      </c>
      <c r="B1084" s="3">
        <v>2</v>
      </c>
    </row>
    <row r="1085" spans="1:2" x14ac:dyDescent="0.25">
      <c r="A1085" s="2">
        <v>1084</v>
      </c>
      <c r="B1085" s="3">
        <v>2</v>
      </c>
    </row>
    <row r="1086" spans="1:2" x14ac:dyDescent="0.25">
      <c r="A1086" s="2">
        <v>1085</v>
      </c>
      <c r="B1086" s="3">
        <v>2</v>
      </c>
    </row>
    <row r="1087" spans="1:2" x14ac:dyDescent="0.25">
      <c r="A1087" s="2">
        <v>1086</v>
      </c>
      <c r="B1087" s="3">
        <v>2</v>
      </c>
    </row>
    <row r="1088" spans="1:2" x14ac:dyDescent="0.25">
      <c r="A1088" s="2">
        <v>1087</v>
      </c>
      <c r="B1088" s="3">
        <v>2</v>
      </c>
    </row>
    <row r="1089" spans="1:2" x14ac:dyDescent="0.25">
      <c r="A1089" s="2">
        <v>1088</v>
      </c>
      <c r="B1089" s="3">
        <v>2</v>
      </c>
    </row>
    <row r="1090" spans="1:2" x14ac:dyDescent="0.25">
      <c r="A1090" s="2">
        <v>1089</v>
      </c>
      <c r="B1090" s="3">
        <v>2</v>
      </c>
    </row>
    <row r="1091" spans="1:2" x14ac:dyDescent="0.25">
      <c r="A1091" s="2">
        <v>1090</v>
      </c>
      <c r="B1091" s="3">
        <v>2</v>
      </c>
    </row>
    <row r="1092" spans="1:2" x14ac:dyDescent="0.25">
      <c r="A1092" s="2">
        <v>1091</v>
      </c>
      <c r="B1092" s="3">
        <v>2</v>
      </c>
    </row>
    <row r="1093" spans="1:2" x14ac:dyDescent="0.25">
      <c r="A1093" s="2">
        <v>1092</v>
      </c>
      <c r="B1093" s="3">
        <v>2</v>
      </c>
    </row>
    <row r="1094" spans="1:2" x14ac:dyDescent="0.25">
      <c r="A1094" s="2">
        <v>1093</v>
      </c>
      <c r="B1094" s="3">
        <v>2</v>
      </c>
    </row>
    <row r="1095" spans="1:2" x14ac:dyDescent="0.25">
      <c r="A1095" s="2">
        <v>1094</v>
      </c>
      <c r="B1095" s="3">
        <v>2</v>
      </c>
    </row>
    <row r="1096" spans="1:2" x14ac:dyDescent="0.25">
      <c r="A1096" s="2">
        <v>1095</v>
      </c>
      <c r="B1096" s="3">
        <v>1</v>
      </c>
    </row>
    <row r="1097" spans="1:2" x14ac:dyDescent="0.25">
      <c r="A1097" s="2">
        <v>1096</v>
      </c>
      <c r="B1097" s="3">
        <v>2</v>
      </c>
    </row>
    <row r="1098" spans="1:2" x14ac:dyDescent="0.25">
      <c r="A1098" s="2">
        <v>1097</v>
      </c>
      <c r="B1098" s="3">
        <v>1</v>
      </c>
    </row>
    <row r="1099" spans="1:2" x14ac:dyDescent="0.25">
      <c r="A1099" s="2">
        <v>1098</v>
      </c>
      <c r="B1099" s="3">
        <v>1</v>
      </c>
    </row>
    <row r="1100" spans="1:2" x14ac:dyDescent="0.25">
      <c r="A1100" s="2">
        <v>1099</v>
      </c>
      <c r="B1100" s="3">
        <v>1</v>
      </c>
    </row>
    <row r="1101" spans="1:2" x14ac:dyDescent="0.25">
      <c r="A1101" s="2">
        <v>1100</v>
      </c>
      <c r="B1101" s="3">
        <v>1</v>
      </c>
    </row>
    <row r="1102" spans="1:2" x14ac:dyDescent="0.25">
      <c r="A1102" s="2">
        <v>1101</v>
      </c>
      <c r="B1102" s="3">
        <v>1</v>
      </c>
    </row>
    <row r="1103" spans="1:2" x14ac:dyDescent="0.25">
      <c r="A1103" s="2">
        <v>1102</v>
      </c>
      <c r="B1103" s="3">
        <v>1</v>
      </c>
    </row>
    <row r="1104" spans="1:2" x14ac:dyDescent="0.25">
      <c r="A1104" s="2">
        <v>1103</v>
      </c>
      <c r="B1104" s="3">
        <v>1</v>
      </c>
    </row>
    <row r="1105" spans="1:2" x14ac:dyDescent="0.25">
      <c r="A1105" s="2">
        <v>1104</v>
      </c>
      <c r="B1105" s="3">
        <v>1</v>
      </c>
    </row>
    <row r="1106" spans="1:2" x14ac:dyDescent="0.25">
      <c r="A1106" s="2">
        <v>1105</v>
      </c>
      <c r="B1106" s="3">
        <v>2</v>
      </c>
    </row>
    <row r="1107" spans="1:2" x14ac:dyDescent="0.25">
      <c r="A1107" s="2">
        <v>1106</v>
      </c>
      <c r="B1107" s="3">
        <v>2</v>
      </c>
    </row>
    <row r="1108" spans="1:2" x14ac:dyDescent="0.25">
      <c r="A1108" s="2">
        <v>1107</v>
      </c>
      <c r="B1108" s="3">
        <v>2</v>
      </c>
    </row>
    <row r="1109" spans="1:2" x14ac:dyDescent="0.25">
      <c r="A1109" s="2">
        <v>1108</v>
      </c>
      <c r="B1109" s="3">
        <v>2</v>
      </c>
    </row>
    <row r="1110" spans="1:2" x14ac:dyDescent="0.25">
      <c r="A1110" s="2">
        <v>1109</v>
      </c>
      <c r="B1110" s="3">
        <v>1</v>
      </c>
    </row>
    <row r="1111" spans="1:2" x14ac:dyDescent="0.25">
      <c r="A1111" s="2">
        <v>1110</v>
      </c>
      <c r="B1111" s="3">
        <v>1</v>
      </c>
    </row>
    <row r="1112" spans="1:2" x14ac:dyDescent="0.25">
      <c r="A1112" s="2">
        <v>1111</v>
      </c>
      <c r="B1112" s="3">
        <v>2</v>
      </c>
    </row>
    <row r="1113" spans="1:2" x14ac:dyDescent="0.25">
      <c r="A1113" s="2">
        <v>1112</v>
      </c>
      <c r="B1113" s="3">
        <v>2</v>
      </c>
    </row>
    <row r="1114" spans="1:2" x14ac:dyDescent="0.25">
      <c r="A1114" s="2">
        <v>1113</v>
      </c>
      <c r="B1114" s="3">
        <v>2</v>
      </c>
    </row>
    <row r="1115" spans="1:2" x14ac:dyDescent="0.25">
      <c r="A1115" s="2">
        <v>1114</v>
      </c>
      <c r="B1115" s="3">
        <v>2</v>
      </c>
    </row>
    <row r="1116" spans="1:2" x14ac:dyDescent="0.25">
      <c r="A1116" s="2">
        <v>1115</v>
      </c>
      <c r="B1116" s="3">
        <v>2</v>
      </c>
    </row>
    <row r="1117" spans="1:2" x14ac:dyDescent="0.25">
      <c r="A1117" s="2">
        <v>1116</v>
      </c>
      <c r="B1117" s="3">
        <v>2</v>
      </c>
    </row>
    <row r="1118" spans="1:2" x14ac:dyDescent="0.25">
      <c r="A1118" s="2">
        <v>1117</v>
      </c>
      <c r="B1118" s="3">
        <v>2</v>
      </c>
    </row>
    <row r="1119" spans="1:2" x14ac:dyDescent="0.25">
      <c r="A1119" s="2">
        <v>1118</v>
      </c>
      <c r="B1119" s="3">
        <v>2</v>
      </c>
    </row>
    <row r="1120" spans="1:2" x14ac:dyDescent="0.25">
      <c r="A1120" s="2">
        <v>1119</v>
      </c>
      <c r="B1120" s="3">
        <v>2</v>
      </c>
    </row>
    <row r="1121" spans="1:2" x14ac:dyDescent="0.25">
      <c r="A1121" s="2">
        <v>1120</v>
      </c>
      <c r="B1121" s="3">
        <v>2</v>
      </c>
    </row>
    <row r="1122" spans="1:2" x14ac:dyDescent="0.25">
      <c r="A1122" s="2">
        <v>1121</v>
      </c>
      <c r="B1122" s="3">
        <v>2</v>
      </c>
    </row>
    <row r="1123" spans="1:2" x14ac:dyDescent="0.25">
      <c r="A1123" s="2">
        <v>1122</v>
      </c>
      <c r="B1123" s="3">
        <v>2</v>
      </c>
    </row>
    <row r="1124" spans="1:2" x14ac:dyDescent="0.25">
      <c r="A1124" s="2">
        <v>1123</v>
      </c>
      <c r="B1124" s="3">
        <v>2</v>
      </c>
    </row>
    <row r="1125" spans="1:2" x14ac:dyDescent="0.25">
      <c r="A1125" s="2">
        <v>1124</v>
      </c>
      <c r="B1125" s="3">
        <v>2</v>
      </c>
    </row>
    <row r="1126" spans="1:2" x14ac:dyDescent="0.25">
      <c r="A1126" s="2">
        <v>1125</v>
      </c>
      <c r="B1126" s="3">
        <v>2</v>
      </c>
    </row>
    <row r="1127" spans="1:2" x14ac:dyDescent="0.25">
      <c r="A1127" s="2">
        <v>1126</v>
      </c>
      <c r="B1127" s="3">
        <v>2</v>
      </c>
    </row>
    <row r="1128" spans="1:2" x14ac:dyDescent="0.25">
      <c r="A1128" s="2">
        <v>1127</v>
      </c>
      <c r="B1128" s="3">
        <v>2</v>
      </c>
    </row>
    <row r="1129" spans="1:2" x14ac:dyDescent="0.25">
      <c r="A1129" s="2">
        <v>1128</v>
      </c>
      <c r="B1129" s="3">
        <v>2</v>
      </c>
    </row>
    <row r="1130" spans="1:2" x14ac:dyDescent="0.25">
      <c r="A1130" s="2">
        <v>1129</v>
      </c>
      <c r="B1130" s="3">
        <v>2</v>
      </c>
    </row>
    <row r="1131" spans="1:2" x14ac:dyDescent="0.25">
      <c r="A1131" s="2">
        <v>1130</v>
      </c>
      <c r="B1131" s="3">
        <v>2</v>
      </c>
    </row>
    <row r="1132" spans="1:2" x14ac:dyDescent="0.25">
      <c r="A1132" s="2">
        <v>1131</v>
      </c>
      <c r="B1132" s="3">
        <v>2</v>
      </c>
    </row>
    <row r="1133" spans="1:2" x14ac:dyDescent="0.25">
      <c r="A1133" s="2">
        <v>1132</v>
      </c>
      <c r="B1133" s="3">
        <v>2</v>
      </c>
    </row>
    <row r="1134" spans="1:2" x14ac:dyDescent="0.25">
      <c r="A1134" s="2">
        <v>1133</v>
      </c>
      <c r="B1134" s="3">
        <v>2</v>
      </c>
    </row>
    <row r="1135" spans="1:2" x14ac:dyDescent="0.25">
      <c r="A1135" s="2">
        <v>1134</v>
      </c>
      <c r="B1135" s="3">
        <v>2</v>
      </c>
    </row>
    <row r="1136" spans="1:2" x14ac:dyDescent="0.25">
      <c r="A1136" s="2">
        <v>1135</v>
      </c>
      <c r="B1136" s="3">
        <v>2</v>
      </c>
    </row>
    <row r="1137" spans="1:2" x14ac:dyDescent="0.25">
      <c r="A1137" s="2">
        <v>1136</v>
      </c>
      <c r="B1137" s="3">
        <v>2</v>
      </c>
    </row>
    <row r="1138" spans="1:2" x14ac:dyDescent="0.25">
      <c r="A1138" s="2">
        <v>1137</v>
      </c>
      <c r="B1138" s="3">
        <v>2</v>
      </c>
    </row>
    <row r="1139" spans="1:2" x14ac:dyDescent="0.25">
      <c r="A1139" s="2">
        <v>1138</v>
      </c>
      <c r="B1139" s="3">
        <v>2</v>
      </c>
    </row>
    <row r="1140" spans="1:2" x14ac:dyDescent="0.25">
      <c r="A1140" s="2">
        <v>1139</v>
      </c>
      <c r="B1140" s="3">
        <v>2</v>
      </c>
    </row>
    <row r="1141" spans="1:2" x14ac:dyDescent="0.25">
      <c r="A1141" s="2">
        <v>1140</v>
      </c>
      <c r="B1141" s="3">
        <v>2</v>
      </c>
    </row>
    <row r="1142" spans="1:2" x14ac:dyDescent="0.25">
      <c r="A1142" s="2">
        <v>1141</v>
      </c>
      <c r="B1142" s="3">
        <v>2</v>
      </c>
    </row>
    <row r="1143" spans="1:2" x14ac:dyDescent="0.25">
      <c r="A1143" s="2">
        <v>1142</v>
      </c>
      <c r="B1143" s="3">
        <v>2</v>
      </c>
    </row>
    <row r="1144" spans="1:2" x14ac:dyDescent="0.25">
      <c r="A1144" s="2">
        <v>1143</v>
      </c>
      <c r="B1144" s="3">
        <v>2</v>
      </c>
    </row>
    <row r="1145" spans="1:2" x14ac:dyDescent="0.25">
      <c r="A1145" s="2">
        <v>1144</v>
      </c>
      <c r="B1145" s="3">
        <v>2</v>
      </c>
    </row>
    <row r="1146" spans="1:2" x14ac:dyDescent="0.25">
      <c r="A1146" s="2">
        <v>1145</v>
      </c>
      <c r="B1146" s="3">
        <v>2</v>
      </c>
    </row>
    <row r="1147" spans="1:2" x14ac:dyDescent="0.25">
      <c r="A1147" s="2">
        <v>1146</v>
      </c>
      <c r="B1147" s="3">
        <v>2</v>
      </c>
    </row>
    <row r="1148" spans="1:2" x14ac:dyDescent="0.25">
      <c r="A1148" s="2">
        <v>1147</v>
      </c>
      <c r="B1148" s="3">
        <v>2</v>
      </c>
    </row>
    <row r="1149" spans="1:2" x14ac:dyDescent="0.25">
      <c r="A1149" s="2">
        <v>1148</v>
      </c>
      <c r="B1149" s="3">
        <v>2</v>
      </c>
    </row>
    <row r="1150" spans="1:2" x14ac:dyDescent="0.25">
      <c r="A1150" s="2">
        <v>1149</v>
      </c>
      <c r="B1150" s="3">
        <v>2</v>
      </c>
    </row>
    <row r="1151" spans="1:2" x14ac:dyDescent="0.25">
      <c r="A1151" s="2">
        <v>1150</v>
      </c>
      <c r="B1151" s="3">
        <v>2</v>
      </c>
    </row>
    <row r="1152" spans="1:2" x14ac:dyDescent="0.25">
      <c r="A1152" s="2">
        <v>1151</v>
      </c>
      <c r="B1152" s="3">
        <v>2</v>
      </c>
    </row>
    <row r="1153" spans="1:2" x14ac:dyDescent="0.25">
      <c r="A1153" s="2">
        <v>1152</v>
      </c>
      <c r="B1153" s="3">
        <v>2</v>
      </c>
    </row>
    <row r="1154" spans="1:2" x14ac:dyDescent="0.25">
      <c r="A1154" s="2">
        <v>1153</v>
      </c>
      <c r="B1154" s="3">
        <v>2</v>
      </c>
    </row>
    <row r="1155" spans="1:2" x14ac:dyDescent="0.25">
      <c r="A1155" s="2">
        <v>1154</v>
      </c>
      <c r="B1155" s="3">
        <v>2</v>
      </c>
    </row>
    <row r="1156" spans="1:2" x14ac:dyDescent="0.25">
      <c r="A1156" s="2">
        <v>1155</v>
      </c>
      <c r="B1156" s="3">
        <v>2</v>
      </c>
    </row>
    <row r="1157" spans="1:2" x14ac:dyDescent="0.25">
      <c r="A1157" s="2">
        <v>1156</v>
      </c>
      <c r="B1157" s="3">
        <v>2</v>
      </c>
    </row>
    <row r="1158" spans="1:2" x14ac:dyDescent="0.25">
      <c r="A1158" s="2">
        <v>1157</v>
      </c>
      <c r="B1158" s="3">
        <v>2</v>
      </c>
    </row>
    <row r="1159" spans="1:2" x14ac:dyDescent="0.25">
      <c r="A1159" s="2">
        <v>1158</v>
      </c>
      <c r="B1159" s="3">
        <v>2</v>
      </c>
    </row>
    <row r="1160" spans="1:2" x14ac:dyDescent="0.25">
      <c r="A1160" s="2">
        <v>1159</v>
      </c>
      <c r="B1160" s="3">
        <v>2</v>
      </c>
    </row>
    <row r="1161" spans="1:2" x14ac:dyDescent="0.25">
      <c r="A1161" s="2">
        <v>1160</v>
      </c>
      <c r="B1161" s="3">
        <v>2</v>
      </c>
    </row>
    <row r="1162" spans="1:2" x14ac:dyDescent="0.25">
      <c r="A1162" s="2">
        <v>1161</v>
      </c>
      <c r="B1162" s="3">
        <v>2</v>
      </c>
    </row>
    <row r="1163" spans="1:2" x14ac:dyDescent="0.25">
      <c r="A1163" s="2">
        <v>1162</v>
      </c>
      <c r="B1163" s="3">
        <v>2</v>
      </c>
    </row>
    <row r="1164" spans="1:2" x14ac:dyDescent="0.25">
      <c r="A1164" s="2">
        <v>1163</v>
      </c>
      <c r="B1164" s="3">
        <v>2</v>
      </c>
    </row>
    <row r="1165" spans="1:2" x14ac:dyDescent="0.25">
      <c r="A1165" s="2">
        <v>1164</v>
      </c>
      <c r="B1165" s="3">
        <v>2</v>
      </c>
    </row>
    <row r="1166" spans="1:2" x14ac:dyDescent="0.25">
      <c r="A1166" s="2">
        <v>1165</v>
      </c>
      <c r="B1166" s="3">
        <v>2</v>
      </c>
    </row>
    <row r="1167" spans="1:2" x14ac:dyDescent="0.25">
      <c r="A1167" s="2">
        <v>1166</v>
      </c>
      <c r="B1167" s="3">
        <v>2</v>
      </c>
    </row>
    <row r="1168" spans="1:2" x14ac:dyDescent="0.25">
      <c r="A1168" s="2">
        <v>1167</v>
      </c>
      <c r="B1168" s="3">
        <v>2</v>
      </c>
    </row>
    <row r="1169" spans="1:2" x14ac:dyDescent="0.25">
      <c r="A1169" s="2">
        <v>1168</v>
      </c>
      <c r="B1169" s="3">
        <v>2</v>
      </c>
    </row>
    <row r="1170" spans="1:2" x14ac:dyDescent="0.25">
      <c r="A1170" s="2">
        <v>1169</v>
      </c>
      <c r="B1170" s="3">
        <v>2</v>
      </c>
    </row>
    <row r="1171" spans="1:2" x14ac:dyDescent="0.25">
      <c r="A1171" s="2">
        <v>1170</v>
      </c>
      <c r="B1171" s="3">
        <v>2</v>
      </c>
    </row>
    <row r="1172" spans="1:2" x14ac:dyDescent="0.25">
      <c r="A1172" s="2">
        <v>1171</v>
      </c>
      <c r="B1172" s="3">
        <v>2</v>
      </c>
    </row>
    <row r="1173" spans="1:2" x14ac:dyDescent="0.25">
      <c r="A1173" s="2">
        <v>1172</v>
      </c>
      <c r="B1173" s="3">
        <v>2</v>
      </c>
    </row>
    <row r="1174" spans="1:2" x14ac:dyDescent="0.25">
      <c r="A1174" s="2">
        <v>1173</v>
      </c>
      <c r="B1174" s="3">
        <v>2</v>
      </c>
    </row>
    <row r="1175" spans="1:2" x14ac:dyDescent="0.25">
      <c r="A1175" s="2">
        <v>1174</v>
      </c>
      <c r="B1175" s="3">
        <v>2</v>
      </c>
    </row>
    <row r="1176" spans="1:2" x14ac:dyDescent="0.25">
      <c r="A1176" s="2">
        <v>1175</v>
      </c>
      <c r="B1176" s="3">
        <v>2</v>
      </c>
    </row>
    <row r="1177" spans="1:2" x14ac:dyDescent="0.25">
      <c r="A1177" s="2">
        <v>1176</v>
      </c>
      <c r="B1177" s="3">
        <v>2</v>
      </c>
    </row>
    <row r="1178" spans="1:2" x14ac:dyDescent="0.25">
      <c r="A1178" s="2">
        <v>1177</v>
      </c>
      <c r="B1178" s="3">
        <v>2</v>
      </c>
    </row>
    <row r="1179" spans="1:2" x14ac:dyDescent="0.25">
      <c r="A1179" s="2">
        <v>1178</v>
      </c>
      <c r="B1179" s="3">
        <v>2</v>
      </c>
    </row>
    <row r="1180" spans="1:2" x14ac:dyDescent="0.25">
      <c r="A1180" s="2">
        <v>1179</v>
      </c>
      <c r="B1180" s="3">
        <v>2</v>
      </c>
    </row>
    <row r="1181" spans="1:2" x14ac:dyDescent="0.25">
      <c r="A1181" s="2">
        <v>1180</v>
      </c>
      <c r="B1181" s="3">
        <v>2</v>
      </c>
    </row>
    <row r="1182" spans="1:2" x14ac:dyDescent="0.25">
      <c r="A1182" s="2">
        <v>1181</v>
      </c>
      <c r="B1182" s="3">
        <v>2</v>
      </c>
    </row>
    <row r="1183" spans="1:2" x14ac:dyDescent="0.25">
      <c r="A1183" s="2">
        <v>1182</v>
      </c>
      <c r="B1183" s="3">
        <v>2</v>
      </c>
    </row>
    <row r="1184" spans="1:2" x14ac:dyDescent="0.25">
      <c r="A1184" s="2">
        <v>1183</v>
      </c>
      <c r="B1184" s="3">
        <v>2</v>
      </c>
    </row>
    <row r="1185" spans="1:2" x14ac:dyDescent="0.25">
      <c r="A1185" s="2">
        <v>1184</v>
      </c>
      <c r="B1185" s="3">
        <v>2</v>
      </c>
    </row>
    <row r="1186" spans="1:2" x14ac:dyDescent="0.25">
      <c r="A1186" s="2">
        <v>1185</v>
      </c>
      <c r="B1186" s="3">
        <v>2</v>
      </c>
    </row>
    <row r="1187" spans="1:2" x14ac:dyDescent="0.25">
      <c r="A1187" s="2">
        <v>1186</v>
      </c>
      <c r="B1187" s="3">
        <v>2</v>
      </c>
    </row>
    <row r="1188" spans="1:2" x14ac:dyDescent="0.25">
      <c r="A1188" s="2">
        <v>1187</v>
      </c>
      <c r="B1188" s="3">
        <v>2</v>
      </c>
    </row>
    <row r="1189" spans="1:2" x14ac:dyDescent="0.25">
      <c r="A1189" s="2">
        <v>1188</v>
      </c>
      <c r="B1189" s="3">
        <v>2</v>
      </c>
    </row>
    <row r="1190" spans="1:2" x14ac:dyDescent="0.25">
      <c r="A1190" s="2">
        <v>1189</v>
      </c>
      <c r="B1190" s="3">
        <v>2</v>
      </c>
    </row>
    <row r="1191" spans="1:2" x14ac:dyDescent="0.25">
      <c r="A1191" s="2">
        <v>1190</v>
      </c>
      <c r="B1191" s="3">
        <v>2</v>
      </c>
    </row>
    <row r="1192" spans="1:2" x14ac:dyDescent="0.25">
      <c r="A1192" s="2">
        <v>1191</v>
      </c>
      <c r="B1192" s="3">
        <v>2</v>
      </c>
    </row>
    <row r="1193" spans="1:2" x14ac:dyDescent="0.25">
      <c r="A1193" s="2">
        <v>1192</v>
      </c>
      <c r="B1193" s="3">
        <v>2</v>
      </c>
    </row>
    <row r="1194" spans="1:2" x14ac:dyDescent="0.25">
      <c r="A1194" s="2">
        <v>1193</v>
      </c>
      <c r="B1194" s="3">
        <v>2</v>
      </c>
    </row>
    <row r="1195" spans="1:2" x14ac:dyDescent="0.25">
      <c r="A1195" s="2">
        <v>1194</v>
      </c>
      <c r="B1195" s="3">
        <v>2</v>
      </c>
    </row>
    <row r="1196" spans="1:2" x14ac:dyDescent="0.25">
      <c r="A1196" s="2">
        <v>1195</v>
      </c>
      <c r="B1196" s="3">
        <v>2</v>
      </c>
    </row>
    <row r="1197" spans="1:2" x14ac:dyDescent="0.25">
      <c r="A1197" s="2">
        <v>1196</v>
      </c>
      <c r="B1197" s="3">
        <v>2</v>
      </c>
    </row>
    <row r="1198" spans="1:2" x14ac:dyDescent="0.25">
      <c r="A1198" s="2">
        <v>1197</v>
      </c>
      <c r="B1198" s="3">
        <v>2</v>
      </c>
    </row>
    <row r="1199" spans="1:2" x14ac:dyDescent="0.25">
      <c r="A1199" s="2">
        <v>1198</v>
      </c>
      <c r="B1199" s="3">
        <v>2</v>
      </c>
    </row>
    <row r="1200" spans="1:2" x14ac:dyDescent="0.25">
      <c r="A1200" s="2">
        <v>1199</v>
      </c>
      <c r="B1200" s="3">
        <v>2</v>
      </c>
    </row>
    <row r="1201" spans="1:2" x14ac:dyDescent="0.25">
      <c r="A1201" s="2">
        <v>1200</v>
      </c>
      <c r="B1201" s="3">
        <v>2</v>
      </c>
    </row>
    <row r="1202" spans="1:2" x14ac:dyDescent="0.25">
      <c r="A1202" s="2">
        <v>1201</v>
      </c>
      <c r="B1202" s="3">
        <v>2</v>
      </c>
    </row>
    <row r="1203" spans="1:2" x14ac:dyDescent="0.25">
      <c r="A1203" s="2">
        <v>1202</v>
      </c>
      <c r="B1203" s="3">
        <v>2</v>
      </c>
    </row>
    <row r="1204" spans="1:2" x14ac:dyDescent="0.25">
      <c r="A1204" s="2">
        <v>1203</v>
      </c>
      <c r="B1204" s="3">
        <v>2</v>
      </c>
    </row>
    <row r="1205" spans="1:2" x14ac:dyDescent="0.25">
      <c r="A1205" s="2">
        <v>1204</v>
      </c>
      <c r="B1205" s="3">
        <v>2</v>
      </c>
    </row>
    <row r="1206" spans="1:2" x14ac:dyDescent="0.25">
      <c r="A1206" s="2">
        <v>1205</v>
      </c>
      <c r="B1206" s="3">
        <v>2</v>
      </c>
    </row>
    <row r="1207" spans="1:2" x14ac:dyDescent="0.25">
      <c r="A1207" s="2">
        <v>1206</v>
      </c>
      <c r="B1207" s="3">
        <v>2</v>
      </c>
    </row>
    <row r="1208" spans="1:2" x14ac:dyDescent="0.25">
      <c r="A1208" s="2">
        <v>1207</v>
      </c>
      <c r="B1208" s="3">
        <v>2</v>
      </c>
    </row>
    <row r="1209" spans="1:2" x14ac:dyDescent="0.25">
      <c r="A1209" s="2">
        <v>1208</v>
      </c>
      <c r="B1209" s="3">
        <v>2</v>
      </c>
    </row>
    <row r="1210" spans="1:2" x14ac:dyDescent="0.25">
      <c r="A1210" s="2">
        <v>1209</v>
      </c>
      <c r="B1210" s="3">
        <v>2</v>
      </c>
    </row>
    <row r="1211" spans="1:2" x14ac:dyDescent="0.25">
      <c r="A1211" s="2">
        <v>1210</v>
      </c>
      <c r="B1211" s="3">
        <v>2</v>
      </c>
    </row>
    <row r="1212" spans="1:2" x14ac:dyDescent="0.25">
      <c r="A1212" s="2">
        <v>1211</v>
      </c>
      <c r="B1212" s="3">
        <v>2</v>
      </c>
    </row>
    <row r="1213" spans="1:2" x14ac:dyDescent="0.25">
      <c r="A1213" s="2">
        <v>1212</v>
      </c>
      <c r="B1213" s="3">
        <v>2</v>
      </c>
    </row>
    <row r="1214" spans="1:2" x14ac:dyDescent="0.25">
      <c r="A1214" s="2">
        <v>1213</v>
      </c>
      <c r="B1214" s="3">
        <v>2</v>
      </c>
    </row>
    <row r="1215" spans="1:2" x14ac:dyDescent="0.25">
      <c r="A1215" s="2">
        <v>1214</v>
      </c>
      <c r="B1215" s="3">
        <v>2</v>
      </c>
    </row>
    <row r="1216" spans="1:2" x14ac:dyDescent="0.25">
      <c r="A1216" s="2">
        <v>1215</v>
      </c>
      <c r="B1216" s="3">
        <v>2</v>
      </c>
    </row>
    <row r="1217" spans="1:2" x14ac:dyDescent="0.25">
      <c r="A1217" s="2">
        <v>1216</v>
      </c>
      <c r="B1217" s="3">
        <v>2</v>
      </c>
    </row>
    <row r="1218" spans="1:2" x14ac:dyDescent="0.25">
      <c r="A1218" s="2">
        <v>1217</v>
      </c>
      <c r="B1218" s="3">
        <v>2</v>
      </c>
    </row>
    <row r="1219" spans="1:2" x14ac:dyDescent="0.25">
      <c r="A1219" s="2">
        <v>1218</v>
      </c>
      <c r="B1219" s="3">
        <v>2</v>
      </c>
    </row>
    <row r="1220" spans="1:2" x14ac:dyDescent="0.25">
      <c r="A1220" s="2">
        <v>1219</v>
      </c>
      <c r="B1220" s="3">
        <v>2</v>
      </c>
    </row>
    <row r="1221" spans="1:2" x14ac:dyDescent="0.25">
      <c r="A1221" s="2">
        <v>1220</v>
      </c>
      <c r="B1221" s="3">
        <v>2</v>
      </c>
    </row>
    <row r="1222" spans="1:2" x14ac:dyDescent="0.25">
      <c r="A1222" s="2">
        <v>1221</v>
      </c>
      <c r="B1222" s="3">
        <v>2</v>
      </c>
    </row>
    <row r="1223" spans="1:2" x14ac:dyDescent="0.25">
      <c r="A1223" s="2">
        <v>1222</v>
      </c>
      <c r="B1223" s="3">
        <v>2</v>
      </c>
    </row>
    <row r="1224" spans="1:2" x14ac:dyDescent="0.25">
      <c r="A1224" s="2">
        <v>1223</v>
      </c>
      <c r="B1224" s="3">
        <v>2</v>
      </c>
    </row>
    <row r="1225" spans="1:2" x14ac:dyDescent="0.25">
      <c r="A1225" s="2">
        <v>1224</v>
      </c>
      <c r="B1225" s="3">
        <v>2</v>
      </c>
    </row>
    <row r="1226" spans="1:2" x14ac:dyDescent="0.25">
      <c r="A1226" s="2">
        <v>1225</v>
      </c>
      <c r="B1226" s="3">
        <v>2</v>
      </c>
    </row>
    <row r="1227" spans="1:2" x14ac:dyDescent="0.25">
      <c r="A1227" s="2">
        <v>1226</v>
      </c>
      <c r="B1227" s="3">
        <v>2</v>
      </c>
    </row>
    <row r="1228" spans="1:2" x14ac:dyDescent="0.25">
      <c r="A1228" s="2">
        <v>1227</v>
      </c>
      <c r="B1228" s="3">
        <v>2</v>
      </c>
    </row>
    <row r="1229" spans="1:2" x14ac:dyDescent="0.25">
      <c r="A1229" s="2">
        <v>1228</v>
      </c>
      <c r="B1229" s="3">
        <v>2</v>
      </c>
    </row>
    <row r="1230" spans="1:2" x14ac:dyDescent="0.25">
      <c r="A1230" s="2">
        <v>1229</v>
      </c>
      <c r="B1230" s="3">
        <v>2</v>
      </c>
    </row>
    <row r="1231" spans="1:2" x14ac:dyDescent="0.25">
      <c r="A1231" s="2">
        <v>1230</v>
      </c>
      <c r="B1231" s="3">
        <v>2</v>
      </c>
    </row>
    <row r="1232" spans="1:2" x14ac:dyDescent="0.25">
      <c r="A1232" s="2">
        <v>1231</v>
      </c>
      <c r="B1232" s="3">
        <v>2</v>
      </c>
    </row>
    <row r="1233" spans="1:2" x14ac:dyDescent="0.25">
      <c r="A1233" s="2">
        <v>1232</v>
      </c>
      <c r="B1233" s="3">
        <v>2</v>
      </c>
    </row>
    <row r="1234" spans="1:2" x14ac:dyDescent="0.25">
      <c r="A1234" s="2">
        <v>1233</v>
      </c>
      <c r="B1234" s="3">
        <v>2</v>
      </c>
    </row>
    <row r="1235" spans="1:2" x14ac:dyDescent="0.25">
      <c r="A1235" s="2">
        <v>1234</v>
      </c>
      <c r="B1235" s="3">
        <v>2</v>
      </c>
    </row>
    <row r="1236" spans="1:2" x14ac:dyDescent="0.25">
      <c r="A1236" s="2">
        <v>1235</v>
      </c>
      <c r="B1236" s="3">
        <v>2</v>
      </c>
    </row>
    <row r="1237" spans="1:2" x14ac:dyDescent="0.25">
      <c r="A1237" s="2">
        <v>1236</v>
      </c>
      <c r="B1237" s="3">
        <v>2</v>
      </c>
    </row>
    <row r="1238" spans="1:2" x14ac:dyDescent="0.25">
      <c r="A1238" s="2">
        <v>1237</v>
      </c>
      <c r="B1238" s="3">
        <v>2</v>
      </c>
    </row>
    <row r="1239" spans="1:2" x14ac:dyDescent="0.25">
      <c r="A1239" s="2">
        <v>1238</v>
      </c>
      <c r="B1239" s="3">
        <v>2</v>
      </c>
    </row>
    <row r="1240" spans="1:2" x14ac:dyDescent="0.25">
      <c r="A1240" s="2">
        <v>1239</v>
      </c>
      <c r="B1240" s="3">
        <v>2</v>
      </c>
    </row>
    <row r="1241" spans="1:2" x14ac:dyDescent="0.25">
      <c r="A1241" s="2">
        <v>1240</v>
      </c>
      <c r="B1241" s="3">
        <v>2</v>
      </c>
    </row>
    <row r="1242" spans="1:2" x14ac:dyDescent="0.25">
      <c r="A1242" s="2">
        <v>1241</v>
      </c>
      <c r="B1242" s="3">
        <v>2</v>
      </c>
    </row>
    <row r="1243" spans="1:2" x14ac:dyDescent="0.25">
      <c r="A1243" s="2">
        <v>1242</v>
      </c>
      <c r="B1243" s="3">
        <v>2</v>
      </c>
    </row>
    <row r="1244" spans="1:2" x14ac:dyDescent="0.25">
      <c r="A1244" s="2">
        <v>1243</v>
      </c>
      <c r="B1244" s="3">
        <v>2</v>
      </c>
    </row>
    <row r="1245" spans="1:2" x14ac:dyDescent="0.25">
      <c r="A1245" s="2">
        <v>1244</v>
      </c>
      <c r="B1245" s="3">
        <v>2</v>
      </c>
    </row>
    <row r="1246" spans="1:2" x14ac:dyDescent="0.25">
      <c r="A1246" s="2">
        <v>1245</v>
      </c>
      <c r="B1246" s="3">
        <v>2</v>
      </c>
    </row>
    <row r="1247" spans="1:2" x14ac:dyDescent="0.25">
      <c r="A1247" s="2">
        <v>1246</v>
      </c>
      <c r="B1247" s="3">
        <v>2</v>
      </c>
    </row>
    <row r="1248" spans="1:2" x14ac:dyDescent="0.25">
      <c r="A1248" s="2">
        <v>1247</v>
      </c>
      <c r="B1248" s="3">
        <v>2</v>
      </c>
    </row>
    <row r="1249" spans="1:2" x14ac:dyDescent="0.25">
      <c r="A1249" s="2">
        <v>1248</v>
      </c>
      <c r="B1249" s="3">
        <v>2</v>
      </c>
    </row>
    <row r="1250" spans="1:2" x14ac:dyDescent="0.25">
      <c r="A1250" s="2">
        <v>1249</v>
      </c>
      <c r="B1250" s="3">
        <v>2</v>
      </c>
    </row>
    <row r="1251" spans="1:2" x14ac:dyDescent="0.25">
      <c r="A1251" s="2">
        <v>1250</v>
      </c>
      <c r="B1251" s="3">
        <v>2</v>
      </c>
    </row>
    <row r="1252" spans="1:2" x14ac:dyDescent="0.25">
      <c r="A1252" s="2">
        <v>1251</v>
      </c>
      <c r="B1252" s="3">
        <v>2</v>
      </c>
    </row>
    <row r="1253" spans="1:2" x14ac:dyDescent="0.25">
      <c r="A1253" s="2">
        <v>1252</v>
      </c>
      <c r="B1253" s="3">
        <v>2</v>
      </c>
    </row>
    <row r="1254" spans="1:2" x14ac:dyDescent="0.25">
      <c r="A1254" s="2">
        <v>1253</v>
      </c>
      <c r="B1254" s="3">
        <v>2</v>
      </c>
    </row>
    <row r="1255" spans="1:2" x14ac:dyDescent="0.25">
      <c r="A1255" s="2">
        <v>1254</v>
      </c>
      <c r="B1255" s="3">
        <v>2</v>
      </c>
    </row>
    <row r="1256" spans="1:2" x14ac:dyDescent="0.25">
      <c r="A1256" s="2">
        <v>1255</v>
      </c>
      <c r="B1256" s="3">
        <v>2</v>
      </c>
    </row>
    <row r="1257" spans="1:2" x14ac:dyDescent="0.25">
      <c r="A1257" s="2">
        <v>1256</v>
      </c>
      <c r="B1257" s="3">
        <v>2</v>
      </c>
    </row>
    <row r="1258" spans="1:2" x14ac:dyDescent="0.25">
      <c r="A1258" s="2">
        <v>1257</v>
      </c>
      <c r="B1258" s="3">
        <v>2</v>
      </c>
    </row>
    <row r="1259" spans="1:2" x14ac:dyDescent="0.25">
      <c r="A1259" s="2">
        <v>1258</v>
      </c>
      <c r="B1259" s="3">
        <v>2</v>
      </c>
    </row>
    <row r="1260" spans="1:2" x14ac:dyDescent="0.25">
      <c r="A1260" s="2">
        <v>1259</v>
      </c>
      <c r="B1260" s="3">
        <v>2</v>
      </c>
    </row>
    <row r="1261" spans="1:2" x14ac:dyDescent="0.25">
      <c r="A1261" s="2">
        <v>1260</v>
      </c>
      <c r="B1261" s="3">
        <v>2</v>
      </c>
    </row>
    <row r="1262" spans="1:2" x14ac:dyDescent="0.25">
      <c r="A1262" s="2">
        <v>1261</v>
      </c>
      <c r="B1262" s="3">
        <v>2</v>
      </c>
    </row>
    <row r="1263" spans="1:2" x14ac:dyDescent="0.25">
      <c r="A1263" s="2">
        <v>1262</v>
      </c>
      <c r="B1263" s="3">
        <v>2</v>
      </c>
    </row>
    <row r="1264" spans="1:2" x14ac:dyDescent="0.25">
      <c r="A1264" s="2">
        <v>1263</v>
      </c>
      <c r="B1264" s="3">
        <v>2</v>
      </c>
    </row>
    <row r="1265" spans="1:2" x14ac:dyDescent="0.25">
      <c r="A1265" s="2">
        <v>1264</v>
      </c>
      <c r="B1265" s="3">
        <v>2</v>
      </c>
    </row>
    <row r="1266" spans="1:2" x14ac:dyDescent="0.25">
      <c r="A1266" s="2">
        <v>1265</v>
      </c>
      <c r="B1266" s="3">
        <v>2</v>
      </c>
    </row>
    <row r="1267" spans="1:2" x14ac:dyDescent="0.25">
      <c r="A1267" s="2">
        <v>1266</v>
      </c>
      <c r="B1267" s="3">
        <v>2</v>
      </c>
    </row>
    <row r="1268" spans="1:2" x14ac:dyDescent="0.25">
      <c r="A1268" s="2">
        <v>1267</v>
      </c>
      <c r="B1268" s="3">
        <v>2</v>
      </c>
    </row>
    <row r="1269" spans="1:2" x14ac:dyDescent="0.25">
      <c r="A1269" s="2">
        <v>1268</v>
      </c>
      <c r="B1269" s="3">
        <v>2</v>
      </c>
    </row>
    <row r="1270" spans="1:2" x14ac:dyDescent="0.25">
      <c r="A1270" s="2">
        <v>1269</v>
      </c>
      <c r="B1270" s="3">
        <v>2</v>
      </c>
    </row>
    <row r="1271" spans="1:2" x14ac:dyDescent="0.25">
      <c r="A1271" s="2">
        <v>1270</v>
      </c>
      <c r="B1271" s="3">
        <v>2</v>
      </c>
    </row>
    <row r="1272" spans="1:2" x14ac:dyDescent="0.25">
      <c r="A1272" s="2">
        <v>1271</v>
      </c>
      <c r="B1272" s="3">
        <v>2</v>
      </c>
    </row>
    <row r="1273" spans="1:2" x14ac:dyDescent="0.25">
      <c r="A1273" s="2">
        <v>1272</v>
      </c>
      <c r="B1273" s="3">
        <v>1</v>
      </c>
    </row>
    <row r="1274" spans="1:2" x14ac:dyDescent="0.25">
      <c r="A1274" s="2">
        <v>1273</v>
      </c>
      <c r="B1274" s="3">
        <v>1</v>
      </c>
    </row>
    <row r="1275" spans="1:2" x14ac:dyDescent="0.25">
      <c r="A1275" s="2">
        <v>1274</v>
      </c>
      <c r="B1275" s="3">
        <v>1</v>
      </c>
    </row>
    <row r="1276" spans="1:2" x14ac:dyDescent="0.25">
      <c r="A1276" s="2">
        <v>1275</v>
      </c>
      <c r="B1276" s="3">
        <v>1</v>
      </c>
    </row>
    <row r="1277" spans="1:2" x14ac:dyDescent="0.25">
      <c r="A1277" s="2">
        <v>1276</v>
      </c>
      <c r="B1277" s="3">
        <v>1</v>
      </c>
    </row>
    <row r="1278" spans="1:2" x14ac:dyDescent="0.25">
      <c r="A1278" s="2">
        <v>1277</v>
      </c>
      <c r="B1278" s="3">
        <v>1</v>
      </c>
    </row>
    <row r="1279" spans="1:2" x14ac:dyDescent="0.25">
      <c r="A1279" s="2">
        <v>1278</v>
      </c>
      <c r="B1279" s="3">
        <v>1</v>
      </c>
    </row>
    <row r="1280" spans="1:2" x14ac:dyDescent="0.25">
      <c r="A1280" s="2">
        <v>1279</v>
      </c>
      <c r="B1280" s="3">
        <v>1</v>
      </c>
    </row>
    <row r="1281" spans="1:2" x14ac:dyDescent="0.25">
      <c r="A1281" s="2">
        <v>1280</v>
      </c>
      <c r="B1281" s="3">
        <v>1</v>
      </c>
    </row>
    <row r="1282" spans="1:2" x14ac:dyDescent="0.25">
      <c r="A1282" s="2">
        <v>1281</v>
      </c>
      <c r="B1282" s="3">
        <v>1</v>
      </c>
    </row>
    <row r="1283" spans="1:2" x14ac:dyDescent="0.25">
      <c r="A1283" s="2">
        <v>1282</v>
      </c>
      <c r="B1283" s="3">
        <v>1</v>
      </c>
    </row>
    <row r="1284" spans="1:2" x14ac:dyDescent="0.25">
      <c r="A1284" s="2">
        <v>1283</v>
      </c>
      <c r="B1284" s="3">
        <v>1</v>
      </c>
    </row>
    <row r="1285" spans="1:2" x14ac:dyDescent="0.25">
      <c r="A1285" s="2">
        <v>1284</v>
      </c>
      <c r="B1285" s="3">
        <v>1</v>
      </c>
    </row>
    <row r="1286" spans="1:2" x14ac:dyDescent="0.25">
      <c r="A1286" s="2">
        <v>1285</v>
      </c>
      <c r="B1286" s="3">
        <v>1</v>
      </c>
    </row>
    <row r="1287" spans="1:2" x14ac:dyDescent="0.25">
      <c r="A1287" s="2">
        <v>1286</v>
      </c>
      <c r="B1287" s="3">
        <v>1</v>
      </c>
    </row>
    <row r="1288" spans="1:2" x14ac:dyDescent="0.25">
      <c r="A1288" s="2">
        <v>1287</v>
      </c>
      <c r="B1288" s="3">
        <v>1</v>
      </c>
    </row>
    <row r="1289" spans="1:2" x14ac:dyDescent="0.25">
      <c r="A1289" s="2">
        <v>1288</v>
      </c>
      <c r="B1289" s="3">
        <v>1</v>
      </c>
    </row>
    <row r="1290" spans="1:2" x14ac:dyDescent="0.25">
      <c r="A1290" s="2">
        <v>1289</v>
      </c>
      <c r="B1290" s="3">
        <v>1</v>
      </c>
    </row>
    <row r="1291" spans="1:2" x14ac:dyDescent="0.25">
      <c r="A1291" s="2">
        <v>1290</v>
      </c>
      <c r="B1291" s="3">
        <v>1</v>
      </c>
    </row>
    <row r="1292" spans="1:2" x14ac:dyDescent="0.25">
      <c r="A1292" s="2">
        <v>1291</v>
      </c>
      <c r="B1292" s="3">
        <v>1</v>
      </c>
    </row>
    <row r="1293" spans="1:2" x14ac:dyDescent="0.25">
      <c r="A1293" s="2">
        <v>1292</v>
      </c>
      <c r="B1293" s="3">
        <v>1</v>
      </c>
    </row>
    <row r="1294" spans="1:2" x14ac:dyDescent="0.25">
      <c r="A1294" s="2">
        <v>1293</v>
      </c>
      <c r="B1294" s="3">
        <v>1</v>
      </c>
    </row>
    <row r="1295" spans="1:2" x14ac:dyDescent="0.25">
      <c r="A1295" s="2">
        <v>1294</v>
      </c>
      <c r="B1295" s="3">
        <v>1</v>
      </c>
    </row>
    <row r="1296" spans="1:2" x14ac:dyDescent="0.25">
      <c r="A1296" s="2">
        <v>1295</v>
      </c>
      <c r="B1296" s="3">
        <v>1</v>
      </c>
    </row>
    <row r="1297" spans="1:2" x14ac:dyDescent="0.25">
      <c r="A1297" s="2">
        <v>1296</v>
      </c>
      <c r="B1297" s="3">
        <v>1</v>
      </c>
    </row>
    <row r="1298" spans="1:2" x14ac:dyDescent="0.25">
      <c r="A1298" s="2">
        <v>1297</v>
      </c>
      <c r="B1298" s="3">
        <v>1</v>
      </c>
    </row>
    <row r="1299" spans="1:2" x14ac:dyDescent="0.25">
      <c r="B129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RowHeight="15" x14ac:dyDescent="0.25"/>
  <cols>
    <col min="2" max="2" width="18" bestFit="1" customWidth="1"/>
    <col min="3" max="3" width="32.85546875" bestFit="1" customWidth="1"/>
  </cols>
  <sheetData>
    <row r="1" spans="1:3" x14ac:dyDescent="0.25">
      <c r="A1">
        <v>1</v>
      </c>
      <c r="B1" s="10" t="s">
        <v>288</v>
      </c>
      <c r="C1" t="s">
        <v>40</v>
      </c>
    </row>
    <row r="2" spans="1:3" x14ac:dyDescent="0.25">
      <c r="A2">
        <v>2</v>
      </c>
      <c r="B2" t="s">
        <v>39</v>
      </c>
      <c r="C2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2" sqref="A12"/>
    </sheetView>
  </sheetViews>
  <sheetFormatPr baseColWidth="10" defaultRowHeight="15" x14ac:dyDescent="0.25"/>
  <sheetData>
    <row r="1" spans="1:2" x14ac:dyDescent="0.25">
      <c r="A1" s="1" t="s">
        <v>26</v>
      </c>
      <c r="B1">
        <v>1</v>
      </c>
    </row>
    <row r="2" spans="1:2" x14ac:dyDescent="0.25">
      <c r="A2" s="1" t="s">
        <v>18</v>
      </c>
      <c r="B2">
        <v>2</v>
      </c>
    </row>
    <row r="3" spans="1:2" x14ac:dyDescent="0.25">
      <c r="A3" s="1" t="s">
        <v>32</v>
      </c>
      <c r="B3">
        <v>3</v>
      </c>
    </row>
    <row r="4" spans="1:2" x14ac:dyDescent="0.25">
      <c r="A4" s="1" t="s">
        <v>30</v>
      </c>
      <c r="B4">
        <v>4</v>
      </c>
    </row>
    <row r="5" spans="1:2" x14ac:dyDescent="0.25">
      <c r="A5" s="1" t="s">
        <v>7</v>
      </c>
      <c r="B5">
        <v>5</v>
      </c>
    </row>
    <row r="6" spans="1:2" x14ac:dyDescent="0.25">
      <c r="A6" s="1" t="s">
        <v>34</v>
      </c>
      <c r="B6">
        <v>6</v>
      </c>
    </row>
    <row r="7" spans="1:2" x14ac:dyDescent="0.25">
      <c r="A7" s="1" t="s">
        <v>0</v>
      </c>
      <c r="B7">
        <v>7</v>
      </c>
    </row>
    <row r="8" spans="1:2" x14ac:dyDescent="0.25">
      <c r="A8" s="1" t="s">
        <v>12</v>
      </c>
      <c r="B8">
        <v>8</v>
      </c>
    </row>
    <row r="9" spans="1:2" x14ac:dyDescent="0.25">
      <c r="A9" s="1" t="s">
        <v>25</v>
      </c>
      <c r="B9">
        <v>9</v>
      </c>
    </row>
    <row r="10" spans="1:2" x14ac:dyDescent="0.25">
      <c r="A10" s="1" t="s">
        <v>15</v>
      </c>
      <c r="B10">
        <v>10</v>
      </c>
    </row>
    <row r="11" spans="1:2" x14ac:dyDescent="0.25">
      <c r="A11" s="1" t="s">
        <v>29</v>
      </c>
      <c r="B11">
        <v>11</v>
      </c>
    </row>
    <row r="12" spans="1:2" x14ac:dyDescent="0.25">
      <c r="A12" s="1" t="s">
        <v>17</v>
      </c>
      <c r="B12">
        <v>12</v>
      </c>
    </row>
    <row r="13" spans="1:2" x14ac:dyDescent="0.25">
      <c r="A13" s="1" t="s">
        <v>20</v>
      </c>
      <c r="B13">
        <v>13</v>
      </c>
    </row>
    <row r="14" spans="1:2" x14ac:dyDescent="0.25">
      <c r="A14" s="1" t="s">
        <v>37</v>
      </c>
      <c r="B14">
        <v>14</v>
      </c>
    </row>
    <row r="15" spans="1:2" x14ac:dyDescent="0.25">
      <c r="A15" s="1" t="s">
        <v>11</v>
      </c>
      <c r="B15">
        <v>15</v>
      </c>
    </row>
    <row r="16" spans="1:2" x14ac:dyDescent="0.25">
      <c r="A16" s="1" t="s">
        <v>36</v>
      </c>
      <c r="B16">
        <v>16</v>
      </c>
    </row>
    <row r="17" spans="1:2" x14ac:dyDescent="0.25">
      <c r="A17" s="1" t="s">
        <v>22</v>
      </c>
      <c r="B17">
        <v>17</v>
      </c>
    </row>
    <row r="18" spans="1:2" x14ac:dyDescent="0.25">
      <c r="A18" s="1" t="s">
        <v>5</v>
      </c>
      <c r="B18">
        <v>18</v>
      </c>
    </row>
    <row r="19" spans="1:2" x14ac:dyDescent="0.25">
      <c r="A19" s="1" t="s">
        <v>16</v>
      </c>
      <c r="B19">
        <v>19</v>
      </c>
    </row>
    <row r="20" spans="1:2" x14ac:dyDescent="0.25">
      <c r="A20" s="1" t="s">
        <v>9</v>
      </c>
      <c r="B20">
        <v>20</v>
      </c>
    </row>
    <row r="21" spans="1:2" x14ac:dyDescent="0.25">
      <c r="A21" s="1" t="s">
        <v>8</v>
      </c>
      <c r="B21">
        <v>21</v>
      </c>
    </row>
    <row r="22" spans="1:2" x14ac:dyDescent="0.25">
      <c r="A22" s="1" t="s">
        <v>21</v>
      </c>
      <c r="B22">
        <v>22</v>
      </c>
    </row>
    <row r="23" spans="1:2" x14ac:dyDescent="0.25">
      <c r="A23" s="1" t="s">
        <v>6</v>
      </c>
      <c r="B23">
        <v>23</v>
      </c>
    </row>
    <row r="24" spans="1:2" x14ac:dyDescent="0.25">
      <c r="A24" s="1" t="s">
        <v>27</v>
      </c>
      <c r="B24">
        <v>24</v>
      </c>
    </row>
    <row r="25" spans="1:2" x14ac:dyDescent="0.25">
      <c r="A25" s="1" t="s">
        <v>13</v>
      </c>
      <c r="B25">
        <v>25</v>
      </c>
    </row>
    <row r="26" spans="1:2" x14ac:dyDescent="0.25">
      <c r="A26" s="1" t="s">
        <v>28</v>
      </c>
      <c r="B26">
        <v>26</v>
      </c>
    </row>
    <row r="27" spans="1:2" x14ac:dyDescent="0.25">
      <c r="A27" s="1" t="s">
        <v>19</v>
      </c>
      <c r="B27">
        <v>27</v>
      </c>
    </row>
    <row r="28" spans="1:2" x14ac:dyDescent="0.25">
      <c r="A28" s="1" t="s">
        <v>24</v>
      </c>
      <c r="B28">
        <v>28</v>
      </c>
    </row>
    <row r="29" spans="1:2" x14ac:dyDescent="0.25">
      <c r="A29" s="1" t="s">
        <v>14</v>
      </c>
      <c r="B29">
        <v>29</v>
      </c>
    </row>
    <row r="30" spans="1:2" x14ac:dyDescent="0.25">
      <c r="A30" s="1" t="s">
        <v>10</v>
      </c>
      <c r="B30">
        <v>30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</cols>
  <sheetData>
    <row r="1" spans="1:2" x14ac:dyDescent="0.25">
      <c r="A1" t="s">
        <v>129</v>
      </c>
      <c r="B1">
        <v>1</v>
      </c>
    </row>
    <row r="2" spans="1:2" x14ac:dyDescent="0.25">
      <c r="A2" t="s">
        <v>130</v>
      </c>
      <c r="B2">
        <v>2</v>
      </c>
    </row>
    <row r="3" spans="1:2" x14ac:dyDescent="0.25">
      <c r="A3" t="s">
        <v>131</v>
      </c>
      <c r="B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General</vt:lpstr>
      <vt:lpstr>activo</vt:lpstr>
      <vt:lpstr>actas</vt:lpstr>
      <vt:lpstr>Persona</vt:lpstr>
      <vt:lpstr>Marca</vt:lpstr>
      <vt:lpstr>Hoja3</vt:lpstr>
      <vt:lpstr>Categoria</vt:lpstr>
      <vt:lpstr>Color</vt:lpstr>
      <vt:lpstr>Estado</vt:lpstr>
      <vt:lpstr>Bodega</vt:lpstr>
      <vt:lpstr>Tipo</vt:lpstr>
      <vt:lpstr>Unidad</vt:lpstr>
      <vt:lpstr>Cargo</vt:lpstr>
      <vt:lpstr>Rol_Institucional</vt:lpstr>
      <vt:lpstr>Servidores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Vinces</dc:creator>
  <cp:lastModifiedBy>Administrador</cp:lastModifiedBy>
  <dcterms:created xsi:type="dcterms:W3CDTF">2020-01-13T13:12:43Z</dcterms:created>
  <dcterms:modified xsi:type="dcterms:W3CDTF">2020-11-20T13:38:38Z</dcterms:modified>
</cp:coreProperties>
</file>