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3037aacf0c4c72/Tesi/Bibliografia/Codice Matlab e Py/02 - Ciclo surriscaldato/"/>
    </mc:Choice>
  </mc:AlternateContent>
  <xr:revisionPtr revIDLastSave="352" documentId="8_{55829D91-FFF0-234A-8B7E-A2B547F774A2}" xr6:coauthVersionLast="47" xr6:coauthVersionMax="47" xr10:uidLastSave="{F3D9ED74-CDEF-0149-BA00-14CA7BE587D8}"/>
  <bookViews>
    <workbookView xWindow="0" yWindow="500" windowWidth="25600" windowHeight="14280" xr2:uid="{96458188-AD20-8F43-AE66-276F433267E6}"/>
  </bookViews>
  <sheets>
    <sheet name="R245fa" sheetId="1" r:id="rId1"/>
    <sheet name="R134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D24" i="2"/>
  <c r="E24" i="2" s="1"/>
  <c r="C24" i="2"/>
  <c r="D23" i="2"/>
  <c r="E23" i="2" s="1"/>
  <c r="C23" i="2"/>
  <c r="D22" i="2"/>
  <c r="E22" i="2" s="1"/>
  <c r="C22" i="2"/>
  <c r="D21" i="2"/>
  <c r="C21" i="2"/>
  <c r="D20" i="2"/>
  <c r="C20" i="2"/>
  <c r="D19" i="2"/>
  <c r="E19" i="2" s="1"/>
  <c r="C19" i="2"/>
  <c r="D18" i="2"/>
  <c r="C18" i="2"/>
  <c r="D17" i="2"/>
  <c r="E17" i="2" s="1"/>
  <c r="C17" i="2"/>
  <c r="D16" i="2"/>
  <c r="C16" i="2"/>
  <c r="D15" i="2"/>
  <c r="C15" i="2"/>
  <c r="D14" i="2"/>
  <c r="C14" i="2"/>
  <c r="D13" i="2"/>
  <c r="C13" i="2"/>
  <c r="D12" i="2"/>
  <c r="E12" i="2" s="1"/>
  <c r="C12" i="2"/>
  <c r="D11" i="2"/>
  <c r="C11" i="2"/>
  <c r="D10" i="2"/>
  <c r="E10" i="2" s="1"/>
  <c r="C10" i="2"/>
  <c r="D9" i="2"/>
  <c r="C9" i="2"/>
  <c r="D8" i="2"/>
  <c r="C8" i="2"/>
  <c r="E8" i="2" s="1"/>
  <c r="E14" i="2"/>
  <c r="E9" i="2"/>
  <c r="E7" i="2"/>
  <c r="E6" i="2"/>
  <c r="E5" i="2"/>
  <c r="E4" i="2"/>
  <c r="D7" i="2"/>
  <c r="C7" i="2"/>
  <c r="C6" i="2"/>
  <c r="C5" i="2"/>
  <c r="C4" i="2"/>
  <c r="D4" i="2"/>
  <c r="E4" i="1"/>
  <c r="C4" i="1"/>
  <c r="D4" i="1"/>
  <c r="D16" i="1"/>
  <c r="C16" i="1"/>
  <c r="D15" i="1"/>
  <c r="C15" i="1"/>
  <c r="D14" i="1"/>
  <c r="C14" i="1"/>
  <c r="D13" i="1"/>
  <c r="D12" i="1"/>
  <c r="C12" i="1"/>
  <c r="C11" i="1"/>
  <c r="D11" i="1"/>
  <c r="D10" i="1"/>
  <c r="C10" i="1"/>
  <c r="D9" i="1"/>
  <c r="C9" i="1"/>
  <c r="D8" i="1"/>
  <c r="C8" i="1"/>
  <c r="C7" i="1"/>
  <c r="D7" i="1"/>
  <c r="E7" i="1" s="1"/>
  <c r="D6" i="1"/>
  <c r="C6" i="1"/>
  <c r="D5" i="1"/>
  <c r="E5" i="1" s="1"/>
  <c r="C5" i="1"/>
  <c r="A23" i="2"/>
  <c r="A24" i="2" s="1"/>
  <c r="A18" i="2"/>
  <c r="A19" i="2" s="1"/>
  <c r="A20" i="2" s="1"/>
  <c r="A21" i="2" s="1"/>
  <c r="A22" i="2" s="1"/>
  <c r="A17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E21" i="2" l="1"/>
  <c r="E20" i="2"/>
  <c r="E18" i="2"/>
  <c r="E16" i="2"/>
  <c r="E15" i="2"/>
  <c r="E13" i="2"/>
  <c r="E11" i="2"/>
  <c r="E6" i="1"/>
  <c r="E11" i="1"/>
  <c r="E16" i="1"/>
  <c r="E15" i="1"/>
  <c r="E14" i="1"/>
  <c r="E13" i="1"/>
  <c r="E12" i="1"/>
  <c r="E10" i="1"/>
  <c r="E9" i="1"/>
  <c r="E8" i="1"/>
</calcChain>
</file>

<file path=xl/sharedStrings.xml><?xml version="1.0" encoding="utf-8"?>
<sst xmlns="http://schemas.openxmlformats.org/spreadsheetml/2006/main" count="12" uniqueCount="8">
  <si>
    <t>Temperatura media R245fa</t>
  </si>
  <si>
    <t>T_surr [°C]</t>
  </si>
  <si>
    <t>T_ma [°C]</t>
  </si>
  <si>
    <t>T_ms [°C]</t>
  </si>
  <si>
    <t>Temperatura media R134a</t>
  </si>
  <si>
    <r>
      <rPr>
        <b/>
        <sz val="16"/>
        <color theme="1"/>
        <rFont val="Calibri"/>
        <family val="2"/>
      </rPr>
      <t>η</t>
    </r>
    <r>
      <rPr>
        <b/>
        <vertAlign val="subscript"/>
        <sz val="16"/>
        <color theme="1"/>
        <rFont val="Calibri"/>
        <family val="2"/>
      </rPr>
      <t>g,el</t>
    </r>
  </si>
  <si>
    <r>
      <t>η</t>
    </r>
    <r>
      <rPr>
        <b/>
        <vertAlign val="subscript"/>
        <sz val="16"/>
        <color theme="1"/>
        <rFont val="Calibri"/>
        <family val="2"/>
        <scheme val="minor"/>
      </rPr>
      <t>carnot</t>
    </r>
  </si>
  <si>
    <r>
      <t>η</t>
    </r>
    <r>
      <rPr>
        <b/>
        <vertAlign val="subscript"/>
        <sz val="16"/>
        <color theme="1"/>
        <rFont val="Calibri"/>
        <family val="2"/>
      </rPr>
      <t>g,el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</si>
</sst>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vertAlign val="subscript"/>
      <sz val="16"/>
      <color theme="1"/>
      <name val="Calibri"/>
      <family val="2"/>
    </font>
    <font>
      <b/>
      <vertAlign val="subscript"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/>
    <xf numFmtId="10" fontId="0" fillId="0" borderId="0" xfId="0" applyNumberFormat="1"/>
    <xf numFmtId="0" fontId="6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/>
              <a:t>Andamento delle temperature medie</a:t>
            </a:r>
            <a:r>
              <a:rPr lang="it-IT" sz="1800" b="1" baseline="0"/>
              <a:t> in funzione della temperatura di surriscaldamento</a:t>
            </a:r>
            <a:endParaRPr lang="it-IT" sz="1800" b="1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8.1424169804861335E-2"/>
          <c:y val="0.10371270172901158"/>
          <c:w val="0.80894404503784867"/>
          <c:h val="0.76377847883924765"/>
        </c:manualLayout>
      </c:layout>
      <c:lineChart>
        <c:grouping val="stacked"/>
        <c:varyColors val="0"/>
        <c:ser>
          <c:idx val="0"/>
          <c:order val="0"/>
          <c:tx>
            <c:v>Tma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'R245fa'!$A$4:$A$16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cat>
          <c:val>
            <c:numRef>
              <c:f>'R245fa'!$C$4:$C$16</c:f>
              <c:numCache>
                <c:formatCode>General</c:formatCode>
                <c:ptCount val="13"/>
                <c:pt idx="0">
                  <c:v>100.60000000000002</c:v>
                </c:pt>
                <c:pt idx="1">
                  <c:v>105.82999999999998</c:v>
                </c:pt>
                <c:pt idx="2">
                  <c:v>108.39999999999998</c:v>
                </c:pt>
                <c:pt idx="3">
                  <c:v>110.60000000000002</c:v>
                </c:pt>
                <c:pt idx="4">
                  <c:v>112.60000000000002</c:v>
                </c:pt>
                <c:pt idx="5">
                  <c:v>114.60000000000002</c:v>
                </c:pt>
                <c:pt idx="6">
                  <c:v>116.5</c:v>
                </c:pt>
                <c:pt idx="7">
                  <c:v>118.5</c:v>
                </c:pt>
                <c:pt idx="8">
                  <c:v>120.39999999999998</c:v>
                </c:pt>
                <c:pt idx="9">
                  <c:v>122.30000000000001</c:v>
                </c:pt>
                <c:pt idx="10">
                  <c:v>124.19999999999999</c:v>
                </c:pt>
                <c:pt idx="11">
                  <c:v>126.10000000000002</c:v>
                </c:pt>
                <c:pt idx="12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8-4155-9CA9-8E2208F24EA6}"/>
            </c:ext>
          </c:extLst>
        </c:ser>
        <c:ser>
          <c:idx val="1"/>
          <c:order val="1"/>
          <c:tx>
            <c:v>Tms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'R245fa'!$A$4:$A$16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cat>
          <c:val>
            <c:numRef>
              <c:f>'R245fa'!$D$4:$D$16</c:f>
              <c:numCache>
                <c:formatCode>General</c:formatCode>
                <c:ptCount val="13"/>
                <c:pt idx="0">
                  <c:v>30</c:v>
                </c:pt>
                <c:pt idx="1">
                  <c:v>31.399999999999977</c:v>
                </c:pt>
                <c:pt idx="2">
                  <c:v>32.600000000000023</c:v>
                </c:pt>
                <c:pt idx="3">
                  <c:v>33.800000000000011</c:v>
                </c:pt>
                <c:pt idx="4">
                  <c:v>35.100000000000023</c:v>
                </c:pt>
                <c:pt idx="5">
                  <c:v>36.399999999999977</c:v>
                </c:pt>
                <c:pt idx="6">
                  <c:v>37.800000000000011</c:v>
                </c:pt>
                <c:pt idx="7">
                  <c:v>39.199999999999989</c:v>
                </c:pt>
                <c:pt idx="8">
                  <c:v>40.699999999999989</c:v>
                </c:pt>
                <c:pt idx="9">
                  <c:v>42.199999999999989</c:v>
                </c:pt>
                <c:pt idx="10">
                  <c:v>43.699999999999989</c:v>
                </c:pt>
                <c:pt idx="11">
                  <c:v>45.300000000000011</c:v>
                </c:pt>
                <c:pt idx="12">
                  <c:v>46.800000000000011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A8-4155-9CA9-8E2208F24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135263"/>
        <c:axId val="153728879"/>
      </c:lineChart>
      <c:lineChart>
        <c:grouping val="standard"/>
        <c:varyColors val="0"/>
        <c:ser>
          <c:idx val="2"/>
          <c:order val="2"/>
          <c:tx>
            <c:v>Rendimento di Carnot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'R245fa'!$A$4:$A$16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cat>
          <c:val>
            <c:numRef>
              <c:f>'R245fa'!$E$4:$E$16</c:f>
              <c:numCache>
                <c:formatCode>0.00%</c:formatCode>
                <c:ptCount val="13"/>
                <c:pt idx="0">
                  <c:v>0.18897216274089945</c:v>
                </c:pt>
                <c:pt idx="1">
                  <c:v>0.19647335216323947</c:v>
                </c:pt>
                <c:pt idx="2">
                  <c:v>0.19874147876245396</c:v>
                </c:pt>
                <c:pt idx="3">
                  <c:v>0.20020855057351405</c:v>
                </c:pt>
                <c:pt idx="4">
                  <c:v>0.20098547717842319</c:v>
                </c:pt>
                <c:pt idx="5">
                  <c:v>0.20175438596491235</c:v>
                </c:pt>
                <c:pt idx="6">
                  <c:v>0.20205391527599481</c:v>
                </c:pt>
                <c:pt idx="7">
                  <c:v>0.20255427841634743</c:v>
                </c:pt>
                <c:pt idx="8">
                  <c:v>0.20259278088459587</c:v>
                </c:pt>
                <c:pt idx="9">
                  <c:v>0.2026309132304579</c:v>
                </c:pt>
                <c:pt idx="10">
                  <c:v>0.20266868076535749</c:v>
                </c:pt>
                <c:pt idx="11">
                  <c:v>0.20245552493109498</c:v>
                </c:pt>
                <c:pt idx="12">
                  <c:v>0.20249376558603494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A8-4155-9CA9-8E2208F24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646927"/>
        <c:axId val="1340646447"/>
      </c:lineChart>
      <c:catAx>
        <c:axId val="1470135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500" b="1"/>
                  <a:t>Incremento di temperatura [°C]</a:t>
                </a:r>
              </a:p>
            </c:rich>
          </c:tx>
          <c:layout>
            <c:manualLayout>
              <c:xMode val="edge"/>
              <c:yMode val="edge"/>
              <c:x val="0.38027530177309743"/>
              <c:y val="0.932144285185611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728879"/>
        <c:crosses val="autoZero"/>
        <c:auto val="1"/>
        <c:lblAlgn val="ctr"/>
        <c:lblOffset val="100"/>
        <c:noMultiLvlLbl val="0"/>
      </c:catAx>
      <c:valAx>
        <c:axId val="153728879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500" b="1"/>
                  <a:t>Temperatura media [°C]</a:t>
                </a:r>
              </a:p>
            </c:rich>
          </c:tx>
          <c:layout>
            <c:manualLayout>
              <c:xMode val="edge"/>
              <c:yMode val="edge"/>
              <c:x val="3.4772148046711554E-3"/>
              <c:y val="0.338548503219498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70135263"/>
        <c:crosses val="autoZero"/>
        <c:crossBetween val="between"/>
      </c:valAx>
      <c:valAx>
        <c:axId val="134064644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500" b="1"/>
                  <a:t>Rendimento di Carnot</a:t>
                </a:r>
              </a:p>
            </c:rich>
          </c:tx>
          <c:layout>
            <c:manualLayout>
              <c:xMode val="edge"/>
              <c:yMode val="edge"/>
              <c:x val="0.9713964345532603"/>
              <c:y val="0.326139786522146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40646927"/>
        <c:crosses val="max"/>
        <c:crossBetween val="between"/>
      </c:valAx>
      <c:catAx>
        <c:axId val="134064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06464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672544904992014"/>
          <c:y val="0.66063935664951101"/>
          <c:w val="0.23300743122268636"/>
          <c:h val="0.213887578410302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Tms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'R134a'!$A$4:$A$24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'R134a'!$D$4:$D$24</c:f>
              <c:numCache>
                <c:formatCode>General</c:formatCode>
                <c:ptCount val="2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30.300000000000011</c:v>
                </c:pt>
                <c:pt idx="4">
                  <c:v>30.800000000000011</c:v>
                </c:pt>
                <c:pt idx="5">
                  <c:v>31.600000000000023</c:v>
                </c:pt>
                <c:pt idx="6">
                  <c:v>32.399999999999977</c:v>
                </c:pt>
                <c:pt idx="7">
                  <c:v>33.399999999999977</c:v>
                </c:pt>
                <c:pt idx="8">
                  <c:v>34.300000000000011</c:v>
                </c:pt>
                <c:pt idx="9">
                  <c:v>35.5</c:v>
                </c:pt>
                <c:pt idx="10">
                  <c:v>36.600000000000023</c:v>
                </c:pt>
                <c:pt idx="11">
                  <c:v>37.800000000000011</c:v>
                </c:pt>
                <c:pt idx="12">
                  <c:v>39.199999999999989</c:v>
                </c:pt>
                <c:pt idx="13">
                  <c:v>40.5</c:v>
                </c:pt>
                <c:pt idx="14">
                  <c:v>41.899999999999977</c:v>
                </c:pt>
                <c:pt idx="15">
                  <c:v>43.399999999999977</c:v>
                </c:pt>
                <c:pt idx="16">
                  <c:v>44.800000000000011</c:v>
                </c:pt>
                <c:pt idx="17">
                  <c:v>46.399999999999977</c:v>
                </c:pt>
                <c:pt idx="18">
                  <c:v>48</c:v>
                </c:pt>
                <c:pt idx="19">
                  <c:v>49.600000000000023</c:v>
                </c:pt>
                <c:pt idx="20">
                  <c:v>51.199999999999989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5B-48F3-8DDE-D1A9FEDC7093}"/>
            </c:ext>
          </c:extLst>
        </c:ser>
        <c:ser>
          <c:idx val="1"/>
          <c:order val="1"/>
          <c:tx>
            <c:v>Tma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'R134a'!$A$4:$A$24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'R134a'!$C$4:$C$24</c:f>
              <c:numCache>
                <c:formatCode>General</c:formatCode>
                <c:ptCount val="21"/>
                <c:pt idx="0">
                  <c:v>73.699999999999989</c:v>
                </c:pt>
                <c:pt idx="1">
                  <c:v>77.699999999999989</c:v>
                </c:pt>
                <c:pt idx="2">
                  <c:v>79.699999999999989</c:v>
                </c:pt>
                <c:pt idx="3">
                  <c:v>81.399999999999977</c:v>
                </c:pt>
                <c:pt idx="4">
                  <c:v>83.100000000000023</c:v>
                </c:pt>
                <c:pt idx="5">
                  <c:v>84.800000000000011</c:v>
                </c:pt>
                <c:pt idx="6">
                  <c:v>86.5</c:v>
                </c:pt>
                <c:pt idx="7">
                  <c:v>88.100000000000023</c:v>
                </c:pt>
                <c:pt idx="8">
                  <c:v>89.800000000000011</c:v>
                </c:pt>
                <c:pt idx="9">
                  <c:v>91.600000000000023</c:v>
                </c:pt>
                <c:pt idx="10">
                  <c:v>93.300000000000011</c:v>
                </c:pt>
                <c:pt idx="11">
                  <c:v>95.100000000000023</c:v>
                </c:pt>
                <c:pt idx="12">
                  <c:v>96.899999999999977</c:v>
                </c:pt>
                <c:pt idx="13">
                  <c:v>98.699999999999989</c:v>
                </c:pt>
                <c:pt idx="14">
                  <c:v>100.60000000000002</c:v>
                </c:pt>
                <c:pt idx="15">
                  <c:v>102.5</c:v>
                </c:pt>
                <c:pt idx="16">
                  <c:v>104.30000000000001</c:v>
                </c:pt>
                <c:pt idx="17">
                  <c:v>106.30000000000001</c:v>
                </c:pt>
                <c:pt idx="18">
                  <c:v>108.19999999999999</c:v>
                </c:pt>
                <c:pt idx="19">
                  <c:v>110.10000000000002</c:v>
                </c:pt>
                <c:pt idx="20">
                  <c:v>112.10000000000002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5B-48F3-8DDE-D1A9FEDC7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725039"/>
        <c:axId val="153722639"/>
      </c:lineChart>
      <c:lineChart>
        <c:grouping val="standard"/>
        <c:varyColors val="0"/>
        <c:ser>
          <c:idx val="2"/>
          <c:order val="2"/>
          <c:tx>
            <c:v>Carnot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'R134a'!$A$4:$A$24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'R134a'!$E$4:$E$24</c:f>
              <c:numCache>
                <c:formatCode>0.00%</c:formatCode>
                <c:ptCount val="21"/>
                <c:pt idx="0">
                  <c:v>0.12604557254110182</c:v>
                </c:pt>
                <c:pt idx="1">
                  <c:v>0.13601368691189053</c:v>
                </c:pt>
                <c:pt idx="2">
                  <c:v>0.14091295718741137</c:v>
                </c:pt>
                <c:pt idx="3">
                  <c:v>0.14418735891647849</c:v>
                </c:pt>
                <c:pt idx="4">
                  <c:v>0.14686885706262287</c:v>
                </c:pt>
                <c:pt idx="5">
                  <c:v>0.14868641699273333</c:v>
                </c:pt>
                <c:pt idx="6">
                  <c:v>0.15048678720445063</c:v>
                </c:pt>
                <c:pt idx="7">
                  <c:v>0.15148158404874013</c:v>
                </c:pt>
                <c:pt idx="8">
                  <c:v>0.15297684674751932</c:v>
                </c:pt>
                <c:pt idx="9">
                  <c:v>0.15386725178277572</c:v>
                </c:pt>
                <c:pt idx="10">
                  <c:v>0.15479115479115479</c:v>
                </c:pt>
                <c:pt idx="11">
                  <c:v>0.1556642216788916</c:v>
                </c:pt>
                <c:pt idx="12">
                  <c:v>0.15598810489321435</c:v>
                </c:pt>
                <c:pt idx="13">
                  <c:v>0.15657788539144468</c:v>
                </c:pt>
                <c:pt idx="14">
                  <c:v>0.15711991434689521</c:v>
                </c:pt>
                <c:pt idx="15">
                  <c:v>0.15739014647137162</c:v>
                </c:pt>
                <c:pt idx="16">
                  <c:v>0.1576994434137291</c:v>
                </c:pt>
                <c:pt idx="17">
                  <c:v>0.15792248879514903</c:v>
                </c:pt>
                <c:pt idx="18">
                  <c:v>0.15792235047219305</c:v>
                </c:pt>
                <c:pt idx="19">
                  <c:v>0.15792221352127378</c:v>
                </c:pt>
                <c:pt idx="20">
                  <c:v>0.15814074266424316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5B-48F3-8DDE-D1A9FEDC7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515631"/>
        <c:axId val="180523791"/>
      </c:lineChart>
      <c:catAx>
        <c:axId val="153725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722639"/>
        <c:crosses val="autoZero"/>
        <c:auto val="1"/>
        <c:lblAlgn val="ctr"/>
        <c:lblOffset val="100"/>
        <c:noMultiLvlLbl val="0"/>
      </c:catAx>
      <c:valAx>
        <c:axId val="15372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725039"/>
        <c:crosses val="autoZero"/>
        <c:crossBetween val="between"/>
      </c:valAx>
      <c:valAx>
        <c:axId val="180523791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515631"/>
        <c:crosses val="max"/>
        <c:crossBetween val="between"/>
      </c:valAx>
      <c:catAx>
        <c:axId val="180515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5237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</xdr:row>
      <xdr:rowOff>4762</xdr:rowOff>
    </xdr:from>
    <xdr:to>
      <xdr:col>20</xdr:col>
      <xdr:colOff>152400</xdr:colOff>
      <xdr:row>24</xdr:row>
      <xdr:rowOff>165100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BD22608-5CC1-6A40-F713-593010456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4761</xdr:colOff>
      <xdr:row>0</xdr:row>
      <xdr:rowOff>290511</xdr:rowOff>
    </xdr:from>
    <xdr:to>
      <xdr:col>18</xdr:col>
      <xdr:colOff>723900</xdr:colOff>
      <xdr:row>21</xdr:row>
      <xdr:rowOff>57150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7513C96-858E-6B86-2A5B-28E909E28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C80B-11EF-4246-B839-C4DC4ECD2A79}">
  <dimension ref="A1:J16"/>
  <sheetViews>
    <sheetView tabSelected="1" topLeftCell="C1" workbookViewId="0">
      <selection activeCell="G7" sqref="G7"/>
    </sheetView>
  </sheetViews>
  <sheetFormatPr baseColWidth="10" defaultColWidth="11" defaultRowHeight="16" x14ac:dyDescent="0.2"/>
  <cols>
    <col min="1" max="1" width="12.33203125" bestFit="1" customWidth="1"/>
    <col min="2" max="2" width="14.6640625" bestFit="1" customWidth="1"/>
    <col min="3" max="3" width="11.6640625" bestFit="1" customWidth="1"/>
    <col min="4" max="4" width="11.33203125" bestFit="1" customWidth="1"/>
  </cols>
  <sheetData>
    <row r="1" spans="1:10" ht="24" x14ac:dyDescent="0.3">
      <c r="A1" s="1" t="s">
        <v>0</v>
      </c>
    </row>
    <row r="3" spans="1:10" ht="25" x14ac:dyDescent="0.2">
      <c r="A3" s="2" t="s">
        <v>1</v>
      </c>
      <c r="B3" s="10" t="s">
        <v>5</v>
      </c>
      <c r="C3" s="2" t="s">
        <v>2</v>
      </c>
      <c r="D3" s="2" t="s">
        <v>3</v>
      </c>
      <c r="E3" s="2" t="s">
        <v>6</v>
      </c>
    </row>
    <row r="4" spans="1:10" ht="20" x14ac:dyDescent="0.2">
      <c r="A4" s="3">
        <v>0</v>
      </c>
      <c r="B4" s="4">
        <v>0.1353</v>
      </c>
      <c r="C4" s="3">
        <f>373.6-273</f>
        <v>100.60000000000002</v>
      </c>
      <c r="D4" s="3">
        <f>303-273</f>
        <v>30</v>
      </c>
      <c r="E4" s="4">
        <f>1-((273+D4)/(273+C4))</f>
        <v>0.18897216274089945</v>
      </c>
      <c r="J4" s="9"/>
    </row>
    <row r="5" spans="1:10" ht="20" x14ac:dyDescent="0.2">
      <c r="A5" s="3">
        <f>A4+5</f>
        <v>5</v>
      </c>
      <c r="B5" s="4">
        <v>0.1409</v>
      </c>
      <c r="C5" s="3">
        <f>378.83-273</f>
        <v>105.82999999999998</v>
      </c>
      <c r="D5" s="3">
        <f>304.4-273</f>
        <v>31.399999999999977</v>
      </c>
      <c r="E5" s="4">
        <f>1-((273+D5)/(273+C5))</f>
        <v>0.19647335216323947</v>
      </c>
      <c r="J5" s="9"/>
    </row>
    <row r="6" spans="1:10" ht="20" x14ac:dyDescent="0.2">
      <c r="A6" s="3">
        <f t="shared" ref="A6:A16" si="0">A5+5</f>
        <v>10</v>
      </c>
      <c r="B6" s="4">
        <v>0.14249999999999999</v>
      </c>
      <c r="C6" s="3">
        <f>381.4-273</f>
        <v>108.39999999999998</v>
      </c>
      <c r="D6" s="3">
        <f>305.6-273</f>
        <v>32.600000000000023</v>
      </c>
      <c r="E6" s="4">
        <f t="shared" ref="E6:E16" si="1">1-((273+D6)/(273+C6))</f>
        <v>0.19874147876245396</v>
      </c>
      <c r="J6" s="9"/>
    </row>
    <row r="7" spans="1:10" ht="20" x14ac:dyDescent="0.2">
      <c r="A7" s="3">
        <f t="shared" si="0"/>
        <v>15</v>
      </c>
      <c r="B7" s="4">
        <v>0.1434</v>
      </c>
      <c r="C7" s="3">
        <f>383.6-273</f>
        <v>110.60000000000002</v>
      </c>
      <c r="D7" s="3">
        <f>306.8-273</f>
        <v>33.800000000000011</v>
      </c>
      <c r="E7" s="4">
        <f t="shared" si="1"/>
        <v>0.20020855057351405</v>
      </c>
      <c r="J7" s="9"/>
    </row>
    <row r="8" spans="1:10" ht="20" x14ac:dyDescent="0.2">
      <c r="A8" s="3">
        <f t="shared" si="0"/>
        <v>20</v>
      </c>
      <c r="B8" s="4">
        <v>0.14399999999999999</v>
      </c>
      <c r="C8" s="3">
        <f>385.6-273</f>
        <v>112.60000000000002</v>
      </c>
      <c r="D8" s="3">
        <f>308.1-273</f>
        <v>35.100000000000023</v>
      </c>
      <c r="E8" s="4">
        <f t="shared" si="1"/>
        <v>0.20098547717842319</v>
      </c>
      <c r="J8" s="9"/>
    </row>
    <row r="9" spans="1:10" ht="20" x14ac:dyDescent="0.2">
      <c r="A9" s="3">
        <f t="shared" si="0"/>
        <v>25</v>
      </c>
      <c r="B9" s="4">
        <v>0.1444</v>
      </c>
      <c r="C9" s="3">
        <f>387.6-273</f>
        <v>114.60000000000002</v>
      </c>
      <c r="D9" s="3">
        <f>309.4-273</f>
        <v>36.399999999999977</v>
      </c>
      <c r="E9" s="4">
        <f t="shared" si="1"/>
        <v>0.20175438596491235</v>
      </c>
      <c r="J9" s="9"/>
    </row>
    <row r="10" spans="1:10" ht="20" x14ac:dyDescent="0.2">
      <c r="A10" s="3">
        <f t="shared" si="0"/>
        <v>30</v>
      </c>
      <c r="B10" s="4">
        <v>0.14460000000000001</v>
      </c>
      <c r="C10" s="3">
        <f>389.5-273</f>
        <v>116.5</v>
      </c>
      <c r="D10" s="3">
        <f>310.8-273</f>
        <v>37.800000000000011</v>
      </c>
      <c r="E10" s="4">
        <f t="shared" si="1"/>
        <v>0.20205391527599481</v>
      </c>
      <c r="J10" s="9"/>
    </row>
    <row r="11" spans="1:10" ht="20" x14ac:dyDescent="0.2">
      <c r="A11" s="5">
        <f t="shared" si="0"/>
        <v>35</v>
      </c>
      <c r="B11" s="6">
        <v>0.1447</v>
      </c>
      <c r="C11" s="5">
        <f>391.5-273</f>
        <v>118.5</v>
      </c>
      <c r="D11" s="5">
        <f>312.2-273</f>
        <v>39.199999999999989</v>
      </c>
      <c r="E11" s="4">
        <f t="shared" si="1"/>
        <v>0.20255427841634743</v>
      </c>
      <c r="J11" s="9"/>
    </row>
    <row r="12" spans="1:10" ht="20" x14ac:dyDescent="0.2">
      <c r="A12" s="3">
        <f t="shared" si="0"/>
        <v>40</v>
      </c>
      <c r="B12" s="4">
        <v>0.1447</v>
      </c>
      <c r="C12" s="3">
        <f>393.4-273</f>
        <v>120.39999999999998</v>
      </c>
      <c r="D12" s="3">
        <f>313.7-273</f>
        <v>40.699999999999989</v>
      </c>
      <c r="E12" s="4">
        <f t="shared" si="1"/>
        <v>0.20259278088459587</v>
      </c>
      <c r="J12" s="9"/>
    </row>
    <row r="13" spans="1:10" ht="20" x14ac:dyDescent="0.2">
      <c r="A13" s="3">
        <f t="shared" si="0"/>
        <v>45</v>
      </c>
      <c r="B13" s="4">
        <v>0.1447</v>
      </c>
      <c r="C13" s="3">
        <f>395.3-273</f>
        <v>122.30000000000001</v>
      </c>
      <c r="D13" s="3">
        <f>315.2-273</f>
        <v>42.199999999999989</v>
      </c>
      <c r="E13" s="4">
        <f t="shared" si="1"/>
        <v>0.2026309132304579</v>
      </c>
      <c r="J13" s="9"/>
    </row>
    <row r="14" spans="1:10" ht="20" x14ac:dyDescent="0.2">
      <c r="A14" s="3">
        <f t="shared" si="0"/>
        <v>50</v>
      </c>
      <c r="B14" s="4">
        <v>0.14460000000000001</v>
      </c>
      <c r="C14" s="3">
        <f>397.2-273</f>
        <v>124.19999999999999</v>
      </c>
      <c r="D14" s="3">
        <f>316.7-273</f>
        <v>43.699999999999989</v>
      </c>
      <c r="E14" s="4">
        <f t="shared" si="1"/>
        <v>0.20266868076535749</v>
      </c>
      <c r="J14" s="9"/>
    </row>
    <row r="15" spans="1:10" ht="20" x14ac:dyDescent="0.2">
      <c r="A15" s="3">
        <f t="shared" si="0"/>
        <v>55</v>
      </c>
      <c r="B15" s="4">
        <v>0.14449999999999999</v>
      </c>
      <c r="C15" s="3">
        <f>399.1-273</f>
        <v>126.10000000000002</v>
      </c>
      <c r="D15" s="3">
        <f>318.3-273</f>
        <v>45.300000000000011</v>
      </c>
      <c r="E15" s="4">
        <f t="shared" si="1"/>
        <v>0.20245552493109498</v>
      </c>
      <c r="J15" s="9"/>
    </row>
    <row r="16" spans="1:10" ht="20" x14ac:dyDescent="0.2">
      <c r="A16" s="3">
        <f t="shared" si="0"/>
        <v>60</v>
      </c>
      <c r="B16" s="4">
        <v>0.14430000000000001</v>
      </c>
      <c r="C16" s="3">
        <f>401-273</f>
        <v>128</v>
      </c>
      <c r="D16" s="3">
        <f>319.8-273</f>
        <v>46.800000000000011</v>
      </c>
      <c r="E16" s="4">
        <f t="shared" si="1"/>
        <v>0.20249376558603494</v>
      </c>
      <c r="J16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D1DC-CB7F-4F80-AEDB-E371F0B4E23D}">
  <dimension ref="A1:E26"/>
  <sheetViews>
    <sheetView workbookViewId="0">
      <selection activeCell="F15" sqref="F15"/>
    </sheetView>
  </sheetViews>
  <sheetFormatPr baseColWidth="10" defaultColWidth="11" defaultRowHeight="20" x14ac:dyDescent="0.25"/>
  <cols>
    <col min="1" max="1" width="12.33203125" style="11" bestFit="1" customWidth="1"/>
    <col min="2" max="3" width="13" style="11" customWidth="1"/>
    <col min="4" max="4" width="12" style="11" customWidth="1"/>
    <col min="5" max="5" width="9" style="11" bestFit="1" customWidth="1"/>
    <col min="6" max="16384" width="11" style="11"/>
  </cols>
  <sheetData>
    <row r="1" spans="1:5" customFormat="1" ht="24" x14ac:dyDescent="0.3">
      <c r="A1" s="1" t="s">
        <v>4</v>
      </c>
      <c r="E1" s="7"/>
    </row>
    <row r="3" spans="1:5" s="8" customFormat="1" ht="25" x14ac:dyDescent="0.25">
      <c r="A3" s="2" t="s">
        <v>1</v>
      </c>
      <c r="B3" s="10" t="s">
        <v>7</v>
      </c>
      <c r="C3" s="2" t="s">
        <v>2</v>
      </c>
      <c r="D3" s="2" t="s">
        <v>3</v>
      </c>
      <c r="E3" s="2" t="s">
        <v>6</v>
      </c>
    </row>
    <row r="4" spans="1:5" x14ac:dyDescent="0.25">
      <c r="A4" s="3">
        <v>0</v>
      </c>
      <c r="B4" s="4">
        <v>8.9200000000000002E-2</v>
      </c>
      <c r="C4" s="3">
        <f>346.7-273</f>
        <v>73.699999999999989</v>
      </c>
      <c r="D4" s="3">
        <f>303-273</f>
        <v>30</v>
      </c>
      <c r="E4" s="4">
        <f>1-((273+D4)/(273+C4))</f>
        <v>0.12604557254110182</v>
      </c>
    </row>
    <row r="5" spans="1:5" x14ac:dyDescent="0.25">
      <c r="A5" s="3">
        <f>A4+5</f>
        <v>5</v>
      </c>
      <c r="B5" s="4">
        <v>9.6000000000000002E-2</v>
      </c>
      <c r="C5" s="3">
        <f>350.7-273</f>
        <v>77.699999999999989</v>
      </c>
      <c r="D5" s="3">
        <v>30</v>
      </c>
      <c r="E5" s="4">
        <f>1-((273+D5)/(273+C5))</f>
        <v>0.13601368691189053</v>
      </c>
    </row>
    <row r="6" spans="1:5" x14ac:dyDescent="0.25">
      <c r="A6" s="3">
        <f t="shared" ref="A6:A24" si="0">A5+5</f>
        <v>10</v>
      </c>
      <c r="B6" s="4">
        <v>9.9000000000000005E-2</v>
      </c>
      <c r="C6" s="3">
        <f>352.7-273</f>
        <v>79.699999999999989</v>
      </c>
      <c r="D6" s="3">
        <v>30</v>
      </c>
      <c r="E6" s="4">
        <f t="shared" ref="E6:E15" si="1">1-((273+D6)/(273+C6))</f>
        <v>0.14091295718741137</v>
      </c>
    </row>
    <row r="7" spans="1:5" x14ac:dyDescent="0.25">
      <c r="A7" s="3">
        <f t="shared" si="0"/>
        <v>15</v>
      </c>
      <c r="B7" s="4">
        <v>0.1013</v>
      </c>
      <c r="C7" s="3">
        <f>354.4-273</f>
        <v>81.399999999999977</v>
      </c>
      <c r="D7" s="3">
        <f>303.3-273</f>
        <v>30.300000000000011</v>
      </c>
      <c r="E7" s="4">
        <f t="shared" si="1"/>
        <v>0.14418735891647849</v>
      </c>
    </row>
    <row r="8" spans="1:5" x14ac:dyDescent="0.25">
      <c r="A8" s="3">
        <f t="shared" si="0"/>
        <v>20</v>
      </c>
      <c r="B8" s="4">
        <v>0.1028</v>
      </c>
      <c r="C8" s="3">
        <f>356.1-273</f>
        <v>83.100000000000023</v>
      </c>
      <c r="D8" s="3">
        <f>303.8-273</f>
        <v>30.800000000000011</v>
      </c>
      <c r="E8" s="4">
        <f t="shared" si="1"/>
        <v>0.14686885706262287</v>
      </c>
    </row>
    <row r="9" spans="1:5" x14ac:dyDescent="0.25">
      <c r="A9" s="3">
        <f t="shared" si="0"/>
        <v>25</v>
      </c>
      <c r="B9" s="4">
        <v>0.104</v>
      </c>
      <c r="C9" s="3">
        <f>357.8-273</f>
        <v>84.800000000000011</v>
      </c>
      <c r="D9" s="3">
        <f>304.6-273</f>
        <v>31.600000000000023</v>
      </c>
      <c r="E9" s="4">
        <f t="shared" si="1"/>
        <v>0.14868641699273333</v>
      </c>
    </row>
    <row r="10" spans="1:5" x14ac:dyDescent="0.25">
      <c r="A10" s="3">
        <f t="shared" si="0"/>
        <v>30</v>
      </c>
      <c r="B10" s="4">
        <v>0.10489999999999999</v>
      </c>
      <c r="C10" s="3">
        <f>359.5-273</f>
        <v>86.5</v>
      </c>
      <c r="D10" s="3">
        <f>305.4-273</f>
        <v>32.399999999999977</v>
      </c>
      <c r="E10" s="4">
        <f t="shared" si="1"/>
        <v>0.15048678720445063</v>
      </c>
    </row>
    <row r="11" spans="1:5" x14ac:dyDescent="0.25">
      <c r="A11" s="3">
        <f t="shared" si="0"/>
        <v>35</v>
      </c>
      <c r="B11" s="4">
        <v>0.1056</v>
      </c>
      <c r="C11" s="3">
        <f>361.1-273</f>
        <v>88.100000000000023</v>
      </c>
      <c r="D11" s="3">
        <f>306.4-273</f>
        <v>33.399999999999977</v>
      </c>
      <c r="E11" s="4">
        <f t="shared" si="1"/>
        <v>0.15148158404874013</v>
      </c>
    </row>
    <row r="12" spans="1:5" x14ac:dyDescent="0.25">
      <c r="A12" s="3">
        <f t="shared" si="0"/>
        <v>40</v>
      </c>
      <c r="B12" s="4">
        <v>0.1061</v>
      </c>
      <c r="C12" s="3">
        <f>362.8-273</f>
        <v>89.800000000000011</v>
      </c>
      <c r="D12" s="3">
        <f>307.3-273</f>
        <v>34.300000000000011</v>
      </c>
      <c r="E12" s="4">
        <f t="shared" si="1"/>
        <v>0.15297684674751932</v>
      </c>
    </row>
    <row r="13" spans="1:5" x14ac:dyDescent="0.25">
      <c r="A13" s="3">
        <f t="shared" si="0"/>
        <v>45</v>
      </c>
      <c r="B13" s="4">
        <v>0.1066</v>
      </c>
      <c r="C13" s="3">
        <f>364.6-273</f>
        <v>91.600000000000023</v>
      </c>
      <c r="D13" s="3">
        <f>308.5-273</f>
        <v>35.5</v>
      </c>
      <c r="E13" s="4">
        <f t="shared" si="1"/>
        <v>0.15386725178277572</v>
      </c>
    </row>
    <row r="14" spans="1:5" x14ac:dyDescent="0.25">
      <c r="A14" s="3">
        <f t="shared" si="0"/>
        <v>50</v>
      </c>
      <c r="B14" s="4">
        <v>0.1069</v>
      </c>
      <c r="C14" s="3">
        <f>366.3-273</f>
        <v>93.300000000000011</v>
      </c>
      <c r="D14" s="3">
        <f>309.6-273</f>
        <v>36.600000000000023</v>
      </c>
      <c r="E14" s="4">
        <f t="shared" si="1"/>
        <v>0.15479115479115479</v>
      </c>
    </row>
    <row r="15" spans="1:5" x14ac:dyDescent="0.25">
      <c r="A15" s="3">
        <f t="shared" si="0"/>
        <v>55</v>
      </c>
      <c r="B15" s="4">
        <v>0.1072</v>
      </c>
      <c r="C15" s="3">
        <f>368.1-273</f>
        <v>95.100000000000023</v>
      </c>
      <c r="D15" s="3">
        <f>310.8-273</f>
        <v>37.800000000000011</v>
      </c>
      <c r="E15" s="4">
        <f t="shared" si="1"/>
        <v>0.1556642216788916</v>
      </c>
    </row>
    <row r="16" spans="1:5" x14ac:dyDescent="0.25">
      <c r="A16" s="3">
        <f t="shared" si="0"/>
        <v>60</v>
      </c>
      <c r="B16" s="4">
        <v>0.10730000000000001</v>
      </c>
      <c r="C16" s="3">
        <f>369.9-273</f>
        <v>96.899999999999977</v>
      </c>
      <c r="D16" s="3">
        <f>312.2-273</f>
        <v>39.199999999999989</v>
      </c>
      <c r="E16" s="4">
        <f>1-((273+D16)/(273+C16))</f>
        <v>0.15598810489321435</v>
      </c>
    </row>
    <row r="17" spans="1:5" x14ac:dyDescent="0.25">
      <c r="A17" s="3">
        <f t="shared" si="0"/>
        <v>65</v>
      </c>
      <c r="B17" s="4">
        <v>0.1075</v>
      </c>
      <c r="C17" s="3">
        <f>371.7-273</f>
        <v>98.699999999999989</v>
      </c>
      <c r="D17" s="3">
        <f>313.5-273</f>
        <v>40.5</v>
      </c>
      <c r="E17" s="4">
        <f t="shared" ref="E17:E24" si="2">1-((273+D17)/(273+C17))</f>
        <v>0.15657788539144468</v>
      </c>
    </row>
    <row r="18" spans="1:5" x14ac:dyDescent="0.25">
      <c r="A18" s="5">
        <f t="shared" si="0"/>
        <v>70</v>
      </c>
      <c r="B18" s="6">
        <v>0.1076</v>
      </c>
      <c r="C18" s="5">
        <f>373.6-273</f>
        <v>100.60000000000002</v>
      </c>
      <c r="D18" s="5">
        <f>314.9-273</f>
        <v>41.899999999999977</v>
      </c>
      <c r="E18" s="4">
        <f t="shared" si="2"/>
        <v>0.15711991434689521</v>
      </c>
    </row>
    <row r="19" spans="1:5" x14ac:dyDescent="0.25">
      <c r="A19" s="3">
        <f t="shared" si="0"/>
        <v>75</v>
      </c>
      <c r="B19" s="4">
        <v>0.1076</v>
      </c>
      <c r="C19" s="3">
        <f>375.5-273</f>
        <v>102.5</v>
      </c>
      <c r="D19" s="3">
        <f>316.4-273</f>
        <v>43.399999999999977</v>
      </c>
      <c r="E19" s="4">
        <f t="shared" si="2"/>
        <v>0.15739014647137162</v>
      </c>
    </row>
    <row r="20" spans="1:5" x14ac:dyDescent="0.25">
      <c r="A20" s="3">
        <f t="shared" si="0"/>
        <v>80</v>
      </c>
      <c r="B20" s="4">
        <v>0.1076</v>
      </c>
      <c r="C20" s="3">
        <f>377.3-273</f>
        <v>104.30000000000001</v>
      </c>
      <c r="D20" s="3">
        <f>317.8-273</f>
        <v>44.800000000000011</v>
      </c>
      <c r="E20" s="4">
        <f t="shared" si="2"/>
        <v>0.1576994434137291</v>
      </c>
    </row>
    <row r="21" spans="1:5" x14ac:dyDescent="0.25">
      <c r="A21" s="3">
        <f t="shared" si="0"/>
        <v>85</v>
      </c>
      <c r="B21" s="4">
        <v>0.1076</v>
      </c>
      <c r="C21" s="3">
        <f>379.3-273</f>
        <v>106.30000000000001</v>
      </c>
      <c r="D21" s="3">
        <f>319.4-273</f>
        <v>46.399999999999977</v>
      </c>
      <c r="E21" s="4">
        <f t="shared" si="2"/>
        <v>0.15792248879514903</v>
      </c>
    </row>
    <row r="22" spans="1:5" x14ac:dyDescent="0.25">
      <c r="A22" s="3">
        <f t="shared" si="0"/>
        <v>90</v>
      </c>
      <c r="B22" s="4">
        <v>0.1075</v>
      </c>
      <c r="C22" s="3">
        <f>381.2-273</f>
        <v>108.19999999999999</v>
      </c>
      <c r="D22" s="3">
        <f>321-273</f>
        <v>48</v>
      </c>
      <c r="E22" s="4">
        <f t="shared" si="2"/>
        <v>0.15792235047219305</v>
      </c>
    </row>
    <row r="23" spans="1:5" x14ac:dyDescent="0.25">
      <c r="A23" s="3">
        <f t="shared" si="0"/>
        <v>95</v>
      </c>
      <c r="B23" s="4">
        <v>0.1074</v>
      </c>
      <c r="C23" s="3">
        <f>383.1-273</f>
        <v>110.10000000000002</v>
      </c>
      <c r="D23" s="3">
        <f>322.6-273</f>
        <v>49.600000000000023</v>
      </c>
      <c r="E23" s="4">
        <f t="shared" si="2"/>
        <v>0.15792221352127378</v>
      </c>
    </row>
    <row r="24" spans="1:5" x14ac:dyDescent="0.25">
      <c r="A24" s="3">
        <f t="shared" si="0"/>
        <v>100</v>
      </c>
      <c r="B24" s="4">
        <v>0.10730000000000001</v>
      </c>
      <c r="C24" s="3">
        <f>385.1-273</f>
        <v>112.10000000000002</v>
      </c>
      <c r="D24" s="3">
        <f>324.2-273</f>
        <v>51.199999999999989</v>
      </c>
      <c r="E24" s="4">
        <f t="shared" si="2"/>
        <v>0.15814074266424316</v>
      </c>
    </row>
    <row r="25" spans="1:5" x14ac:dyDescent="0.25">
      <c r="C25" s="3"/>
      <c r="D25" s="3"/>
      <c r="E25" s="4"/>
    </row>
    <row r="26" spans="1:5" x14ac:dyDescent="0.25">
      <c r="C26" s="3"/>
      <c r="D26" s="3"/>
      <c r="E2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R245fa</vt:lpstr>
      <vt:lpstr>R134a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 Colella</cp:lastModifiedBy>
  <dcterms:created xsi:type="dcterms:W3CDTF">2023-06-27T15:40:55Z</dcterms:created>
  <dcterms:modified xsi:type="dcterms:W3CDTF">2023-07-01T14:38:32Z</dcterms:modified>
</cp:coreProperties>
</file>