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D23B444F-0023-4319-80B9-C56D8B95FF15}" xr6:coauthVersionLast="47" xr6:coauthVersionMax="47" xr10:uidLastSave="{00000000-0000-0000-0000-000000000000}"/>
  <bookViews>
    <workbookView xWindow="-120" yWindow="-120" windowWidth="29040" windowHeight="15840" activeTab="1" xr2:uid="{ABE4E937-AD49-4FDB-839C-B2EF8F19CE2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1" i="2" l="1"/>
  <c r="N23" i="2"/>
  <c r="N22" i="2"/>
  <c r="G23" i="2"/>
  <c r="G22" i="2"/>
  <c r="H23" i="2"/>
  <c r="H22" i="2"/>
  <c r="I23" i="2"/>
  <c r="I22" i="2"/>
  <c r="K23" i="2"/>
  <c r="K22" i="2"/>
  <c r="L23" i="2"/>
  <c r="L22" i="2"/>
  <c r="M23" i="2"/>
  <c r="M22" i="2"/>
  <c r="M11" i="2"/>
  <c r="M10" i="2"/>
  <c r="M9" i="2"/>
  <c r="M6" i="2"/>
  <c r="I6" i="1"/>
  <c r="V3" i="2"/>
  <c r="W3" i="2" s="1"/>
  <c r="X3" i="2" s="1"/>
  <c r="Y3" i="2" s="1"/>
  <c r="Z3" i="2" s="1"/>
  <c r="AA3" i="2" s="1"/>
  <c r="AB3" i="2" s="1"/>
  <c r="AC3" i="2" s="1"/>
  <c r="AD3" i="2" s="1"/>
  <c r="AE3" i="2" s="1"/>
  <c r="N15" i="2"/>
  <c r="M20" i="2"/>
  <c r="N20" i="2" s="1"/>
  <c r="T20" i="2" s="1"/>
  <c r="U20" i="2" s="1"/>
  <c r="V20" i="2" s="1"/>
  <c r="W20" i="2" s="1"/>
  <c r="X20" i="2" s="1"/>
  <c r="F20" i="2"/>
  <c r="F17" i="2"/>
  <c r="F15" i="2"/>
  <c r="F8" i="2"/>
  <c r="F7" i="2"/>
  <c r="F5" i="2"/>
  <c r="F4" i="2"/>
  <c r="C13" i="2"/>
  <c r="C11" i="2"/>
  <c r="C10" i="2"/>
  <c r="C9" i="2"/>
  <c r="C6" i="2"/>
  <c r="D13" i="2"/>
  <c r="D10" i="2"/>
  <c r="D11" i="2"/>
  <c r="D9" i="2"/>
  <c r="D6" i="2"/>
  <c r="J20" i="2"/>
  <c r="J17" i="2"/>
  <c r="J15" i="2"/>
  <c r="J8" i="2"/>
  <c r="J7" i="2"/>
  <c r="J5" i="2"/>
  <c r="N5" i="2" s="1"/>
  <c r="J4" i="2"/>
  <c r="N4" i="2" s="1"/>
  <c r="N6" i="2" s="1"/>
  <c r="N12" i="2" s="1"/>
  <c r="N26" i="2" s="1"/>
  <c r="E13" i="2"/>
  <c r="E11" i="2"/>
  <c r="E10" i="2"/>
  <c r="E9" i="2"/>
  <c r="E6" i="2"/>
  <c r="I11" i="2"/>
  <c r="I10" i="2"/>
  <c r="I9" i="2"/>
  <c r="I6" i="2"/>
  <c r="G13" i="2"/>
  <c r="G10" i="2"/>
  <c r="G11" i="2"/>
  <c r="G9" i="2"/>
  <c r="G6" i="2"/>
  <c r="K13" i="2"/>
  <c r="K11" i="2"/>
  <c r="K10" i="2"/>
  <c r="K9" i="2"/>
  <c r="K6" i="2"/>
  <c r="H13" i="2"/>
  <c r="H10" i="2"/>
  <c r="H11" i="2"/>
  <c r="H9" i="2"/>
  <c r="H6" i="2"/>
  <c r="L13" i="2"/>
  <c r="L11" i="2"/>
  <c r="L10" i="2"/>
  <c r="L9" i="2"/>
  <c r="L6" i="2"/>
  <c r="Q13" i="2"/>
  <c r="R13" i="2"/>
  <c r="S13" i="2"/>
  <c r="R11" i="2"/>
  <c r="Q11" i="2"/>
  <c r="S11" i="2"/>
  <c r="Q10" i="2"/>
  <c r="R10" i="2"/>
  <c r="S10" i="2"/>
  <c r="S9" i="2"/>
  <c r="R9" i="2"/>
  <c r="Q9" i="2"/>
  <c r="S6" i="2"/>
  <c r="R6" i="2"/>
  <c r="Q6" i="2"/>
  <c r="I4" i="1"/>
  <c r="I7" i="1" s="1"/>
  <c r="F9" i="2" l="1"/>
  <c r="M25" i="2"/>
  <c r="F11" i="2"/>
  <c r="T6" i="2"/>
  <c r="T25" i="2" s="1"/>
  <c r="J10" i="2"/>
  <c r="J23" i="2"/>
  <c r="J22" i="2"/>
  <c r="M12" i="2"/>
  <c r="M14" i="2" s="1"/>
  <c r="M16" i="2" s="1"/>
  <c r="M18" i="2" s="1"/>
  <c r="H12" i="2"/>
  <c r="H26" i="2" s="1"/>
  <c r="I12" i="2"/>
  <c r="I14" i="2" s="1"/>
  <c r="I16" i="2" s="1"/>
  <c r="I18" i="2" s="1"/>
  <c r="I19" i="2" s="1"/>
  <c r="F6" i="2"/>
  <c r="F12" i="2" s="1"/>
  <c r="G25" i="2"/>
  <c r="F13" i="2"/>
  <c r="J11" i="2"/>
  <c r="J9" i="2"/>
  <c r="N9" i="2"/>
  <c r="T9" i="2" s="1"/>
  <c r="T15" i="2"/>
  <c r="U15" i="2" s="1"/>
  <c r="V15" i="2" s="1"/>
  <c r="W15" i="2" s="1"/>
  <c r="X15" i="2" s="1"/>
  <c r="F10" i="2"/>
  <c r="I25" i="2"/>
  <c r="H25" i="2"/>
  <c r="C12" i="2"/>
  <c r="C26" i="2" s="1"/>
  <c r="D12" i="2"/>
  <c r="J13" i="2"/>
  <c r="N13" i="2" s="1"/>
  <c r="N14" i="2" s="1"/>
  <c r="N16" i="2" s="1"/>
  <c r="K25" i="2"/>
  <c r="J6" i="2"/>
  <c r="N25" i="2" s="1"/>
  <c r="E12" i="2"/>
  <c r="E26" i="2" s="1"/>
  <c r="L12" i="2"/>
  <c r="L26" i="2" s="1"/>
  <c r="L25" i="2"/>
  <c r="G12" i="2"/>
  <c r="K12" i="2"/>
  <c r="Q12" i="2"/>
  <c r="R12" i="2"/>
  <c r="R25" i="2"/>
  <c r="S25" i="2"/>
  <c r="S12" i="2"/>
  <c r="U6" i="2" l="1"/>
  <c r="U12" i="2" s="1"/>
  <c r="I26" i="2"/>
  <c r="H14" i="2"/>
  <c r="H16" i="2" s="1"/>
  <c r="H18" i="2" s="1"/>
  <c r="H19" i="2" s="1"/>
  <c r="M26" i="2"/>
  <c r="T12" i="2"/>
  <c r="L14" i="2"/>
  <c r="L16" i="2" s="1"/>
  <c r="L18" i="2" s="1"/>
  <c r="L19" i="2" s="1"/>
  <c r="N17" i="2"/>
  <c r="T17" i="2" s="1"/>
  <c r="N18" i="2"/>
  <c r="N19" i="2" s="1"/>
  <c r="T26" i="2"/>
  <c r="C14" i="2"/>
  <c r="C16" i="2" s="1"/>
  <c r="C18" i="2" s="1"/>
  <c r="C19" i="2" s="1"/>
  <c r="M19" i="2"/>
  <c r="M29" i="2"/>
  <c r="T13" i="2"/>
  <c r="U13" i="2" s="1"/>
  <c r="V13" i="2" s="1"/>
  <c r="W13" i="2" s="1"/>
  <c r="X13" i="2" s="1"/>
  <c r="V6" i="2"/>
  <c r="V12" i="2" s="1"/>
  <c r="U25" i="2"/>
  <c r="D14" i="2"/>
  <c r="D16" i="2" s="1"/>
  <c r="D18" i="2" s="1"/>
  <c r="D19" i="2" s="1"/>
  <c r="D26" i="2"/>
  <c r="F14" i="2"/>
  <c r="F16" i="2" s="1"/>
  <c r="F18" i="2" s="1"/>
  <c r="F19" i="2" s="1"/>
  <c r="F26" i="2"/>
  <c r="J25" i="2"/>
  <c r="J12" i="2"/>
  <c r="E14" i="2"/>
  <c r="E16" i="2" s="1"/>
  <c r="E18" i="2" s="1"/>
  <c r="E19" i="2" s="1"/>
  <c r="K14" i="2"/>
  <c r="K16" i="2" s="1"/>
  <c r="K18" i="2" s="1"/>
  <c r="K19" i="2" s="1"/>
  <c r="K26" i="2"/>
  <c r="G14" i="2"/>
  <c r="G16" i="2" s="1"/>
  <c r="G18" i="2" s="1"/>
  <c r="G19" i="2" s="1"/>
  <c r="G26" i="2"/>
  <c r="S26" i="2"/>
  <c r="S14" i="2"/>
  <c r="S16" i="2" s="1"/>
  <c r="S18" i="2" s="1"/>
  <c r="S19" i="2" s="1"/>
  <c r="R26" i="2"/>
  <c r="R14" i="2"/>
  <c r="R16" i="2" s="1"/>
  <c r="R18" i="2" s="1"/>
  <c r="R19" i="2" s="1"/>
  <c r="Q26" i="2"/>
  <c r="Q14" i="2"/>
  <c r="Q16" i="2" s="1"/>
  <c r="Q18" i="2" s="1"/>
  <c r="Q19" i="2" s="1"/>
  <c r="T14" i="2" l="1"/>
  <c r="T16" i="2" s="1"/>
  <c r="T18" i="2" s="1"/>
  <c r="U14" i="2"/>
  <c r="U16" i="2" s="1"/>
  <c r="U9" i="2"/>
  <c r="V25" i="2"/>
  <c r="W6" i="2"/>
  <c r="W12" i="2" s="1"/>
  <c r="V14" i="2"/>
  <c r="V16" i="2" s="1"/>
  <c r="J26" i="2"/>
  <c r="J14" i="2"/>
  <c r="J16" i="2" s="1"/>
  <c r="J18" i="2" s="1"/>
  <c r="J19" i="2" s="1"/>
  <c r="V17" i="2" l="1"/>
  <c r="V18" i="2"/>
  <c r="T19" i="2"/>
  <c r="V9" i="2"/>
  <c r="X6" i="2"/>
  <c r="W25" i="2"/>
  <c r="W14" i="2"/>
  <c r="W16" i="2" s="1"/>
  <c r="U17" i="2"/>
  <c r="U18" i="2" s="1"/>
  <c r="X12" i="2" l="1"/>
  <c r="Y6" i="2"/>
  <c r="Z6" i="2" s="1"/>
  <c r="AA6" i="2" s="1"/>
  <c r="AB6" i="2" s="1"/>
  <c r="AC6" i="2" s="1"/>
  <c r="AD6" i="2" s="1"/>
  <c r="AE6" i="2" s="1"/>
  <c r="V19" i="2"/>
  <c r="W17" i="2"/>
  <c r="W18" i="2"/>
  <c r="U19" i="2"/>
  <c r="X25" i="2"/>
  <c r="X14" i="2"/>
  <c r="X16" i="2" s="1"/>
  <c r="W9" i="2"/>
  <c r="W19" i="2" l="1"/>
  <c r="X17" i="2"/>
  <c r="X18" i="2"/>
  <c r="Y18" i="2" s="1"/>
  <c r="Z18" i="2" s="1"/>
  <c r="AA18" i="2" s="1"/>
  <c r="AB18" i="2" s="1"/>
  <c r="AC18" i="2" s="1"/>
  <c r="AD18" i="2" s="1"/>
  <c r="AE18" i="2" s="1"/>
  <c r="X9" i="2"/>
  <c r="X19" i="2"/>
  <c r="AF18" i="2" l="1"/>
  <c r="AG18" i="2" l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AA28" i="2" l="1"/>
  <c r="AA29" i="2" s="1"/>
</calcChain>
</file>

<file path=xl/sharedStrings.xml><?xml version="1.0" encoding="utf-8"?>
<sst xmlns="http://schemas.openxmlformats.org/spreadsheetml/2006/main" count="52" uniqueCount="48">
  <si>
    <t>Price</t>
  </si>
  <si>
    <t>Shares</t>
  </si>
  <si>
    <t>MC</t>
  </si>
  <si>
    <t>Cash</t>
  </si>
  <si>
    <t>Debt</t>
  </si>
  <si>
    <t>EV</t>
  </si>
  <si>
    <t>Q123</t>
  </si>
  <si>
    <t>Q423</t>
  </si>
  <si>
    <t>Main</t>
  </si>
  <si>
    <t>Revenue</t>
  </si>
  <si>
    <t>Revenue y/y</t>
  </si>
  <si>
    <t>Product</t>
  </si>
  <si>
    <t>Services</t>
  </si>
  <si>
    <t>CoP</t>
  </si>
  <si>
    <t>CoS</t>
  </si>
  <si>
    <t>COGS</t>
  </si>
  <si>
    <t>Product GM</t>
  </si>
  <si>
    <t>Services GM</t>
  </si>
  <si>
    <t>Gross Margin</t>
  </si>
  <si>
    <t>Gross Margin %</t>
  </si>
  <si>
    <t>SG&amp;A</t>
  </si>
  <si>
    <t>Operating Income</t>
  </si>
  <si>
    <t>Interest</t>
  </si>
  <si>
    <t>Pretax Income</t>
  </si>
  <si>
    <t>Taxes</t>
  </si>
  <si>
    <t>Net Income</t>
  </si>
  <si>
    <t>EPS</t>
  </si>
  <si>
    <t>Q223</t>
  </si>
  <si>
    <t>Q323</t>
  </si>
  <si>
    <t>Q124</t>
  </si>
  <si>
    <t>Q224</t>
  </si>
  <si>
    <t>Q324</t>
  </si>
  <si>
    <t>Q424</t>
  </si>
  <si>
    <t>Q422</t>
  </si>
  <si>
    <t>Q322</t>
  </si>
  <si>
    <t>Q222</t>
  </si>
  <si>
    <t>Q122</t>
  </si>
  <si>
    <t>Discount</t>
  </si>
  <si>
    <t>Power</t>
  </si>
  <si>
    <t>Cooling/Airflow</t>
  </si>
  <si>
    <t>Share</t>
  </si>
  <si>
    <t>Current</t>
  </si>
  <si>
    <t xml:space="preserve">Change </t>
  </si>
  <si>
    <t xml:space="preserve">Product y/y </t>
  </si>
  <si>
    <t xml:space="preserve">Services y/y </t>
  </si>
  <si>
    <t>terminal</t>
  </si>
  <si>
    <t>npv</t>
  </si>
  <si>
    <t>$ 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</si>
</sst>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0.0000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3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1" fillId="0" borderId="0" xfId="0" applyFont="1"/>
    <xf numFmtId="3" fontId="1" fillId="0" borderId="0" xfId="0" applyNumberFormat="1" applyFont="1"/>
    <xf numFmtId="9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2" applyFont="1" applyAlignment="1">
      <alignment horizontal="right"/>
    </xf>
    <xf numFmtId="4" fontId="1" fillId="0" borderId="0" xfId="0" applyNumberFormat="1" applyFont="1"/>
    <xf numFmtId="9" fontId="0" fillId="0" borderId="0" xfId="2" applyFont="1"/>
    <xf numFmtId="0" fontId="0" fillId="0" borderId="0" xfId="0" applyFont="1"/>
    <xf numFmtId="9" fontId="3" fillId="0" borderId="0" xfId="2" applyFont="1"/>
    <xf numFmtId="4" fontId="0" fillId="0" borderId="0" xfId="0" applyNumberFormat="1" applyFont="1"/>
    <xf numFmtId="0" fontId="0" fillId="2" borderId="0" xfId="0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4" fontId="0" fillId="2" borderId="0" xfId="0" applyNumberFormat="1" applyFill="1"/>
    <xf numFmtId="9" fontId="0" fillId="2" borderId="0" xfId="2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1" fillId="2" borderId="0" xfId="0" applyNumberFormat="1" applyFont="1" applyFill="1"/>
    <xf numFmtId="0" fontId="0" fillId="2" borderId="0" xfId="0" applyFill="1"/>
    <xf numFmtId="3" fontId="1" fillId="2" borderId="0" xfId="0" applyNumberFormat="1" applyFont="1" applyFill="1"/>
    <xf numFmtId="9" fontId="0" fillId="2" borderId="0" xfId="2" applyFont="1" applyFill="1"/>
    <xf numFmtId="9" fontId="0" fillId="2" borderId="0" xfId="0" applyNumberFormat="1" applyFill="1"/>
    <xf numFmtId="14" fontId="0" fillId="0" borderId="0" xfId="0" applyNumberFormat="1" applyAlignment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BCF31A06-8FAD-4EB4-87F1-8ABC88D345F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23197</xdr:colOff>
      <xdr:row>1</xdr:row>
      <xdr:rowOff>0</xdr:rowOff>
    </xdr:from>
    <xdr:to>
      <xdr:col>13</xdr:col>
      <xdr:colOff>23197</xdr:colOff>
      <xdr:row>30</xdr:row>
      <xdr:rowOff>21648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30943E-0504-71E3-B02F-2DBFA8AC036F}"/>
            </a:ext>
          </a:extLst>
        </xdr:cNvPr>
        <xdr:cNvCxnSpPr/>
      </xdr:nvCxnSpPr>
      <xdr:spPr>
        <a:xfrm>
          <a:off x="8156082" y="0"/>
          <a:ext cx="0" cy="453503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20099</xdr:colOff>
      <xdr:row>1</xdr:row>
      <xdr:rowOff>19916</xdr:rowOff>
    </xdr:from>
    <xdr:to>
      <xdr:col>20</xdr:col>
      <xdr:colOff>20099</xdr:colOff>
      <xdr:row>30</xdr:row>
      <xdr:rowOff>41564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A6D96E7-1483-4356-9906-6D6E280218CB}"/>
            </a:ext>
          </a:extLst>
        </xdr:cNvPr>
        <xdr:cNvCxnSpPr/>
      </xdr:nvCxnSpPr>
      <xdr:spPr>
        <a:xfrm>
          <a:off x="12409926" y="19916"/>
          <a:ext cx="0" cy="453503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A52C-F755-4436-B83F-418D13AF57A5}">
  <dimension ref="B2:J7"/>
  <sheetViews>
    <sheetView zoomScale="175" zoomScaleNormal="175" workbookViewId="0"/>
  </sheetViews>
  <sheetFormatPr defaultRowHeight="12.75" x14ac:dyDescent="0.2"/>
  <cols>
    <col min="2" max="2" width="13.140625" customWidth="1"/>
    <col min="4" max="4" width="16.7109375" customWidth="1"/>
    <col min="6" max="6" width="22" customWidth="1"/>
  </cols>
  <sheetData>
    <row r="2" spans="2:10" x14ac:dyDescent="0.2">
      <c r="B2" t="s">
        <v>38</v>
      </c>
      <c r="H2" t="s">
        <v>0</v>
      </c>
      <c r="I2" s="1">
        <v>145.63</v>
      </c>
    </row>
    <row r="3" spans="2:10" x14ac:dyDescent="0.2">
      <c r="B3" t="s">
        <v>39</v>
      </c>
      <c r="H3" t="s">
        <v>1</v>
      </c>
      <c r="I3" s="2">
        <v>375.33599199999998</v>
      </c>
      <c r="J3" s="6" t="s">
        <v>32</v>
      </c>
    </row>
    <row r="4" spans="2:10" x14ac:dyDescent="0.2">
      <c r="F4" s="5"/>
      <c r="H4" t="s">
        <v>2</v>
      </c>
      <c r="I4" s="2">
        <f>+I2*I3</f>
        <v>54660.180514959997</v>
      </c>
      <c r="J4" s="6"/>
    </row>
    <row r="5" spans="2:10" x14ac:dyDescent="0.2">
      <c r="H5" t="s">
        <v>3</v>
      </c>
      <c r="I5" s="2">
        <v>908.7</v>
      </c>
      <c r="J5" s="6" t="s">
        <v>32</v>
      </c>
    </row>
    <row r="6" spans="2:10" x14ac:dyDescent="0.2">
      <c r="H6" t="s">
        <v>4</v>
      </c>
      <c r="I6" s="2">
        <f>21.2+2909</f>
        <v>2930.2</v>
      </c>
      <c r="J6" s="6" t="s">
        <v>32</v>
      </c>
    </row>
    <row r="7" spans="2:10" x14ac:dyDescent="0.2">
      <c r="D7" s="4"/>
      <c r="H7" t="s">
        <v>5</v>
      </c>
      <c r="I7" s="2">
        <f>+I4-I5+I6</f>
        <v>56681.680514959997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694A-20C0-424F-9BB7-5AD086B4E12F}">
  <dimension ref="A1:EB36"/>
  <sheetViews>
    <sheetView tabSelected="1" zoomScale="115" zoomScaleNormal="115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T10" sqref="T10"/>
    </sheetView>
  </sheetViews>
  <sheetFormatPr defaultRowHeight="12.75" x14ac:dyDescent="0.2"/>
  <cols>
    <col min="1" max="1" width="5" bestFit="1" customWidth="1"/>
    <col min="2" max="2" width="16.5703125" customWidth="1"/>
    <col min="3" max="14" width="9.140625" style="6"/>
    <col min="20" max="24" width="9.28515625" bestFit="1" customWidth="1"/>
    <col min="25" max="26" width="10.140625" bestFit="1" customWidth="1"/>
    <col min="27" max="27" width="11.140625" bestFit="1" customWidth="1"/>
  </cols>
  <sheetData>
    <row r="1" spans="1:31" x14ac:dyDescent="0.2">
      <c r="A1" s="7" t="s">
        <v>8</v>
      </c>
    </row>
    <row r="2" spans="1:31" x14ac:dyDescent="0.2">
      <c r="B2" t="s">
        <v>47</v>
      </c>
      <c r="N2" s="32">
        <v>45700</v>
      </c>
      <c r="T2" s="32">
        <v>45700</v>
      </c>
    </row>
    <row r="3" spans="1:31" x14ac:dyDescent="0.2">
      <c r="C3" s="6" t="s">
        <v>36</v>
      </c>
      <c r="D3" s="6" t="s">
        <v>35</v>
      </c>
      <c r="E3" s="6" t="s">
        <v>34</v>
      </c>
      <c r="F3" s="6" t="s">
        <v>33</v>
      </c>
      <c r="G3" s="6" t="s">
        <v>6</v>
      </c>
      <c r="H3" s="6" t="s">
        <v>27</v>
      </c>
      <c r="I3" s="6" t="s">
        <v>28</v>
      </c>
      <c r="J3" s="6" t="s">
        <v>7</v>
      </c>
      <c r="K3" s="6" t="s">
        <v>29</v>
      </c>
      <c r="L3" s="6" t="s">
        <v>30</v>
      </c>
      <c r="M3" s="6" t="s">
        <v>31</v>
      </c>
      <c r="N3" s="20" t="s">
        <v>32</v>
      </c>
      <c r="P3">
        <v>2020</v>
      </c>
      <c r="Q3">
        <v>2021</v>
      </c>
      <c r="R3">
        <v>2022</v>
      </c>
      <c r="S3">
        <v>2023</v>
      </c>
      <c r="T3" s="28">
        <v>2024</v>
      </c>
      <c r="U3">
        <v>2025</v>
      </c>
      <c r="V3">
        <f>+U3+1</f>
        <v>2026</v>
      </c>
      <c r="W3">
        <f t="shared" ref="W3:AE3" si="0">+V3+1</f>
        <v>2027</v>
      </c>
      <c r="X3">
        <f t="shared" si="0"/>
        <v>2028</v>
      </c>
      <c r="Y3">
        <f t="shared" si="0"/>
        <v>2029</v>
      </c>
      <c r="Z3">
        <f t="shared" si="0"/>
        <v>2030</v>
      </c>
      <c r="AA3">
        <f t="shared" si="0"/>
        <v>2031</v>
      </c>
      <c r="AB3">
        <f t="shared" si="0"/>
        <v>2032</v>
      </c>
      <c r="AC3">
        <f t="shared" si="0"/>
        <v>2033</v>
      </c>
      <c r="AD3">
        <f t="shared" si="0"/>
        <v>2034</v>
      </c>
      <c r="AE3">
        <f t="shared" si="0"/>
        <v>2035</v>
      </c>
    </row>
    <row r="4" spans="1:31" s="2" customFormat="1" x14ac:dyDescent="0.2">
      <c r="B4" s="2" t="s">
        <v>11</v>
      </c>
      <c r="C4" s="11">
        <v>849.4</v>
      </c>
      <c r="D4" s="11">
        <v>1055</v>
      </c>
      <c r="E4" s="11">
        <v>1135.4000000000001</v>
      </c>
      <c r="F4" s="11">
        <f>R4-E4-D4-C4</f>
        <v>1295.5</v>
      </c>
      <c r="G4" s="11">
        <v>1186.5</v>
      </c>
      <c r="H4" s="11">
        <v>1360.4</v>
      </c>
      <c r="I4" s="11">
        <v>1381.3</v>
      </c>
      <c r="J4" s="11">
        <f>+S4-I4-H4-G4</f>
        <v>1477.9</v>
      </c>
      <c r="K4" s="11">
        <v>1270.3</v>
      </c>
      <c r="L4" s="11">
        <v>1555.2</v>
      </c>
      <c r="M4" s="11">
        <v>1653.7</v>
      </c>
      <c r="N4" s="22">
        <f>+J4*1.15</f>
        <v>1699.585</v>
      </c>
      <c r="Q4" s="2">
        <v>3694.6</v>
      </c>
      <c r="R4" s="2">
        <v>4335.3</v>
      </c>
      <c r="S4" s="2">
        <v>5406.1</v>
      </c>
      <c r="T4" s="23"/>
    </row>
    <row r="5" spans="1:31" s="2" customFormat="1" x14ac:dyDescent="0.2">
      <c r="B5" s="2" t="s">
        <v>12</v>
      </c>
      <c r="C5" s="11">
        <v>307</v>
      </c>
      <c r="D5" s="11">
        <v>344.4</v>
      </c>
      <c r="E5" s="11">
        <v>345.7</v>
      </c>
      <c r="F5" s="11">
        <f>R5-E5-D5-C5</f>
        <v>359.1</v>
      </c>
      <c r="G5" s="11">
        <v>334.6</v>
      </c>
      <c r="H5" s="11">
        <v>373.7</v>
      </c>
      <c r="I5" s="11">
        <v>361.3</v>
      </c>
      <c r="J5" s="11">
        <f>+S5-I5-H5-G5</f>
        <v>387.49999999999989</v>
      </c>
      <c r="K5" s="11">
        <v>368.8</v>
      </c>
      <c r="L5" s="11">
        <v>397.6</v>
      </c>
      <c r="M5" s="11">
        <v>419.8</v>
      </c>
      <c r="N5" s="22">
        <f>+J5*1.15</f>
        <v>445.62499999999983</v>
      </c>
      <c r="Q5" s="2">
        <v>1303.5</v>
      </c>
      <c r="R5" s="2">
        <v>1356.2</v>
      </c>
      <c r="S5" s="2">
        <v>1457.1</v>
      </c>
      <c r="T5" s="23"/>
    </row>
    <row r="6" spans="1:31" s="8" customFormat="1" x14ac:dyDescent="0.2">
      <c r="B6" s="8" t="s">
        <v>9</v>
      </c>
      <c r="C6" s="12">
        <f t="shared" ref="C6:I6" si="1">+C4+C5</f>
        <v>1156.4000000000001</v>
      </c>
      <c r="D6" s="12">
        <f t="shared" si="1"/>
        <v>1399.4</v>
      </c>
      <c r="E6" s="12">
        <f t="shared" si="1"/>
        <v>1481.1000000000001</v>
      </c>
      <c r="F6" s="12">
        <f t="shared" si="1"/>
        <v>1654.6</v>
      </c>
      <c r="G6" s="12">
        <f t="shared" si="1"/>
        <v>1521.1</v>
      </c>
      <c r="H6" s="12">
        <f t="shared" si="1"/>
        <v>1734.1000000000001</v>
      </c>
      <c r="I6" s="12">
        <f t="shared" si="1"/>
        <v>1742.6</v>
      </c>
      <c r="J6" s="12">
        <f>+S6-I6-H6-G6</f>
        <v>1865.4</v>
      </c>
      <c r="K6" s="12">
        <f>+K4+K5</f>
        <v>1639.1</v>
      </c>
      <c r="L6" s="12">
        <f>+L4+L5</f>
        <v>1952.8000000000002</v>
      </c>
      <c r="M6" s="12">
        <f>+M4+M5</f>
        <v>2073.5</v>
      </c>
      <c r="N6" s="21">
        <f>+N4+N5</f>
        <v>2145.21</v>
      </c>
      <c r="P6" s="9"/>
      <c r="Q6" s="9">
        <f>+Q4+Q5</f>
        <v>4998.1000000000004</v>
      </c>
      <c r="R6" s="9">
        <f>+R4+R5</f>
        <v>5691.5</v>
      </c>
      <c r="S6" s="9">
        <f>+S4+S5</f>
        <v>6863.2000000000007</v>
      </c>
      <c r="T6" s="29">
        <f>SUM(K6:N6)</f>
        <v>7810.61</v>
      </c>
      <c r="U6" s="9">
        <f>+T6*1.15</f>
        <v>8982.2014999999992</v>
      </c>
      <c r="V6" s="9">
        <f>+U6*1.15</f>
        <v>10329.531724999999</v>
      </c>
      <c r="W6" s="9">
        <f>+V6*1.15</f>
        <v>11878.961483749998</v>
      </c>
      <c r="X6" s="9">
        <f>+W6*1.15</f>
        <v>13660.805706312496</v>
      </c>
      <c r="Y6" s="9">
        <f>+X6*1.15</f>
        <v>15709.926562259368</v>
      </c>
      <c r="Z6" s="9">
        <f>+Y6*1.15</f>
        <v>18066.415546598273</v>
      </c>
      <c r="AA6" s="9">
        <f>+Z6*0.97</f>
        <v>17524.423080200326</v>
      </c>
      <c r="AB6" s="9">
        <f>+AA6*0.97</f>
        <v>16998.690387794315</v>
      </c>
      <c r="AC6" s="9">
        <f>+AB6*0.97</f>
        <v>16488.729676160485</v>
      </c>
      <c r="AD6" s="9">
        <f>+AC6*0.97</f>
        <v>15994.06778587567</v>
      </c>
      <c r="AE6" s="9">
        <f>+AD6*0.97</f>
        <v>15514.245752299399</v>
      </c>
    </row>
    <row r="7" spans="1:31" x14ac:dyDescent="0.2">
      <c r="B7" t="s">
        <v>13</v>
      </c>
      <c r="C7" s="11">
        <v>655.8</v>
      </c>
      <c r="D7" s="11">
        <v>807.4</v>
      </c>
      <c r="E7" s="11">
        <v>838.5</v>
      </c>
      <c r="F7" s="11">
        <f t="shared" ref="F7:F8" si="2">R7-E7-D7-C7</f>
        <v>917.39999999999986</v>
      </c>
      <c r="G7" s="11">
        <v>819.5</v>
      </c>
      <c r="H7" s="11">
        <v>912.9</v>
      </c>
      <c r="I7" s="11">
        <v>894.2</v>
      </c>
      <c r="J7" s="11">
        <f>+S7-I7-H7-G7</f>
        <v>949.09999999999991</v>
      </c>
      <c r="K7" s="11">
        <v>846.3</v>
      </c>
      <c r="L7" s="11">
        <v>981</v>
      </c>
      <c r="M7" s="6">
        <v>1066.3</v>
      </c>
      <c r="N7" s="20"/>
      <c r="P7" s="2"/>
      <c r="Q7" s="2">
        <v>2699.7</v>
      </c>
      <c r="R7" s="2">
        <v>3219.1</v>
      </c>
      <c r="S7" s="2">
        <v>3575.7</v>
      </c>
      <c r="T7" s="28"/>
    </row>
    <row r="8" spans="1:31" x14ac:dyDescent="0.2">
      <c r="B8" t="s">
        <v>14</v>
      </c>
      <c r="C8" s="11">
        <v>197</v>
      </c>
      <c r="D8" s="11">
        <v>220.5</v>
      </c>
      <c r="E8" s="11">
        <v>213.3</v>
      </c>
      <c r="F8" s="11">
        <f t="shared" si="2"/>
        <v>225.5</v>
      </c>
      <c r="G8" s="11">
        <v>206.1</v>
      </c>
      <c r="H8" s="11">
        <v>227.2</v>
      </c>
      <c r="I8" s="11">
        <v>220.8</v>
      </c>
      <c r="J8" s="11">
        <f>+S8-I8-H8-G8</f>
        <v>232.90000000000006</v>
      </c>
      <c r="K8" s="11">
        <v>226.4</v>
      </c>
      <c r="L8" s="11">
        <v>230.6</v>
      </c>
      <c r="M8" s="6">
        <v>250.8</v>
      </c>
      <c r="N8" s="20"/>
      <c r="P8" s="2"/>
      <c r="Q8" s="2">
        <v>775.7</v>
      </c>
      <c r="R8" s="2">
        <v>856.3</v>
      </c>
      <c r="S8" s="2">
        <v>887</v>
      </c>
      <c r="T8" s="28"/>
    </row>
    <row r="9" spans="1:31" x14ac:dyDescent="0.2">
      <c r="B9" t="s">
        <v>15</v>
      </c>
      <c r="C9" s="11">
        <f>+C7+C8</f>
        <v>852.8</v>
      </c>
      <c r="D9" s="11">
        <f>+D7+D8</f>
        <v>1027.9000000000001</v>
      </c>
      <c r="E9" s="11">
        <f>+E7+E8</f>
        <v>1051.8</v>
      </c>
      <c r="F9" s="11">
        <f t="shared" ref="F9" si="3">+F7+F8</f>
        <v>1142.8999999999999</v>
      </c>
      <c r="G9" s="11">
        <f t="shared" ref="G9:L9" si="4">+G7+G8</f>
        <v>1025.5999999999999</v>
      </c>
      <c r="H9" s="11">
        <f t="shared" si="4"/>
        <v>1140.0999999999999</v>
      </c>
      <c r="I9" s="11">
        <f t="shared" si="4"/>
        <v>1115</v>
      </c>
      <c r="J9" s="11">
        <f t="shared" si="4"/>
        <v>1182</v>
      </c>
      <c r="K9" s="11">
        <f t="shared" si="4"/>
        <v>1072.7</v>
      </c>
      <c r="L9" s="11">
        <f t="shared" si="4"/>
        <v>1211.5999999999999</v>
      </c>
      <c r="M9" s="11">
        <f>+M7+M8</f>
        <v>1317.1</v>
      </c>
      <c r="N9" s="22">
        <f>+N6-N12</f>
        <v>1330.0302000000001</v>
      </c>
      <c r="P9" s="2"/>
      <c r="Q9" s="2">
        <f>+Q7+Q8</f>
        <v>3475.3999999999996</v>
      </c>
      <c r="R9" s="2">
        <f>+R7+R8</f>
        <v>4075.3999999999996</v>
      </c>
      <c r="S9" s="2">
        <f>+S7+S8</f>
        <v>4462.7</v>
      </c>
      <c r="T9" s="23">
        <f>SUM(K9:N9)</f>
        <v>4931.4302000000007</v>
      </c>
      <c r="U9" s="2">
        <f>+U6-U12</f>
        <v>5568.9649300000001</v>
      </c>
      <c r="V9" s="2">
        <f>+V6-V12</f>
        <v>6404.3096694999995</v>
      </c>
      <c r="W9" s="2">
        <f>+W6-W12</f>
        <v>7246.1665050874981</v>
      </c>
      <c r="X9" s="2">
        <f>+X6-X12</f>
        <v>8333.0914808506222</v>
      </c>
    </row>
    <row r="10" spans="1:31" x14ac:dyDescent="0.2">
      <c r="B10" t="s">
        <v>16</v>
      </c>
      <c r="C10" s="2">
        <f>+C4-C7</f>
        <v>193.60000000000002</v>
      </c>
      <c r="D10" s="2">
        <f>+D4-D7</f>
        <v>247.60000000000002</v>
      </c>
      <c r="E10" s="2">
        <f>+E4-E7</f>
        <v>296.90000000000009</v>
      </c>
      <c r="F10" s="2">
        <f t="shared" ref="F10" si="5">+F4-F7</f>
        <v>378.10000000000014</v>
      </c>
      <c r="G10" s="2">
        <f t="shared" ref="G10:L10" si="6">+G4-G7</f>
        <v>367</v>
      </c>
      <c r="H10" s="2">
        <f t="shared" si="6"/>
        <v>447.50000000000011</v>
      </c>
      <c r="I10" s="2">
        <f t="shared" si="6"/>
        <v>487.09999999999991</v>
      </c>
      <c r="J10" s="2">
        <f t="shared" si="6"/>
        <v>528.80000000000018</v>
      </c>
      <c r="K10" s="2">
        <f t="shared" si="6"/>
        <v>424</v>
      </c>
      <c r="L10" s="2">
        <f t="shared" si="6"/>
        <v>574.20000000000005</v>
      </c>
      <c r="M10" s="6">
        <f>+M4-M7</f>
        <v>587.40000000000009</v>
      </c>
      <c r="N10" s="20"/>
      <c r="P10" s="2"/>
      <c r="Q10" s="2">
        <f>+Q4-Q7</f>
        <v>994.90000000000009</v>
      </c>
      <c r="R10" s="2">
        <f>+R4-R7</f>
        <v>1116.2000000000003</v>
      </c>
      <c r="S10" s="2">
        <f>+S4-S7</f>
        <v>1830.4000000000005</v>
      </c>
      <c r="T10" s="28"/>
    </row>
    <row r="11" spans="1:31" x14ac:dyDescent="0.2">
      <c r="B11" t="s">
        <v>17</v>
      </c>
      <c r="C11" s="2">
        <f t="shared" ref="C11:D11" si="7">+C5-C8</f>
        <v>110</v>
      </c>
      <c r="D11" s="2">
        <f t="shared" si="7"/>
        <v>123.89999999999998</v>
      </c>
      <c r="E11" s="2">
        <f t="shared" ref="E11:F11" si="8">+E5-E8</f>
        <v>132.39999999999998</v>
      </c>
      <c r="F11" s="2">
        <f t="shared" si="8"/>
        <v>133.60000000000002</v>
      </c>
      <c r="G11" s="2">
        <f t="shared" ref="G11:H11" si="9">+G5-G8</f>
        <v>128.50000000000003</v>
      </c>
      <c r="H11" s="2">
        <f t="shared" si="9"/>
        <v>146.5</v>
      </c>
      <c r="I11" s="2">
        <f t="shared" ref="I11:J11" si="10">+I5-I8</f>
        <v>140.5</v>
      </c>
      <c r="J11" s="2">
        <f t="shared" si="10"/>
        <v>154.59999999999982</v>
      </c>
      <c r="K11" s="2">
        <f t="shared" ref="K11:L11" si="11">+K5-K8</f>
        <v>142.4</v>
      </c>
      <c r="L11" s="2">
        <f t="shared" si="11"/>
        <v>167.00000000000003</v>
      </c>
      <c r="M11" s="6">
        <f>+M5-M8</f>
        <v>169</v>
      </c>
      <c r="N11" s="20"/>
      <c r="P11" s="2"/>
      <c r="Q11" s="2">
        <f t="shared" ref="Q11:R11" si="12">+Q5-Q8</f>
        <v>527.79999999999995</v>
      </c>
      <c r="R11" s="2">
        <f t="shared" si="12"/>
        <v>499.90000000000009</v>
      </c>
      <c r="S11" s="2">
        <f>+S5-S8</f>
        <v>570.09999999999991</v>
      </c>
      <c r="T11" s="28"/>
    </row>
    <row r="12" spans="1:31" s="8" customFormat="1" x14ac:dyDescent="0.2">
      <c r="B12" s="8" t="s">
        <v>18</v>
      </c>
      <c r="C12" s="9">
        <f>+C6-C9</f>
        <v>303.60000000000014</v>
      </c>
      <c r="D12" s="9">
        <f>+D6-D9</f>
        <v>371.5</v>
      </c>
      <c r="E12" s="9">
        <f>+E6-E9</f>
        <v>429.30000000000018</v>
      </c>
      <c r="F12" s="9">
        <f t="shared" ref="F12" si="13">+F6-F9</f>
        <v>511.70000000000005</v>
      </c>
      <c r="G12" s="9">
        <f t="shared" ref="G12:L12" si="14">+G6-G9</f>
        <v>495.5</v>
      </c>
      <c r="H12" s="9">
        <f t="shared" si="14"/>
        <v>594.00000000000023</v>
      </c>
      <c r="I12" s="9">
        <f t="shared" si="14"/>
        <v>627.59999999999991</v>
      </c>
      <c r="J12" s="9">
        <f t="shared" si="14"/>
        <v>683.40000000000009</v>
      </c>
      <c r="K12" s="9">
        <f t="shared" si="14"/>
        <v>566.39999999999986</v>
      </c>
      <c r="L12" s="9">
        <f t="shared" si="14"/>
        <v>741.20000000000027</v>
      </c>
      <c r="M12" s="12">
        <f>+M6-M9</f>
        <v>756.40000000000009</v>
      </c>
      <c r="N12" s="21">
        <f>+N6*0.38</f>
        <v>815.1798</v>
      </c>
      <c r="P12" s="9"/>
      <c r="Q12" s="9">
        <f t="shared" ref="Q12:R12" si="15">+Q6-Q9</f>
        <v>1522.7000000000007</v>
      </c>
      <c r="R12" s="9">
        <f t="shared" si="15"/>
        <v>1616.1000000000004</v>
      </c>
      <c r="S12" s="9">
        <f>+S6-S9</f>
        <v>2400.5000000000009</v>
      </c>
      <c r="T12" s="29">
        <f>SUM(K12:N12)</f>
        <v>2879.1797999999999</v>
      </c>
      <c r="U12" s="9">
        <f>+U6*U26</f>
        <v>3413.2365699999996</v>
      </c>
      <c r="V12" s="9">
        <f>+V6*V26</f>
        <v>3925.2220554999994</v>
      </c>
      <c r="W12" s="9">
        <f>+W6*W26</f>
        <v>4632.7949786624995</v>
      </c>
      <c r="X12" s="9">
        <f>+X6*X26</f>
        <v>5327.7142254618739</v>
      </c>
    </row>
    <row r="13" spans="1:31" x14ac:dyDescent="0.2">
      <c r="B13" t="s">
        <v>20</v>
      </c>
      <c r="C13" s="2">
        <f>292.2-0.6</f>
        <v>291.59999999999997</v>
      </c>
      <c r="D13" s="2">
        <f>287.6-1.8</f>
        <v>285.8</v>
      </c>
      <c r="E13" s="2">
        <f>295.2+1.2</f>
        <v>296.39999999999998</v>
      </c>
      <c r="F13" s="11">
        <f t="shared" ref="F13" si="16">R13-E13-D13-C13</f>
        <v>298.7</v>
      </c>
      <c r="G13" s="2">
        <f>308.7-4.9</f>
        <v>303.8</v>
      </c>
      <c r="H13" s="2">
        <f>327.6-1.4</f>
        <v>326.20000000000005</v>
      </c>
      <c r="I13" s="2">
        <v>327.2</v>
      </c>
      <c r="J13" s="11">
        <f>+S13-I13-H13-G13</f>
        <v>345.19999999999976</v>
      </c>
      <c r="K13" s="2">
        <f>314+0.03</f>
        <v>314.02999999999997</v>
      </c>
      <c r="L13" s="2">
        <f>363.8-2.1</f>
        <v>361.7</v>
      </c>
      <c r="M13" s="11">
        <v>334.6</v>
      </c>
      <c r="N13" s="22">
        <f>+J13*1.05</f>
        <v>362.45999999999975</v>
      </c>
      <c r="P13" s="2"/>
      <c r="Q13" s="2">
        <f>1109-3.8</f>
        <v>1105.2</v>
      </c>
      <c r="R13" s="2">
        <f>1178.3-5.8</f>
        <v>1172.5</v>
      </c>
      <c r="S13" s="2">
        <f>1312.3-9.9</f>
        <v>1302.3999999999999</v>
      </c>
      <c r="T13" s="23">
        <f>SUM(K13:N13)</f>
        <v>1372.7899999999997</v>
      </c>
      <c r="U13" s="2">
        <f>+T13*1.05</f>
        <v>1441.4294999999997</v>
      </c>
      <c r="V13" s="2">
        <f>+U13*1.05</f>
        <v>1513.5009749999997</v>
      </c>
      <c r="W13" s="2">
        <f>+V13*1.05</f>
        <v>1589.1760237499998</v>
      </c>
      <c r="X13" s="2">
        <f>+W13*1.05</f>
        <v>1668.6348249374998</v>
      </c>
    </row>
    <row r="14" spans="1:31" x14ac:dyDescent="0.2">
      <c r="B14" t="s">
        <v>21</v>
      </c>
      <c r="C14" s="2">
        <f>C12-C13</f>
        <v>12.000000000000171</v>
      </c>
      <c r="D14" s="2">
        <f>D12-D13</f>
        <v>85.699999999999989</v>
      </c>
      <c r="E14" s="2">
        <f>E12-E13</f>
        <v>132.9000000000002</v>
      </c>
      <c r="F14" s="2">
        <f t="shared" ref="F14" si="17">F12-F13</f>
        <v>213.00000000000006</v>
      </c>
      <c r="G14" s="2">
        <f t="shared" ref="G14:N14" si="18">G12-G13</f>
        <v>191.7</v>
      </c>
      <c r="H14" s="2">
        <f t="shared" si="18"/>
        <v>267.80000000000018</v>
      </c>
      <c r="I14" s="2">
        <f t="shared" si="18"/>
        <v>300.39999999999992</v>
      </c>
      <c r="J14" s="2">
        <f t="shared" si="18"/>
        <v>338.20000000000033</v>
      </c>
      <c r="K14" s="2">
        <f t="shared" si="18"/>
        <v>252.36999999999989</v>
      </c>
      <c r="L14" s="2">
        <f t="shared" si="18"/>
        <v>379.50000000000028</v>
      </c>
      <c r="M14" s="2">
        <f t="shared" si="18"/>
        <v>421.80000000000007</v>
      </c>
      <c r="N14" s="23">
        <f t="shared" si="18"/>
        <v>452.71980000000025</v>
      </c>
      <c r="P14" s="2"/>
      <c r="Q14" s="2">
        <f t="shared" ref="Q14:X14" si="19">Q12-Q13</f>
        <v>417.50000000000068</v>
      </c>
      <c r="R14" s="2">
        <f t="shared" si="19"/>
        <v>443.60000000000036</v>
      </c>
      <c r="S14" s="2">
        <f t="shared" si="19"/>
        <v>1098.100000000001</v>
      </c>
      <c r="T14" s="23">
        <f t="shared" si="19"/>
        <v>1506.3898000000002</v>
      </c>
      <c r="U14" s="2">
        <f t="shared" si="19"/>
        <v>1971.8070699999998</v>
      </c>
      <c r="V14" s="2">
        <f t="shared" si="19"/>
        <v>2411.7210804999995</v>
      </c>
      <c r="W14" s="2">
        <f t="shared" si="19"/>
        <v>3043.6189549124997</v>
      </c>
      <c r="X14" s="2">
        <f t="shared" si="19"/>
        <v>3659.0794005243743</v>
      </c>
    </row>
    <row r="15" spans="1:31" x14ac:dyDescent="0.2">
      <c r="B15" t="s">
        <v>22</v>
      </c>
      <c r="C15" s="2">
        <v>-29.3</v>
      </c>
      <c r="D15" s="2">
        <v>-33.4</v>
      </c>
      <c r="E15" s="2">
        <v>-38.799999999999997</v>
      </c>
      <c r="F15" s="11">
        <f t="shared" ref="F15" si="20">R15-E15-D15-C15</f>
        <v>-45.800000000000026</v>
      </c>
      <c r="G15" s="2">
        <v>-46.8</v>
      </c>
      <c r="H15" s="2">
        <v>-46.9</v>
      </c>
      <c r="I15" s="2">
        <v>-43.5</v>
      </c>
      <c r="J15" s="11">
        <f>+S15-I15-H15-G15</f>
        <v>46.6</v>
      </c>
      <c r="K15" s="2">
        <v>-39</v>
      </c>
      <c r="L15" s="2">
        <v>-44.8</v>
      </c>
      <c r="M15" s="11">
        <v>35.9</v>
      </c>
      <c r="N15" s="22">
        <f>+M15+2</f>
        <v>37.9</v>
      </c>
      <c r="P15" s="2"/>
      <c r="Q15" s="2">
        <v>-180.1</v>
      </c>
      <c r="R15" s="2">
        <v>-147.30000000000001</v>
      </c>
      <c r="S15" s="2">
        <v>-90.6</v>
      </c>
      <c r="T15" s="23">
        <f>SUM(K15:N15)</f>
        <v>-10</v>
      </c>
      <c r="U15" s="2">
        <f>+T15+30</f>
        <v>20</v>
      </c>
      <c r="V15" s="2">
        <f>+U15+30</f>
        <v>50</v>
      </c>
      <c r="W15" s="2">
        <f>+V15+30</f>
        <v>80</v>
      </c>
      <c r="X15" s="2">
        <f>+W15+30</f>
        <v>110</v>
      </c>
    </row>
    <row r="16" spans="1:31" x14ac:dyDescent="0.2">
      <c r="B16" t="s">
        <v>23</v>
      </c>
      <c r="C16" s="2">
        <f>+C14+C15</f>
        <v>-17.29999999999983</v>
      </c>
      <c r="D16" s="2">
        <f>+D14+D15</f>
        <v>52.29999999999999</v>
      </c>
      <c r="E16" s="2">
        <f>+E14+E15</f>
        <v>94.100000000000207</v>
      </c>
      <c r="F16" s="2">
        <f t="shared" ref="F16" si="21">+F14+F15</f>
        <v>167.20000000000005</v>
      </c>
      <c r="G16" s="2">
        <f t="shared" ref="G16:N16" si="22">+G14+G15</f>
        <v>144.89999999999998</v>
      </c>
      <c r="H16" s="2">
        <f t="shared" si="22"/>
        <v>220.90000000000018</v>
      </c>
      <c r="I16" s="2">
        <f t="shared" si="22"/>
        <v>256.89999999999992</v>
      </c>
      <c r="J16" s="2">
        <f t="shared" si="22"/>
        <v>384.80000000000035</v>
      </c>
      <c r="K16" s="2">
        <f t="shared" si="22"/>
        <v>213.36999999999989</v>
      </c>
      <c r="L16" s="2">
        <f t="shared" si="22"/>
        <v>334.70000000000027</v>
      </c>
      <c r="M16" s="2">
        <f t="shared" si="22"/>
        <v>457.70000000000005</v>
      </c>
      <c r="N16" s="23">
        <f t="shared" si="22"/>
        <v>490.61980000000023</v>
      </c>
      <c r="P16" s="2"/>
      <c r="Q16" s="2">
        <f t="shared" ref="Q16:X16" si="23">+Q14+Q15</f>
        <v>237.40000000000069</v>
      </c>
      <c r="R16" s="2">
        <f t="shared" si="23"/>
        <v>296.30000000000035</v>
      </c>
      <c r="S16" s="2">
        <f t="shared" si="23"/>
        <v>1007.500000000001</v>
      </c>
      <c r="T16" s="23">
        <f t="shared" si="23"/>
        <v>1496.3898000000002</v>
      </c>
      <c r="U16" s="2">
        <f t="shared" si="23"/>
        <v>1991.8070699999998</v>
      </c>
      <c r="V16" s="2">
        <f t="shared" si="23"/>
        <v>2461.7210804999995</v>
      </c>
      <c r="W16" s="2">
        <f t="shared" si="23"/>
        <v>3123.6189549124997</v>
      </c>
      <c r="X16" s="2">
        <f t="shared" si="23"/>
        <v>3769.0794005243743</v>
      </c>
    </row>
    <row r="17" spans="2:132" x14ac:dyDescent="0.2">
      <c r="B17" t="s">
        <v>24</v>
      </c>
      <c r="C17" s="2">
        <v>11.9</v>
      </c>
      <c r="D17" s="2">
        <v>11.4</v>
      </c>
      <c r="E17" s="2">
        <v>10.199999999999999</v>
      </c>
      <c r="F17" s="11">
        <f t="shared" ref="F17" si="24">R17-E17-D17-C17</f>
        <v>56.9</v>
      </c>
      <c r="G17" s="2">
        <v>37.4</v>
      </c>
      <c r="H17" s="2">
        <v>29.7</v>
      </c>
      <c r="I17" s="2">
        <v>51.7</v>
      </c>
      <c r="J17" s="11">
        <f>+S17-I17-H17-G17</f>
        <v>-45.3</v>
      </c>
      <c r="K17" s="2">
        <v>0</v>
      </c>
      <c r="L17" s="2">
        <v>86.6</v>
      </c>
      <c r="M17" s="11">
        <v>91.9</v>
      </c>
      <c r="N17" s="22">
        <f>+N16*0.15</f>
        <v>73.592970000000037</v>
      </c>
      <c r="P17" s="2"/>
      <c r="Q17" s="2">
        <v>46.6</v>
      </c>
      <c r="R17" s="2">
        <v>90.4</v>
      </c>
      <c r="S17" s="2">
        <v>73.5</v>
      </c>
      <c r="T17" s="23">
        <f>SUM(K17:N17)</f>
        <v>252.09297000000004</v>
      </c>
      <c r="U17" s="2">
        <f>+U16*0.15</f>
        <v>298.77106049999998</v>
      </c>
      <c r="V17" s="2">
        <f>+V16*0.15</f>
        <v>369.25816207499992</v>
      </c>
      <c r="W17" s="2">
        <f>+W16*0.15</f>
        <v>468.54284323687494</v>
      </c>
      <c r="X17" s="2">
        <f>+X16*0.15</f>
        <v>565.36191007865614</v>
      </c>
    </row>
    <row r="18" spans="2:132" x14ac:dyDescent="0.2">
      <c r="B18" t="s">
        <v>25</v>
      </c>
      <c r="C18" s="2">
        <f>+C16-C17</f>
        <v>-29.199999999999832</v>
      </c>
      <c r="D18" s="2">
        <f>+D16-D17</f>
        <v>40.899999999999991</v>
      </c>
      <c r="E18" s="2">
        <f>+E16-E17</f>
        <v>83.900000000000205</v>
      </c>
      <c r="F18" s="2">
        <f t="shared" ref="F18" si="25">+F16-F17</f>
        <v>110.30000000000004</v>
      </c>
      <c r="G18" s="2">
        <f t="shared" ref="G18:N18" si="26">+G16-G17</f>
        <v>107.49999999999997</v>
      </c>
      <c r="H18" s="2">
        <f t="shared" si="26"/>
        <v>191.20000000000019</v>
      </c>
      <c r="I18" s="2">
        <f t="shared" si="26"/>
        <v>205.19999999999993</v>
      </c>
      <c r="J18" s="2">
        <f t="shared" si="26"/>
        <v>430.10000000000036</v>
      </c>
      <c r="K18" s="2">
        <f t="shared" si="26"/>
        <v>213.36999999999989</v>
      </c>
      <c r="L18" s="2">
        <f t="shared" si="26"/>
        <v>248.10000000000028</v>
      </c>
      <c r="M18" s="2">
        <f t="shared" si="26"/>
        <v>365.80000000000007</v>
      </c>
      <c r="N18" s="23">
        <f t="shared" si="26"/>
        <v>417.02683000000019</v>
      </c>
      <c r="P18" s="2"/>
      <c r="Q18" s="2">
        <f t="shared" ref="Q18:X18" si="27">+Q16-Q17</f>
        <v>190.80000000000069</v>
      </c>
      <c r="R18" s="2">
        <f t="shared" si="27"/>
        <v>205.90000000000035</v>
      </c>
      <c r="S18" s="2">
        <f t="shared" si="27"/>
        <v>934.00000000000102</v>
      </c>
      <c r="T18" s="23">
        <f t="shared" si="27"/>
        <v>1244.2968300000002</v>
      </c>
      <c r="U18" s="2">
        <f t="shared" si="27"/>
        <v>1693.0360094999999</v>
      </c>
      <c r="V18" s="2">
        <f t="shared" si="27"/>
        <v>2092.4629184249998</v>
      </c>
      <c r="W18" s="2">
        <f t="shared" si="27"/>
        <v>2655.0761116756248</v>
      </c>
      <c r="X18" s="2">
        <f t="shared" si="27"/>
        <v>3203.7174904457179</v>
      </c>
      <c r="Y18" s="2">
        <f>X18*(1+$AA$26)</f>
        <v>3235.7546653501749</v>
      </c>
      <c r="Z18" s="2">
        <f t="shared" ref="Z18:CK18" si="28">Y18*(1+$AA$26)</f>
        <v>3268.1122120036766</v>
      </c>
      <c r="AA18" s="2">
        <f t="shared" si="28"/>
        <v>3300.7933341237135</v>
      </c>
      <c r="AB18" s="2">
        <f t="shared" si="28"/>
        <v>3333.8012674649508</v>
      </c>
      <c r="AC18" s="2">
        <f t="shared" si="28"/>
        <v>3367.1392801396005</v>
      </c>
      <c r="AD18" s="2">
        <f t="shared" si="28"/>
        <v>3400.8106729409965</v>
      </c>
      <c r="AE18" s="2">
        <f t="shared" si="28"/>
        <v>3434.8187796704065</v>
      </c>
      <c r="AF18" s="2">
        <f t="shared" si="28"/>
        <v>3469.1669674671107</v>
      </c>
      <c r="AG18" s="2">
        <f t="shared" si="28"/>
        <v>3503.8586371417819</v>
      </c>
      <c r="AH18" s="2">
        <f t="shared" si="28"/>
        <v>3538.8972235131996</v>
      </c>
      <c r="AI18" s="2">
        <f t="shared" si="28"/>
        <v>3574.2861957483315</v>
      </c>
      <c r="AJ18" s="2">
        <f t="shared" si="28"/>
        <v>3610.0290577058149</v>
      </c>
      <c r="AK18" s="2">
        <f t="shared" si="28"/>
        <v>3646.1293482828733</v>
      </c>
      <c r="AL18" s="2">
        <f t="shared" si="28"/>
        <v>3682.590641765702</v>
      </c>
      <c r="AM18" s="2">
        <f t="shared" si="28"/>
        <v>3719.4165481833593</v>
      </c>
      <c r="AN18" s="2">
        <f t="shared" si="28"/>
        <v>3756.6107136651931</v>
      </c>
      <c r="AO18" s="2">
        <f t="shared" si="28"/>
        <v>3794.1768208018452</v>
      </c>
      <c r="AP18" s="2">
        <f t="shared" si="28"/>
        <v>3832.1185890098636</v>
      </c>
      <c r="AQ18" s="2">
        <f t="shared" si="28"/>
        <v>3870.4397748999622</v>
      </c>
      <c r="AR18" s="2">
        <f t="shared" si="28"/>
        <v>3909.144172648962</v>
      </c>
      <c r="AS18" s="2">
        <f t="shared" si="28"/>
        <v>3948.2356143754519</v>
      </c>
      <c r="AT18" s="2">
        <f t="shared" si="28"/>
        <v>3987.7179705192066</v>
      </c>
      <c r="AU18" s="2">
        <f t="shared" si="28"/>
        <v>4027.5951502243988</v>
      </c>
      <c r="AV18" s="2">
        <f t="shared" si="28"/>
        <v>4067.8711017266428</v>
      </c>
      <c r="AW18" s="2">
        <f t="shared" si="28"/>
        <v>4108.5498127439096</v>
      </c>
      <c r="AX18" s="2">
        <f t="shared" si="28"/>
        <v>4149.6353108713483</v>
      </c>
      <c r="AY18" s="2">
        <f t="shared" si="28"/>
        <v>4191.1316639800616</v>
      </c>
      <c r="AZ18" s="2">
        <f t="shared" si="28"/>
        <v>4233.0429806198626</v>
      </c>
      <c r="BA18" s="2">
        <f t="shared" si="28"/>
        <v>4275.3734104260611</v>
      </c>
      <c r="BB18" s="2">
        <f t="shared" si="28"/>
        <v>4318.1271445303219</v>
      </c>
      <c r="BC18" s="2">
        <f t="shared" si="28"/>
        <v>4361.3084159756254</v>
      </c>
      <c r="BD18" s="2">
        <f t="shared" si="28"/>
        <v>4404.9215001353814</v>
      </c>
      <c r="BE18" s="2">
        <f t="shared" si="28"/>
        <v>4448.9707151367356</v>
      </c>
      <c r="BF18" s="2">
        <f t="shared" si="28"/>
        <v>4493.4604222881035</v>
      </c>
      <c r="BG18" s="2">
        <f t="shared" si="28"/>
        <v>4538.3950265109843</v>
      </c>
      <c r="BH18" s="2">
        <f t="shared" si="28"/>
        <v>4583.7789767760942</v>
      </c>
      <c r="BI18" s="2">
        <f t="shared" si="28"/>
        <v>4629.6167665438552</v>
      </c>
      <c r="BJ18" s="2">
        <f t="shared" si="28"/>
        <v>4675.9129342092938</v>
      </c>
      <c r="BK18" s="2">
        <f t="shared" si="28"/>
        <v>4722.6720635513866</v>
      </c>
      <c r="BL18" s="2">
        <f t="shared" si="28"/>
        <v>4769.8987841869002</v>
      </c>
      <c r="BM18" s="2">
        <f t="shared" si="28"/>
        <v>4817.5977720287692</v>
      </c>
      <c r="BN18" s="2">
        <f t="shared" si="28"/>
        <v>4865.7737497490571</v>
      </c>
      <c r="BO18" s="2">
        <f t="shared" si="28"/>
        <v>4914.4314872465475</v>
      </c>
      <c r="BP18" s="2">
        <f t="shared" si="28"/>
        <v>4963.5758021190131</v>
      </c>
      <c r="BQ18" s="2">
        <f t="shared" si="28"/>
        <v>5013.2115601402029</v>
      </c>
      <c r="BR18" s="2">
        <f t="shared" si="28"/>
        <v>5063.3436757416048</v>
      </c>
      <c r="BS18" s="2">
        <f t="shared" si="28"/>
        <v>5113.9771124990211</v>
      </c>
      <c r="BT18" s="2">
        <f t="shared" si="28"/>
        <v>5165.1168836240113</v>
      </c>
      <c r="BU18" s="2">
        <f t="shared" si="28"/>
        <v>5216.7680524602511</v>
      </c>
      <c r="BV18" s="2">
        <f t="shared" si="28"/>
        <v>5268.9357329848535</v>
      </c>
      <c r="BW18" s="2">
        <f t="shared" si="28"/>
        <v>5321.625090314702</v>
      </c>
      <c r="BX18" s="2">
        <f t="shared" si="28"/>
        <v>5374.8413412178488</v>
      </c>
      <c r="BY18" s="2">
        <f t="shared" si="28"/>
        <v>5428.5897546300275</v>
      </c>
      <c r="BZ18" s="2">
        <f t="shared" si="28"/>
        <v>5482.875652176328</v>
      </c>
      <c r="CA18" s="2">
        <f t="shared" si="28"/>
        <v>5537.7044086980914</v>
      </c>
      <c r="CB18" s="2">
        <f t="shared" si="28"/>
        <v>5593.0814527850725</v>
      </c>
      <c r="CC18" s="2">
        <f t="shared" si="28"/>
        <v>5649.0122673129235</v>
      </c>
      <c r="CD18" s="2">
        <f t="shared" si="28"/>
        <v>5705.5023899860525</v>
      </c>
      <c r="CE18" s="2">
        <f t="shared" si="28"/>
        <v>5762.5574138859129</v>
      </c>
      <c r="CF18" s="2">
        <f t="shared" si="28"/>
        <v>5820.1829880247724</v>
      </c>
      <c r="CG18" s="2">
        <f t="shared" si="28"/>
        <v>5878.3848179050201</v>
      </c>
      <c r="CH18" s="2">
        <f t="shared" si="28"/>
        <v>5937.1686660840705</v>
      </c>
      <c r="CI18" s="2">
        <f t="shared" si="28"/>
        <v>5996.5403527449116</v>
      </c>
      <c r="CJ18" s="2">
        <f t="shared" si="28"/>
        <v>6056.5057562723605</v>
      </c>
      <c r="CK18" s="2">
        <f t="shared" si="28"/>
        <v>6117.0708138350838</v>
      </c>
      <c r="CL18" s="2">
        <f t="shared" ref="CL18:EB18" si="29">CK18*(1+$AA$26)</f>
        <v>6178.2415219734348</v>
      </c>
      <c r="CM18" s="2">
        <f t="shared" si="29"/>
        <v>6240.0239371931693</v>
      </c>
      <c r="CN18" s="2">
        <f t="shared" si="29"/>
        <v>6302.4241765651013</v>
      </c>
      <c r="CO18" s="2">
        <f t="shared" si="29"/>
        <v>6365.4484183307522</v>
      </c>
      <c r="CP18" s="2">
        <f t="shared" si="29"/>
        <v>6429.1029025140597</v>
      </c>
      <c r="CQ18" s="2">
        <f t="shared" si="29"/>
        <v>6493.3939315391999</v>
      </c>
      <c r="CR18" s="2">
        <f t="shared" si="29"/>
        <v>6558.3278708545922</v>
      </c>
      <c r="CS18" s="2">
        <f t="shared" si="29"/>
        <v>6623.9111495631378</v>
      </c>
      <c r="CT18" s="2">
        <f t="shared" si="29"/>
        <v>6690.1502610587695</v>
      </c>
      <c r="CU18" s="2">
        <f t="shared" si="29"/>
        <v>6757.0517636693576</v>
      </c>
      <c r="CV18" s="2">
        <f t="shared" si="29"/>
        <v>6824.6222813060513</v>
      </c>
      <c r="CW18" s="2">
        <f t="shared" si="29"/>
        <v>6892.868504119112</v>
      </c>
      <c r="CX18" s="2">
        <f t="shared" si="29"/>
        <v>6961.7971891603029</v>
      </c>
      <c r="CY18" s="2">
        <f t="shared" si="29"/>
        <v>7031.4151610519057</v>
      </c>
      <c r="CZ18" s="2">
        <f t="shared" si="29"/>
        <v>7101.7293126624245</v>
      </c>
      <c r="DA18" s="2">
        <f t="shared" si="29"/>
        <v>7172.7466057890488</v>
      </c>
      <c r="DB18" s="2">
        <f t="shared" si="29"/>
        <v>7244.4740718469393</v>
      </c>
      <c r="DC18" s="2">
        <f t="shared" si="29"/>
        <v>7316.9188125654091</v>
      </c>
      <c r="DD18" s="2">
        <f t="shared" si="29"/>
        <v>7390.0880006910629</v>
      </c>
      <c r="DE18" s="2">
        <f t="shared" si="29"/>
        <v>7463.9888806979734</v>
      </c>
      <c r="DF18" s="2">
        <f t="shared" si="29"/>
        <v>7538.6287695049532</v>
      </c>
      <c r="DG18" s="2">
        <f t="shared" si="29"/>
        <v>7614.015057200003</v>
      </c>
      <c r="DH18" s="2">
        <f t="shared" si="29"/>
        <v>7690.1552077720035</v>
      </c>
      <c r="DI18" s="2">
        <f t="shared" si="29"/>
        <v>7767.0567598497237</v>
      </c>
      <c r="DJ18" s="2">
        <f t="shared" si="29"/>
        <v>7844.7273274482213</v>
      </c>
      <c r="DK18" s="2">
        <f t="shared" si="29"/>
        <v>7923.1746007227039</v>
      </c>
      <c r="DL18" s="2">
        <f t="shared" si="29"/>
        <v>8002.4063467299311</v>
      </c>
      <c r="DM18" s="2">
        <f t="shared" si="29"/>
        <v>8082.4304101972302</v>
      </c>
      <c r="DN18" s="2">
        <f t="shared" si="29"/>
        <v>8163.2547142992025</v>
      </c>
      <c r="DO18" s="2">
        <f t="shared" si="29"/>
        <v>8244.8872614421944</v>
      </c>
      <c r="DP18" s="2">
        <f t="shared" si="29"/>
        <v>8327.3361340566171</v>
      </c>
      <c r="DQ18" s="2">
        <f t="shared" si="29"/>
        <v>8410.6094953971842</v>
      </c>
      <c r="DR18" s="2">
        <f t="shared" si="29"/>
        <v>8494.7155903511557</v>
      </c>
      <c r="DS18" s="2">
        <f t="shared" si="29"/>
        <v>8579.6627462546676</v>
      </c>
      <c r="DT18" s="2">
        <f t="shared" si="29"/>
        <v>8665.4593737172145</v>
      </c>
      <c r="DU18" s="2">
        <f t="shared" si="29"/>
        <v>8752.1139674543865</v>
      </c>
      <c r="DV18" s="2">
        <f t="shared" si="29"/>
        <v>8839.63510712893</v>
      </c>
      <c r="DW18" s="2">
        <f t="shared" si="29"/>
        <v>8928.0314582002193</v>
      </c>
      <c r="DX18" s="2">
        <f t="shared" si="29"/>
        <v>9017.3117727822209</v>
      </c>
      <c r="DY18" s="2">
        <f t="shared" si="29"/>
        <v>9107.4848905100425</v>
      </c>
      <c r="DZ18" s="2">
        <f t="shared" si="29"/>
        <v>9198.5597394151428</v>
      </c>
      <c r="EA18" s="2">
        <f t="shared" si="29"/>
        <v>9290.5453368092949</v>
      </c>
      <c r="EB18" s="2">
        <f t="shared" si="29"/>
        <v>9383.4507901773886</v>
      </c>
    </row>
    <row r="19" spans="2:132" x14ac:dyDescent="0.2">
      <c r="B19" t="s">
        <v>26</v>
      </c>
      <c r="C19" s="1">
        <f t="shared" ref="C19:N19" si="30">+C18/C20</f>
        <v>-7.6904438334228359E-2</v>
      </c>
      <c r="D19" s="1">
        <f t="shared" si="30"/>
        <v>0.10696971509518695</v>
      </c>
      <c r="E19" s="1">
        <f t="shared" si="30"/>
        <v>0.2222846291249323</v>
      </c>
      <c r="F19" s="1">
        <f t="shared" si="30"/>
        <v>0.29162612631668017</v>
      </c>
      <c r="G19" s="1">
        <f t="shared" si="30"/>
        <v>0.28164695854519106</v>
      </c>
      <c r="H19" s="1">
        <f t="shared" si="30"/>
        <v>0.50006407724839264</v>
      </c>
      <c r="I19" s="1">
        <f t="shared" si="30"/>
        <v>0.52853814406210664</v>
      </c>
      <c r="J19" s="1">
        <f t="shared" si="30"/>
        <v>1.1135967024488262</v>
      </c>
      <c r="K19" s="1">
        <f t="shared" si="30"/>
        <v>0.5627807943037012</v>
      </c>
      <c r="L19" s="1">
        <f t="shared" si="30"/>
        <v>0.64527371465429417</v>
      </c>
      <c r="M19" s="1">
        <f t="shared" si="30"/>
        <v>0.95139510205780176</v>
      </c>
      <c r="N19" s="24">
        <f t="shared" si="30"/>
        <v>1.0846289871205348</v>
      </c>
      <c r="P19" s="1"/>
      <c r="Q19" s="1">
        <f t="shared" ref="Q19:X19" si="31">+Q18/Q20</f>
        <v>0.52979396901205278</v>
      </c>
      <c r="R19" s="1">
        <f t="shared" si="31"/>
        <v>0.54438639536359501</v>
      </c>
      <c r="S19" s="1">
        <f t="shared" si="31"/>
        <v>2.4182732389844315</v>
      </c>
      <c r="T19" s="24">
        <f t="shared" si="31"/>
        <v>3.2362436018809437</v>
      </c>
      <c r="U19" s="1">
        <f t="shared" si="31"/>
        <v>4.4033520148873304</v>
      </c>
      <c r="V19" s="1">
        <f t="shared" si="31"/>
        <v>5.4422060465476161</v>
      </c>
      <c r="W19" s="1">
        <f t="shared" si="31"/>
        <v>6.9054849869843133</v>
      </c>
      <c r="X19" s="1">
        <f t="shared" si="31"/>
        <v>8.3324251743766204</v>
      </c>
    </row>
    <row r="20" spans="2:132" x14ac:dyDescent="0.2">
      <c r="B20" t="s">
        <v>1</v>
      </c>
      <c r="C20" s="2">
        <v>379.69200000000001</v>
      </c>
      <c r="D20" s="2">
        <v>382.35120999999998</v>
      </c>
      <c r="E20" s="2">
        <v>377.44400200000001</v>
      </c>
      <c r="F20" s="2">
        <f>+R20</f>
        <v>378.22399999999999</v>
      </c>
      <c r="G20" s="2">
        <v>381.68351100000001</v>
      </c>
      <c r="H20" s="2">
        <v>382.351</v>
      </c>
      <c r="I20" s="2">
        <v>388.24066399999998</v>
      </c>
      <c r="J20" s="11">
        <f>+S20</f>
        <v>386.226</v>
      </c>
      <c r="K20" s="2">
        <v>379.13518399999998</v>
      </c>
      <c r="L20" s="2">
        <v>384.488</v>
      </c>
      <c r="M20" s="11">
        <f>+L20</f>
        <v>384.488</v>
      </c>
      <c r="N20" s="22">
        <f>+M20</f>
        <v>384.488</v>
      </c>
      <c r="P20" s="2"/>
      <c r="Q20" s="2">
        <v>360.14</v>
      </c>
      <c r="R20" s="2">
        <v>378.22399999999999</v>
      </c>
      <c r="S20" s="2">
        <v>386.226</v>
      </c>
      <c r="T20" s="23">
        <f>+N20</f>
        <v>384.488</v>
      </c>
      <c r="U20" s="2">
        <f>+T20</f>
        <v>384.488</v>
      </c>
      <c r="V20" s="2">
        <f>+U20</f>
        <v>384.488</v>
      </c>
      <c r="W20" s="2">
        <f>+V20</f>
        <v>384.488</v>
      </c>
      <c r="X20" s="2">
        <f>+W20</f>
        <v>384.488</v>
      </c>
    </row>
    <row r="21" spans="2:132" x14ac:dyDescent="0.2">
      <c r="C21" s="2"/>
      <c r="D21" s="2"/>
      <c r="E21" s="2"/>
      <c r="F21" s="2"/>
      <c r="G21" s="2"/>
      <c r="H21" s="2"/>
      <c r="I21" s="2"/>
      <c r="J21" s="11"/>
      <c r="K21" s="2"/>
      <c r="L21" s="2"/>
      <c r="M21" s="11"/>
      <c r="N21" s="22"/>
      <c r="P21" s="2"/>
      <c r="Q21" s="2"/>
      <c r="R21" s="2"/>
      <c r="S21" s="2"/>
      <c r="T21" s="23"/>
      <c r="U21" s="2"/>
      <c r="V21" s="2"/>
      <c r="W21" s="2"/>
      <c r="X21" s="2"/>
    </row>
    <row r="22" spans="2:132" s="16" customFormat="1" x14ac:dyDescent="0.2">
      <c r="B22" s="16" t="s">
        <v>43</v>
      </c>
      <c r="G22" s="14">
        <f>+G4/C4-1</f>
        <v>0.39686837767836125</v>
      </c>
      <c r="H22" s="14">
        <f>+H4/D4-1</f>
        <v>0.28947867298578212</v>
      </c>
      <c r="I22" s="14">
        <f>+I4/E4-1</f>
        <v>0.21657565615642049</v>
      </c>
      <c r="J22" s="14">
        <f>+J4/F4-1</f>
        <v>0.14079505982246254</v>
      </c>
      <c r="K22" s="14">
        <f>+K4/G4-1</f>
        <v>7.0627897176569698E-2</v>
      </c>
      <c r="L22" s="14">
        <f>+L4/H4-1</f>
        <v>0.14319317847691848</v>
      </c>
      <c r="M22" s="14">
        <f>+M4/I4-1</f>
        <v>0.19720553102150151</v>
      </c>
      <c r="N22" s="25">
        <f>+N4/J4-1</f>
        <v>0.14999999999999991</v>
      </c>
      <c r="T22" s="30"/>
    </row>
    <row r="23" spans="2:132" x14ac:dyDescent="0.2">
      <c r="B23" t="s">
        <v>44</v>
      </c>
      <c r="G23" s="14">
        <f>+G5/C5-1</f>
        <v>8.9902280130293333E-2</v>
      </c>
      <c r="H23" s="14">
        <f>+H5/D5-1</f>
        <v>8.5075493612079001E-2</v>
      </c>
      <c r="I23" s="14">
        <f>+I5/E5-1</f>
        <v>4.5125831645935754E-2</v>
      </c>
      <c r="J23" s="14">
        <f>+J5/F5-1</f>
        <v>7.9086605402394428E-2</v>
      </c>
      <c r="K23" s="14">
        <f>+K5/G5-1</f>
        <v>0.10221159593544527</v>
      </c>
      <c r="L23" s="14">
        <f>+L5/H5-1</f>
        <v>6.3955044153064078E-2</v>
      </c>
      <c r="M23" s="14">
        <f>+M5/I5-1</f>
        <v>0.16191530584002223</v>
      </c>
      <c r="N23" s="25">
        <f>+N5/J5-1</f>
        <v>0.14999999999999991</v>
      </c>
      <c r="T23" s="28"/>
    </row>
    <row r="24" spans="2:132" x14ac:dyDescent="0.2">
      <c r="G24" s="14"/>
      <c r="H24" s="14"/>
      <c r="I24" s="14"/>
      <c r="J24" s="14"/>
      <c r="K24" s="14"/>
      <c r="L24" s="14"/>
      <c r="M24" s="14"/>
      <c r="N24" s="20"/>
      <c r="T24" s="28"/>
    </row>
    <row r="25" spans="2:132" x14ac:dyDescent="0.2">
      <c r="B25" t="s">
        <v>10</v>
      </c>
      <c r="G25" s="13">
        <f t="shared" ref="G25" si="32">+G6/C6-1</f>
        <v>0.31537530266343805</v>
      </c>
      <c r="H25" s="13">
        <f t="shared" ref="H25:N25" si="33">+H6/D6-1</f>
        <v>0.23917393168500789</v>
      </c>
      <c r="I25" s="13">
        <f t="shared" si="33"/>
        <v>0.17655796367564625</v>
      </c>
      <c r="J25" s="13">
        <f t="shared" si="33"/>
        <v>0.12740239332769265</v>
      </c>
      <c r="K25" s="13">
        <f t="shared" si="33"/>
        <v>7.7575438827164556E-2</v>
      </c>
      <c r="L25" s="13">
        <f t="shared" si="33"/>
        <v>0.12611729427368656</v>
      </c>
      <c r="M25" s="13">
        <f t="shared" si="33"/>
        <v>0.18988867209916216</v>
      </c>
      <c r="N25" s="26">
        <f t="shared" si="33"/>
        <v>0.14999999999999991</v>
      </c>
      <c r="R25" s="3">
        <f t="shared" ref="R25:X25" si="34">+R6/Q6-1</f>
        <v>0.1387327184330045</v>
      </c>
      <c r="S25" s="3">
        <f t="shared" si="34"/>
        <v>0.20586840024598096</v>
      </c>
      <c r="T25" s="31">
        <f t="shared" si="34"/>
        <v>0.13804202121459364</v>
      </c>
      <c r="U25" s="3">
        <f t="shared" si="34"/>
        <v>0.14999999999999991</v>
      </c>
      <c r="V25" s="3">
        <f t="shared" si="34"/>
        <v>0.14999999999999991</v>
      </c>
      <c r="W25" s="3">
        <f t="shared" si="34"/>
        <v>0.14999999999999991</v>
      </c>
      <c r="X25" s="3">
        <f t="shared" si="34"/>
        <v>0.14999999999999991</v>
      </c>
    </row>
    <row r="26" spans="2:132" s="8" customFormat="1" x14ac:dyDescent="0.2">
      <c r="B26" s="8" t="s">
        <v>19</v>
      </c>
      <c r="C26" s="10">
        <f>+C12/C6</f>
        <v>0.26253891387063311</v>
      </c>
      <c r="D26" s="10">
        <f>+D12/D6</f>
        <v>0.26547091610690293</v>
      </c>
      <c r="E26" s="10">
        <f>+E12/E6</f>
        <v>0.28985213692525835</v>
      </c>
      <c r="F26" s="10">
        <f>+F12/F6</f>
        <v>0.30925903541641486</v>
      </c>
      <c r="G26" s="10">
        <f>+G12/G6</f>
        <v>0.32575110117677997</v>
      </c>
      <c r="H26" s="10">
        <f>+H12/H6</f>
        <v>0.34254079926186504</v>
      </c>
      <c r="I26" s="10">
        <f>+I12/I6</f>
        <v>0.36015149776196487</v>
      </c>
      <c r="J26" s="10">
        <f>+J12/J6</f>
        <v>0.36635574139594729</v>
      </c>
      <c r="K26" s="10">
        <f>+K12/K6</f>
        <v>0.34555548776767731</v>
      </c>
      <c r="L26" s="10">
        <f>+L12/L6</f>
        <v>0.37955755837771415</v>
      </c>
      <c r="M26" s="10">
        <f t="shared" ref="M26:N26" si="35">+M12/M6</f>
        <v>0.36479382686279244</v>
      </c>
      <c r="N26" s="27">
        <f t="shared" si="35"/>
        <v>0.38</v>
      </c>
      <c r="P26" s="10"/>
      <c r="Q26" s="10">
        <f>+Q12/Q6</f>
        <v>0.3046557691922932</v>
      </c>
      <c r="R26" s="10">
        <f>+R12/R6</f>
        <v>0.28394974962663627</v>
      </c>
      <c r="S26" s="10">
        <f>+S12/S6</f>
        <v>0.34976395850332215</v>
      </c>
      <c r="T26" s="27">
        <f>+T12/T6</f>
        <v>0.36862419196452006</v>
      </c>
      <c r="U26" s="10">
        <v>0.38</v>
      </c>
      <c r="V26" s="10">
        <v>0.38</v>
      </c>
      <c r="W26" s="10">
        <v>0.39</v>
      </c>
      <c r="X26" s="10">
        <v>0.39</v>
      </c>
      <c r="Z26" s="17" t="s">
        <v>45</v>
      </c>
      <c r="AA26" s="18">
        <v>0.01</v>
      </c>
    </row>
    <row r="27" spans="2:132" x14ac:dyDescent="0.2">
      <c r="N27" s="20"/>
      <c r="T27" s="28"/>
      <c r="Z27" t="s">
        <v>37</v>
      </c>
      <c r="AA27" s="3">
        <v>0.08</v>
      </c>
    </row>
    <row r="28" spans="2:132" x14ac:dyDescent="0.2">
      <c r="N28" s="20"/>
      <c r="T28" s="28"/>
      <c r="Z28" s="8" t="s">
        <v>46</v>
      </c>
      <c r="AA28" s="15">
        <f>+NPV(AA27,T18:EB18)</f>
        <v>39834.025969857612</v>
      </c>
    </row>
    <row r="29" spans="2:132" x14ac:dyDescent="0.2">
      <c r="M29" s="14">
        <f>+M18/M6</f>
        <v>0.17641668676151437</v>
      </c>
      <c r="N29" s="20"/>
      <c r="T29" s="23"/>
      <c r="U29" s="2"/>
      <c r="V29" s="2"/>
      <c r="W29" s="2"/>
      <c r="X29" s="2"/>
      <c r="Z29" s="17" t="s">
        <v>40</v>
      </c>
      <c r="AA29" s="19">
        <f>+AA28/Main!I3</f>
        <v>106.12897995100245</v>
      </c>
    </row>
    <row r="30" spans="2:132" x14ac:dyDescent="0.2">
      <c r="N30" s="20"/>
      <c r="T30" s="28"/>
      <c r="Z30" t="s">
        <v>41</v>
      </c>
      <c r="AA30">
        <v>105</v>
      </c>
    </row>
    <row r="31" spans="2:132" x14ac:dyDescent="0.2">
      <c r="Z31" t="s">
        <v>42</v>
      </c>
      <c r="AA31" s="16">
        <f>+AA29/AA30-1</f>
        <v>1.075219000954708E-2</v>
      </c>
    </row>
    <row r="34" spans="20:26" x14ac:dyDescent="0.2">
      <c r="T34" s="2"/>
      <c r="U34" s="2"/>
      <c r="V34" s="2"/>
      <c r="W34" s="2"/>
      <c r="X34" s="2"/>
      <c r="Y34" s="2"/>
    </row>
    <row r="35" spans="20:26" x14ac:dyDescent="0.2">
      <c r="Z35" s="2"/>
    </row>
    <row r="36" spans="20:26" x14ac:dyDescent="0.2">
      <c r="Z36" s="16"/>
    </row>
  </sheetData>
  <hyperlinks>
    <hyperlink ref="A1" location="Main!A1" display="Main" xr:uid="{39161676-D17F-4680-AF4F-ECE5E3181106}"/>
  </hyperlinks>
  <pageMargins left="0.7" right="0.7" top="0.75" bottom="0.75" header="0.3" footer="0.3"/>
  <ignoredErrors>
    <ignoredError sqref="T14 T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Geli Braholli</cp:lastModifiedBy>
  <dcterms:created xsi:type="dcterms:W3CDTF">2024-08-03T20:42:13Z</dcterms:created>
  <dcterms:modified xsi:type="dcterms:W3CDTF">2025-01-28T16:53:58Z</dcterms:modified>
</cp:coreProperties>
</file>