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8_{94184B72-E4AB-4D89-89F0-40C321416344}" xr6:coauthVersionLast="47" xr6:coauthVersionMax="47" xr10:uidLastSave="{00000000-0000-0000-0000-000000000000}"/>
  <bookViews>
    <workbookView xWindow="-120" yWindow="-120" windowWidth="29040" windowHeight="15840" activeTab="1" xr2:uid="{0BC5E681-417C-402D-88CE-38D8A1492F3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P26" i="2"/>
  <c r="Q26" i="2" s="1"/>
  <c r="R26" i="2" s="1"/>
  <c r="S26" i="2" s="1"/>
  <c r="T26" i="2" s="1"/>
  <c r="U26" i="2" s="1"/>
  <c r="V26" i="2" s="1"/>
  <c r="W26" i="2" s="1"/>
  <c r="X26" i="2" s="1"/>
  <c r="Y26" i="2" s="1"/>
  <c r="O26" i="2"/>
  <c r="O18" i="2"/>
  <c r="P18" i="2"/>
  <c r="Q18" i="2"/>
  <c r="R18" i="2"/>
  <c r="S18" i="2"/>
  <c r="T18" i="2"/>
  <c r="U18" i="2"/>
  <c r="V18" i="2"/>
  <c r="W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16" i="2"/>
  <c r="P16" i="2"/>
  <c r="Q16" i="2"/>
  <c r="R16" i="2"/>
  <c r="S16" i="2"/>
  <c r="T16" i="2"/>
  <c r="U16" i="2"/>
  <c r="V16" i="2"/>
  <c r="P15" i="2"/>
  <c r="Q15" i="2"/>
  <c r="R15" i="2"/>
  <c r="S15" i="2"/>
  <c r="T15" i="2"/>
  <c r="U15" i="2"/>
  <c r="V15" i="2"/>
  <c r="O15" i="2"/>
  <c r="O14" i="2"/>
  <c r="P14" i="2"/>
  <c r="Q14" i="2"/>
  <c r="R14" i="2"/>
  <c r="S14" i="2"/>
  <c r="T14" i="2"/>
  <c r="U14" i="2"/>
  <c r="V14" i="2"/>
  <c r="P13" i="2"/>
  <c r="Q13" i="2" s="1"/>
  <c r="R13" i="2" s="1"/>
  <c r="S13" i="2" s="1"/>
  <c r="T13" i="2" s="1"/>
  <c r="U13" i="2" s="1"/>
  <c r="V13" i="2" s="1"/>
  <c r="W13" i="2" s="1"/>
  <c r="X13" i="2" s="1"/>
  <c r="Y13" i="2" s="1"/>
  <c r="O13" i="2"/>
  <c r="P12" i="2"/>
  <c r="Q12" i="2" s="1"/>
  <c r="R12" i="2" s="1"/>
  <c r="S12" i="2" s="1"/>
  <c r="T12" i="2" s="1"/>
  <c r="U12" i="2" s="1"/>
  <c r="V12" i="2" s="1"/>
  <c r="W12" i="2" s="1"/>
  <c r="X12" i="2" s="1"/>
  <c r="Y12" i="2" s="1"/>
  <c r="O12" i="2"/>
  <c r="O10" i="2"/>
  <c r="P10" i="2"/>
  <c r="Q10" i="2"/>
  <c r="R10" i="2"/>
  <c r="R11" i="2" s="1"/>
  <c r="S10" i="2"/>
  <c r="S11" i="2" s="1"/>
  <c r="T10" i="2"/>
  <c r="U10" i="2"/>
  <c r="U11" i="2" s="1"/>
  <c r="V10" i="2"/>
  <c r="V11" i="2" s="1"/>
  <c r="W10" i="2"/>
  <c r="O11" i="2"/>
  <c r="P11" i="2"/>
  <c r="Q11" i="2"/>
  <c r="T11" i="2"/>
  <c r="P9" i="2"/>
  <c r="Q9" i="2"/>
  <c r="R9" i="2"/>
  <c r="S9" i="2"/>
  <c r="T9" i="2"/>
  <c r="U9" i="2"/>
  <c r="V9" i="2"/>
  <c r="W9" i="2"/>
  <c r="O9" i="2"/>
  <c r="O8" i="2"/>
  <c r="P8" i="2"/>
  <c r="Q8" i="2"/>
  <c r="R8" i="2"/>
  <c r="S8" i="2"/>
  <c r="T8" i="2"/>
  <c r="U8" i="2"/>
  <c r="V8" i="2"/>
  <c r="P7" i="2"/>
  <c r="Q7" i="2"/>
  <c r="R7" i="2"/>
  <c r="S7" i="2"/>
  <c r="T7" i="2"/>
  <c r="U7" i="2"/>
  <c r="V7" i="2"/>
  <c r="W7" i="2"/>
  <c r="W8" i="2" s="1"/>
  <c r="W19" i="2" s="1"/>
  <c r="O7" i="2"/>
  <c r="N21" i="2"/>
  <c r="M21" i="2"/>
  <c r="L21" i="2"/>
  <c r="G21" i="2"/>
  <c r="F21" i="2"/>
  <c r="E21" i="2"/>
  <c r="D21" i="2"/>
  <c r="C21" i="2"/>
  <c r="N20" i="2"/>
  <c r="M20" i="2"/>
  <c r="L20" i="2"/>
  <c r="G20" i="2"/>
  <c r="F20" i="2"/>
  <c r="E20" i="2"/>
  <c r="D20" i="2"/>
  <c r="C20" i="2"/>
  <c r="O5" i="2"/>
  <c r="P5" i="2" s="1"/>
  <c r="Q5" i="2" s="1"/>
  <c r="R5" i="2" s="1"/>
  <c r="S5" i="2" s="1"/>
  <c r="T5" i="2" s="1"/>
  <c r="U5" i="2" s="1"/>
  <c r="V5" i="2" s="1"/>
  <c r="W5" i="2" s="1"/>
  <c r="X5" i="2" s="1"/>
  <c r="Y5" i="2" s="1"/>
  <c r="O6" i="2"/>
  <c r="P6" i="2" s="1"/>
  <c r="Q6" i="2" s="1"/>
  <c r="R6" i="2" s="1"/>
  <c r="S6" i="2" s="1"/>
  <c r="T6" i="2" s="1"/>
  <c r="U6" i="2" s="1"/>
  <c r="V6" i="2" s="1"/>
  <c r="W6" i="2" s="1"/>
  <c r="X6" i="2" s="1"/>
  <c r="Y6" i="2" s="1"/>
  <c r="Y7" i="2" s="1"/>
  <c r="E19" i="2"/>
  <c r="F15" i="2"/>
  <c r="F13" i="2"/>
  <c r="F9" i="2"/>
  <c r="F10" i="2" s="1"/>
  <c r="F7" i="2"/>
  <c r="F6" i="2"/>
  <c r="F8" i="2" s="1"/>
  <c r="F19" i="2" s="1"/>
  <c r="D12" i="2"/>
  <c r="F12" i="2" s="1"/>
  <c r="D10" i="2"/>
  <c r="D8" i="2"/>
  <c r="D19" i="2" s="1"/>
  <c r="E12" i="2"/>
  <c r="E10" i="2"/>
  <c r="E8" i="2"/>
  <c r="M18" i="2"/>
  <c r="N18" i="2"/>
  <c r="N29" i="2"/>
  <c r="M29" i="2"/>
  <c r="L29" i="2"/>
  <c r="N26" i="2"/>
  <c r="M26" i="2"/>
  <c r="L26" i="2"/>
  <c r="L12" i="2"/>
  <c r="L10" i="2"/>
  <c r="L8" i="2"/>
  <c r="L19" i="2" s="1"/>
  <c r="M12" i="2"/>
  <c r="M9" i="2"/>
  <c r="M10" i="2"/>
  <c r="M8" i="2"/>
  <c r="M19" i="2" s="1"/>
  <c r="N12" i="2"/>
  <c r="N10" i="2"/>
  <c r="N8" i="2"/>
  <c r="N11" i="2" s="1"/>
  <c r="N14" i="2" s="1"/>
  <c r="N16" i="2" s="1"/>
  <c r="C29" i="2"/>
  <c r="G29" i="2"/>
  <c r="C26" i="2"/>
  <c r="G26" i="2"/>
  <c r="G18" i="2"/>
  <c r="C12" i="2"/>
  <c r="C10" i="2"/>
  <c r="C8" i="2"/>
  <c r="C19" i="2" s="1"/>
  <c r="G12" i="2"/>
  <c r="G10" i="2"/>
  <c r="G8" i="2"/>
  <c r="G11" i="2" s="1"/>
  <c r="G14" i="2" s="1"/>
  <c r="G16" i="2" s="1"/>
  <c r="G40" i="2"/>
  <c r="G45" i="2" s="1"/>
  <c r="G36" i="2"/>
  <c r="G38" i="2" s="1"/>
  <c r="E10" i="1"/>
  <c r="E7" i="1"/>
  <c r="W11" i="2" l="1"/>
  <c r="W14" i="2" s="1"/>
  <c r="Y18" i="2"/>
  <c r="Y8" i="2"/>
  <c r="Y19" i="2" s="1"/>
  <c r="Y9" i="2"/>
  <c r="Y10" i="2" s="1"/>
  <c r="Y11" i="2" s="1"/>
  <c r="Y14" i="2" s="1"/>
  <c r="X18" i="2"/>
  <c r="X9" i="2"/>
  <c r="X10" i="2" s="1"/>
  <c r="X7" i="2"/>
  <c r="X8" i="2" s="1"/>
  <c r="X19" i="2" s="1"/>
  <c r="N19" i="2"/>
  <c r="F11" i="2"/>
  <c r="F14" i="2" s="1"/>
  <c r="F16" i="2" s="1"/>
  <c r="D11" i="2"/>
  <c r="D14" i="2" s="1"/>
  <c r="D16" i="2" s="1"/>
  <c r="E11" i="2"/>
  <c r="E14" i="2" s="1"/>
  <c r="E16" i="2" s="1"/>
  <c r="L11" i="2"/>
  <c r="L14" i="2" s="1"/>
  <c r="L16" i="2" s="1"/>
  <c r="M11" i="2"/>
  <c r="M14" i="2" s="1"/>
  <c r="M16" i="2" s="1"/>
  <c r="G19" i="2"/>
  <c r="C11" i="2"/>
  <c r="C14" i="2" s="1"/>
  <c r="C16" i="2" s="1"/>
  <c r="G47" i="2"/>
  <c r="G50" i="2"/>
  <c r="Y15" i="2" l="1"/>
  <c r="Y20" i="2" s="1"/>
  <c r="X11" i="2"/>
  <c r="X14" i="2" s="1"/>
  <c r="W15" i="2"/>
  <c r="W20" i="2" s="1"/>
  <c r="W16" i="2" l="1"/>
  <c r="X15" i="2"/>
  <c r="X20" i="2" s="1"/>
  <c r="Y16" i="2"/>
  <c r="X16" i="2" l="1"/>
  <c r="X21" i="2" s="1"/>
  <c r="Y21" i="2"/>
  <c r="Z16" i="2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W21" i="2"/>
  <c r="R30" i="2" l="1"/>
</calcChain>
</file>

<file path=xl/sharedStrings.xml><?xml version="1.0" encoding="utf-8"?>
<sst xmlns="http://schemas.openxmlformats.org/spreadsheetml/2006/main" count="54" uniqueCount="50">
  <si>
    <t>Price</t>
  </si>
  <si>
    <t>Shares</t>
  </si>
  <si>
    <t>MC</t>
  </si>
  <si>
    <t>Cash</t>
  </si>
  <si>
    <t xml:space="preserve">Debt </t>
  </si>
  <si>
    <t xml:space="preserve">EV </t>
  </si>
  <si>
    <t>Main</t>
  </si>
  <si>
    <t xml:space="preserve">AR </t>
  </si>
  <si>
    <t xml:space="preserve">Inventories </t>
  </si>
  <si>
    <t>OCA</t>
  </si>
  <si>
    <t xml:space="preserve">PPE </t>
  </si>
  <si>
    <t>Goodwill</t>
  </si>
  <si>
    <t xml:space="preserve">Other </t>
  </si>
  <si>
    <t xml:space="preserve">ASSETS </t>
  </si>
  <si>
    <t xml:space="preserve">Liabilities </t>
  </si>
  <si>
    <t xml:space="preserve">AP </t>
  </si>
  <si>
    <t xml:space="preserve">OCL </t>
  </si>
  <si>
    <t xml:space="preserve">Tax </t>
  </si>
  <si>
    <t>Other</t>
  </si>
  <si>
    <t xml:space="preserve">SE </t>
  </si>
  <si>
    <t xml:space="preserve">L + SE </t>
  </si>
  <si>
    <t xml:space="preserve">Liquidation value </t>
  </si>
  <si>
    <t xml:space="preserve">Revenue </t>
  </si>
  <si>
    <t xml:space="preserve">COGS </t>
  </si>
  <si>
    <t xml:space="preserve">Gross </t>
  </si>
  <si>
    <t xml:space="preserve">SGA </t>
  </si>
  <si>
    <t xml:space="preserve">OpEx </t>
  </si>
  <si>
    <t xml:space="preserve">OpInc </t>
  </si>
  <si>
    <t xml:space="preserve">Interest </t>
  </si>
  <si>
    <t xml:space="preserve">Pretax </t>
  </si>
  <si>
    <t xml:space="preserve">Net income </t>
  </si>
  <si>
    <t>Q324</t>
  </si>
  <si>
    <t>Q125</t>
  </si>
  <si>
    <t>Q424</t>
  </si>
  <si>
    <t>Q224</t>
  </si>
  <si>
    <t>Q124</t>
  </si>
  <si>
    <t xml:space="preserve">Revenue y/y </t>
  </si>
  <si>
    <t xml:space="preserve">Gross margin </t>
  </si>
  <si>
    <t xml:space="preserve">CFFO </t>
  </si>
  <si>
    <t xml:space="preserve">CFFI </t>
  </si>
  <si>
    <t xml:space="preserve">CapEx </t>
  </si>
  <si>
    <t>CFFF</t>
  </si>
  <si>
    <t xml:space="preserve">FX </t>
  </si>
  <si>
    <t xml:space="preserve">Change </t>
  </si>
  <si>
    <t xml:space="preserve">FCF </t>
  </si>
  <si>
    <t xml:space="preserve">Tax rate </t>
  </si>
  <si>
    <t xml:space="preserve">NI Rate </t>
  </si>
  <si>
    <t>terminal</t>
  </si>
  <si>
    <t xml:space="preserve">discount </t>
  </si>
  <si>
    <t xml:space="preserve">npv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</si>
</sst>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3" fillId="0" borderId="0" xfId="2"/>
    <xf numFmtId="9" fontId="0" fillId="0" borderId="0" xfId="1" applyFont="1"/>
    <xf numFmtId="3" fontId="0" fillId="0" borderId="0" xfId="1" applyNumberFormat="1" applyFont="1"/>
    <xf numFmtId="3" fontId="2" fillId="0" borderId="0" xfId="1" applyNumberFormat="1" applyFont="1"/>
    <xf numFmtId="14" fontId="0" fillId="0" borderId="0" xfId="0" applyNumberFormat="1"/>
    <xf numFmtId="0" fontId="2" fillId="2" borderId="0" xfId="0" applyFont="1" applyFill="1"/>
    <xf numFmtId="3" fontId="2" fillId="2" borderId="0" xfId="0" applyNumberFormat="1" applyFont="1" applyFill="1"/>
    <xf numFmtId="8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19050</xdr:colOff>
      <xdr:row>50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7070D8-E2C2-2D69-D8C0-0E681025A331}"/>
            </a:ext>
          </a:extLst>
        </xdr:cNvPr>
        <xdr:cNvCxnSpPr/>
      </xdr:nvCxnSpPr>
      <xdr:spPr>
        <a:xfrm>
          <a:off x="5705475" y="190500"/>
          <a:ext cx="19050" cy="89725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</xdr:row>
      <xdr:rowOff>28575</xdr:rowOff>
    </xdr:from>
    <xdr:to>
      <xdr:col>14</xdr:col>
      <xdr:colOff>19050</xdr:colOff>
      <xdr:row>50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84D38DE-1D36-4AD5-A4BF-E2DF2F5F6B2A}"/>
            </a:ext>
          </a:extLst>
        </xdr:cNvPr>
        <xdr:cNvCxnSpPr/>
      </xdr:nvCxnSpPr>
      <xdr:spPr>
        <a:xfrm>
          <a:off x="11058525" y="219075"/>
          <a:ext cx="0" cy="8963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0A30-677D-4298-92EA-40A90BF335D6}">
  <dimension ref="D6:E11"/>
  <sheetViews>
    <sheetView workbookViewId="0">
      <selection activeCell="E12" sqref="E12"/>
    </sheetView>
  </sheetViews>
  <sheetFormatPr defaultRowHeight="15" x14ac:dyDescent="0.2"/>
  <sheetData>
    <row r="6" spans="4:5" x14ac:dyDescent="0.2">
      <c r="D6" t="s">
        <v>0</v>
      </c>
      <c r="E6">
        <v>58</v>
      </c>
    </row>
    <row r="7" spans="4:5" x14ac:dyDescent="0.2">
      <c r="D7" t="s">
        <v>1</v>
      </c>
      <c r="E7" s="1">
        <f>286.185368+70.009005</f>
        <v>356.19437299999998</v>
      </c>
    </row>
    <row r="8" spans="4:5" x14ac:dyDescent="0.2">
      <c r="D8" t="s">
        <v>2</v>
      </c>
      <c r="E8" s="1">
        <f>+E7*E6</f>
        <v>20659.273633999997</v>
      </c>
    </row>
    <row r="9" spans="4:5" x14ac:dyDescent="0.2">
      <c r="D9" t="s">
        <v>3</v>
      </c>
      <c r="E9" s="1">
        <v>2292</v>
      </c>
    </row>
    <row r="10" spans="4:5" x14ac:dyDescent="0.2">
      <c r="D10" t="s">
        <v>4</v>
      </c>
      <c r="E10" s="1">
        <f>9711+95</f>
        <v>9806</v>
      </c>
    </row>
    <row r="11" spans="4:5" x14ac:dyDescent="0.2">
      <c r="D11" t="s">
        <v>5</v>
      </c>
      <c r="E11" s="1">
        <f>+E8-E9+E10</f>
        <v>28173.273633999997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8FC3-2381-484B-A9FC-E9683525E79F}">
  <dimension ref="A1:BR50"/>
  <sheetViews>
    <sheetView tabSelected="1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K34" sqref="K34"/>
    </sheetView>
  </sheetViews>
  <sheetFormatPr defaultRowHeight="15" x14ac:dyDescent="0.2"/>
  <cols>
    <col min="1" max="1" width="4.77734375" bestFit="1" customWidth="1"/>
    <col min="2" max="2" width="17.33203125" customWidth="1"/>
    <col min="18" max="18" width="11.33203125" customWidth="1"/>
  </cols>
  <sheetData>
    <row r="1" spans="1:70" x14ac:dyDescent="0.2">
      <c r="A1" s="2" t="s">
        <v>6</v>
      </c>
    </row>
    <row r="4" spans="1:70" x14ac:dyDescent="0.2">
      <c r="F4" s="6">
        <v>45563</v>
      </c>
      <c r="L4" s="6">
        <v>44832</v>
      </c>
      <c r="M4" s="6">
        <v>45197</v>
      </c>
      <c r="N4" s="6">
        <v>45563</v>
      </c>
    </row>
    <row r="5" spans="1:70" x14ac:dyDescent="0.2">
      <c r="C5" t="s">
        <v>35</v>
      </c>
      <c r="D5" t="s">
        <v>34</v>
      </c>
      <c r="E5" t="s">
        <v>31</v>
      </c>
      <c r="F5" t="s">
        <v>33</v>
      </c>
      <c r="G5" t="s">
        <v>32</v>
      </c>
      <c r="L5">
        <v>2022</v>
      </c>
      <c r="M5">
        <v>2023</v>
      </c>
      <c r="N5">
        <v>2024</v>
      </c>
      <c r="O5">
        <f>+N5+1</f>
        <v>2025</v>
      </c>
      <c r="P5">
        <f>+O5+1</f>
        <v>2026</v>
      </c>
      <c r="Q5">
        <f>+P5+1</f>
        <v>2027</v>
      </c>
      <c r="R5">
        <f>+Q5+1</f>
        <v>2028</v>
      </c>
      <c r="S5">
        <f>+R5+1</f>
        <v>2029</v>
      </c>
      <c r="T5">
        <f>+S5+1</f>
        <v>2030</v>
      </c>
      <c r="U5">
        <f>+T5+1</f>
        <v>2031</v>
      </c>
      <c r="V5">
        <f>+U5+1</f>
        <v>2032</v>
      </c>
      <c r="W5">
        <f>+V5+1</f>
        <v>2033</v>
      </c>
      <c r="X5">
        <f>+W5+1</f>
        <v>2034</v>
      </c>
      <c r="Y5">
        <f>+X5+1</f>
        <v>2035</v>
      </c>
    </row>
    <row r="6" spans="1:70" s="1" customFormat="1" x14ac:dyDescent="0.2">
      <c r="B6" s="1" t="s">
        <v>22</v>
      </c>
      <c r="C6" s="1">
        <v>13319</v>
      </c>
      <c r="D6" s="1">
        <v>13072</v>
      </c>
      <c r="E6" s="1">
        <v>13353</v>
      </c>
      <c r="F6" s="1">
        <f>+N6-E6-D6-C6</f>
        <v>13565</v>
      </c>
      <c r="G6" s="1">
        <v>13623</v>
      </c>
      <c r="L6" s="1">
        <v>53282</v>
      </c>
      <c r="M6" s="1">
        <v>52881</v>
      </c>
      <c r="N6" s="1">
        <v>53309</v>
      </c>
      <c r="O6" s="1">
        <f>+N6*0.98</f>
        <v>52242.82</v>
      </c>
      <c r="P6" s="1">
        <f>+O6*0.98</f>
        <v>51197.963599999995</v>
      </c>
      <c r="Q6" s="1">
        <f>+P6*0.98</f>
        <v>50174.004327999995</v>
      </c>
      <c r="R6" s="1">
        <f>+Q6*0.98</f>
        <v>49170.524241439998</v>
      </c>
      <c r="S6" s="1">
        <f>+R6*0.98</f>
        <v>48187.113756611194</v>
      </c>
      <c r="T6" s="1">
        <f>+S6*0.98</f>
        <v>47223.371481478971</v>
      </c>
      <c r="U6" s="1">
        <f>+T6*0.98</f>
        <v>46278.904051849393</v>
      </c>
      <c r="V6" s="1">
        <f>+U6*0.98</f>
        <v>45353.325970812402</v>
      </c>
      <c r="W6" s="1">
        <f>+V6*0.98</f>
        <v>44446.259451396152</v>
      </c>
      <c r="X6" s="1">
        <f>+W6*0.98</f>
        <v>43557.334262368226</v>
      </c>
      <c r="Y6" s="1">
        <f>+X6*0.98</f>
        <v>42686.187577120858</v>
      </c>
    </row>
    <row r="7" spans="1:70" s="1" customFormat="1" x14ac:dyDescent="0.2">
      <c r="B7" s="1" t="s">
        <v>23</v>
      </c>
      <c r="C7" s="1">
        <v>12496</v>
      </c>
      <c r="D7" s="1">
        <v>12206</v>
      </c>
      <c r="E7" s="1">
        <v>12475</v>
      </c>
      <c r="F7" s="1">
        <f>+N7-E7-D7-C7</f>
        <v>12505</v>
      </c>
      <c r="G7" s="1">
        <v>12528</v>
      </c>
      <c r="L7" s="1">
        <v>46614</v>
      </c>
      <c r="M7" s="1">
        <v>50250</v>
      </c>
      <c r="N7" s="1">
        <v>49682</v>
      </c>
      <c r="O7" s="1">
        <f>+O6*0.9</f>
        <v>47018.538</v>
      </c>
      <c r="P7" s="1">
        <f t="shared" ref="P7:Y7" si="0">+P6*0.9</f>
        <v>46078.167239999995</v>
      </c>
      <c r="Q7" s="1">
        <f t="shared" si="0"/>
        <v>45156.603895199994</v>
      </c>
      <c r="R7" s="1">
        <f t="shared" si="0"/>
        <v>44253.471817295998</v>
      </c>
      <c r="S7" s="1">
        <f t="shared" si="0"/>
        <v>43368.402380950072</v>
      </c>
      <c r="T7" s="1">
        <f t="shared" si="0"/>
        <v>42501.034333331074</v>
      </c>
      <c r="U7" s="1">
        <f t="shared" si="0"/>
        <v>41651.013646664454</v>
      </c>
      <c r="V7" s="1">
        <f t="shared" si="0"/>
        <v>40817.993373731166</v>
      </c>
      <c r="W7" s="1">
        <f t="shared" si="0"/>
        <v>40001.633506256541</v>
      </c>
      <c r="X7" s="1">
        <f t="shared" si="0"/>
        <v>39201.600836131402</v>
      </c>
      <c r="Y7" s="1">
        <f t="shared" si="0"/>
        <v>38417.568819408771</v>
      </c>
    </row>
    <row r="8" spans="1:70" s="1" customFormat="1" x14ac:dyDescent="0.2">
      <c r="B8" s="1" t="s">
        <v>24</v>
      </c>
      <c r="C8" s="1">
        <f>+C6-C7</f>
        <v>823</v>
      </c>
      <c r="D8" s="1">
        <f>+D6-D7</f>
        <v>866</v>
      </c>
      <c r="E8" s="1">
        <f>+E6-E7</f>
        <v>878</v>
      </c>
      <c r="F8" s="1">
        <f>+F6-F7</f>
        <v>1060</v>
      </c>
      <c r="G8" s="1">
        <f>+G6-G7</f>
        <v>1095</v>
      </c>
      <c r="L8" s="1">
        <f>+L6-L7</f>
        <v>6668</v>
      </c>
      <c r="M8" s="1">
        <f>+M6-M7</f>
        <v>2631</v>
      </c>
      <c r="N8" s="1">
        <f>+N6-N7</f>
        <v>3627</v>
      </c>
      <c r="O8" s="1">
        <f t="shared" ref="O8:Y8" si="1">+O6-O7</f>
        <v>5224.2819999999992</v>
      </c>
      <c r="P8" s="1">
        <f t="shared" si="1"/>
        <v>5119.7963600000003</v>
      </c>
      <c r="Q8" s="1">
        <f t="shared" si="1"/>
        <v>5017.400432800001</v>
      </c>
      <c r="R8" s="1">
        <f t="shared" si="1"/>
        <v>4917.0524241439998</v>
      </c>
      <c r="S8" s="1">
        <f t="shared" si="1"/>
        <v>4818.7113756611216</v>
      </c>
      <c r="T8" s="1">
        <f t="shared" si="1"/>
        <v>4722.3371481478971</v>
      </c>
      <c r="U8" s="1">
        <f t="shared" si="1"/>
        <v>4627.8904051849386</v>
      </c>
      <c r="V8" s="1">
        <f t="shared" si="1"/>
        <v>4535.3325970812366</v>
      </c>
      <c r="W8" s="1">
        <f t="shared" si="1"/>
        <v>4444.6259451396108</v>
      </c>
      <c r="X8" s="1">
        <f t="shared" si="1"/>
        <v>4355.733426236824</v>
      </c>
      <c r="Y8" s="1">
        <f t="shared" si="1"/>
        <v>4268.6187577120872</v>
      </c>
    </row>
    <row r="9" spans="1:70" s="1" customFormat="1" x14ac:dyDescent="0.2">
      <c r="B9" s="1" t="s">
        <v>25</v>
      </c>
      <c r="C9" s="1">
        <v>592</v>
      </c>
      <c r="D9" s="1">
        <v>554</v>
      </c>
      <c r="E9" s="1">
        <v>537</v>
      </c>
      <c r="F9" s="1">
        <f>+N9-E9-D9-C9</f>
        <v>535</v>
      </c>
      <c r="G9" s="1">
        <v>515</v>
      </c>
      <c r="L9" s="1">
        <v>2258</v>
      </c>
      <c r="M9" s="1">
        <f>2245+781</f>
        <v>3026</v>
      </c>
      <c r="N9" s="1">
        <v>2218</v>
      </c>
      <c r="O9" s="1">
        <f>+O6*0.04</f>
        <v>2089.7128000000002</v>
      </c>
      <c r="P9" s="1">
        <f t="shared" ref="P9:Y9" si="2">+P6*0.04</f>
        <v>2047.9185439999999</v>
      </c>
      <c r="Q9" s="1">
        <f t="shared" si="2"/>
        <v>2006.9601731199998</v>
      </c>
      <c r="R9" s="1">
        <f t="shared" si="2"/>
        <v>1966.8209696576</v>
      </c>
      <c r="S9" s="1">
        <f t="shared" si="2"/>
        <v>1927.4845502644478</v>
      </c>
      <c r="T9" s="1">
        <f t="shared" si="2"/>
        <v>1888.9348592591589</v>
      </c>
      <c r="U9" s="1">
        <f t="shared" si="2"/>
        <v>1851.1561620739758</v>
      </c>
      <c r="V9" s="1">
        <f t="shared" si="2"/>
        <v>1814.1330388324961</v>
      </c>
      <c r="W9" s="1">
        <f t="shared" si="2"/>
        <v>1777.850378055846</v>
      </c>
      <c r="X9" s="1">
        <f t="shared" si="2"/>
        <v>1742.2933704947291</v>
      </c>
      <c r="Y9" s="1">
        <f t="shared" si="2"/>
        <v>1707.4475030848344</v>
      </c>
    </row>
    <row r="10" spans="1:70" s="1" customFormat="1" x14ac:dyDescent="0.2">
      <c r="B10" s="1" t="s">
        <v>26</v>
      </c>
      <c r="C10" s="1">
        <f>+C9</f>
        <v>592</v>
      </c>
      <c r="D10" s="1">
        <f>+D9</f>
        <v>554</v>
      </c>
      <c r="E10" s="1">
        <f>+E9</f>
        <v>537</v>
      </c>
      <c r="F10" s="1">
        <f>+F9</f>
        <v>535</v>
      </c>
      <c r="G10" s="1">
        <f>+G9</f>
        <v>515</v>
      </c>
      <c r="L10" s="1">
        <f>+L9</f>
        <v>2258</v>
      </c>
      <c r="M10" s="1">
        <f>+M9</f>
        <v>3026</v>
      </c>
      <c r="N10" s="1">
        <f>+N9</f>
        <v>2218</v>
      </c>
      <c r="O10" s="1">
        <f t="shared" ref="O10:Y10" si="3">+O9</f>
        <v>2089.7128000000002</v>
      </c>
      <c r="P10" s="1">
        <f t="shared" si="3"/>
        <v>2047.9185439999999</v>
      </c>
      <c r="Q10" s="1">
        <f t="shared" si="3"/>
        <v>2006.9601731199998</v>
      </c>
      <c r="R10" s="1">
        <f t="shared" si="3"/>
        <v>1966.8209696576</v>
      </c>
      <c r="S10" s="1">
        <f t="shared" si="3"/>
        <v>1927.4845502644478</v>
      </c>
      <c r="T10" s="1">
        <f t="shared" si="3"/>
        <v>1888.9348592591589</v>
      </c>
      <c r="U10" s="1">
        <f t="shared" si="3"/>
        <v>1851.1561620739758</v>
      </c>
      <c r="V10" s="1">
        <f t="shared" si="3"/>
        <v>1814.1330388324961</v>
      </c>
      <c r="W10" s="1">
        <f t="shared" si="3"/>
        <v>1777.850378055846</v>
      </c>
      <c r="X10" s="1">
        <f t="shared" si="3"/>
        <v>1742.2933704947291</v>
      </c>
      <c r="Y10" s="1">
        <f t="shared" si="3"/>
        <v>1707.4475030848344</v>
      </c>
    </row>
    <row r="11" spans="1:70" s="1" customFormat="1" x14ac:dyDescent="0.2">
      <c r="B11" s="1" t="s">
        <v>27</v>
      </c>
      <c r="C11" s="1">
        <f>+C8-C10</f>
        <v>231</v>
      </c>
      <c r="D11" s="1">
        <f>+D8-D10</f>
        <v>312</v>
      </c>
      <c r="E11" s="1">
        <f>+E8-E10</f>
        <v>341</v>
      </c>
      <c r="F11" s="1">
        <f>+F8-F10</f>
        <v>525</v>
      </c>
      <c r="G11" s="1">
        <f>+G8-G10</f>
        <v>580</v>
      </c>
      <c r="L11" s="1">
        <f>+L8-L10</f>
        <v>4410</v>
      </c>
      <c r="M11" s="1">
        <f>+M8-M10</f>
        <v>-395</v>
      </c>
      <c r="N11" s="1">
        <f>+N8-N10</f>
        <v>1409</v>
      </c>
      <c r="O11" s="1">
        <f t="shared" ref="O11:Y11" si="4">+O8-O10</f>
        <v>3134.569199999999</v>
      </c>
      <c r="P11" s="1">
        <f t="shared" si="4"/>
        <v>3071.8778160000002</v>
      </c>
      <c r="Q11" s="1">
        <f t="shared" si="4"/>
        <v>3010.440259680001</v>
      </c>
      <c r="R11" s="1">
        <f t="shared" si="4"/>
        <v>2950.2314544863998</v>
      </c>
      <c r="S11" s="1">
        <f t="shared" si="4"/>
        <v>2891.226825396674</v>
      </c>
      <c r="T11" s="1">
        <f t="shared" si="4"/>
        <v>2833.4022888887384</v>
      </c>
      <c r="U11" s="1">
        <f t="shared" si="4"/>
        <v>2776.7342431109628</v>
      </c>
      <c r="V11" s="1">
        <f t="shared" si="4"/>
        <v>2721.1995582487407</v>
      </c>
      <c r="W11" s="1">
        <f t="shared" si="4"/>
        <v>2666.7755670837651</v>
      </c>
      <c r="X11" s="1">
        <f t="shared" si="4"/>
        <v>2613.440055742095</v>
      </c>
      <c r="Y11" s="1">
        <f t="shared" si="4"/>
        <v>2561.1712546272529</v>
      </c>
    </row>
    <row r="12" spans="1:70" s="1" customFormat="1" x14ac:dyDescent="0.2">
      <c r="B12" s="1" t="s">
        <v>28</v>
      </c>
      <c r="C12" s="1">
        <f>105-10</f>
        <v>95</v>
      </c>
      <c r="D12" s="1">
        <f>111-14</f>
        <v>97</v>
      </c>
      <c r="E12" s="1">
        <f>135-36</f>
        <v>99</v>
      </c>
      <c r="F12" s="1">
        <f>+N12-E12-D12-C12</f>
        <v>101</v>
      </c>
      <c r="G12" s="1">
        <f>120-25</f>
        <v>95</v>
      </c>
      <c r="L12" s="1">
        <f>365-17</f>
        <v>348</v>
      </c>
      <c r="M12" s="1">
        <f>355-30</f>
        <v>325</v>
      </c>
      <c r="N12" s="1">
        <f>481-89</f>
        <v>392</v>
      </c>
      <c r="O12" s="1">
        <f>+N12*1.02</f>
        <v>399.84000000000003</v>
      </c>
      <c r="P12" s="1">
        <f t="shared" ref="P12:Y12" si="5">+O12*1.02</f>
        <v>407.83680000000004</v>
      </c>
      <c r="Q12" s="1">
        <f t="shared" si="5"/>
        <v>415.99353600000006</v>
      </c>
      <c r="R12" s="1">
        <f t="shared" si="5"/>
        <v>424.31340672000005</v>
      </c>
      <c r="S12" s="1">
        <f t="shared" si="5"/>
        <v>432.79967485440005</v>
      </c>
      <c r="T12" s="1">
        <f t="shared" si="5"/>
        <v>441.45566835148804</v>
      </c>
      <c r="U12" s="1">
        <f t="shared" si="5"/>
        <v>450.28478171851782</v>
      </c>
      <c r="V12" s="1">
        <f t="shared" si="5"/>
        <v>459.29047735288816</v>
      </c>
      <c r="W12" s="1">
        <f t="shared" si="5"/>
        <v>468.47628689994593</v>
      </c>
      <c r="X12" s="1">
        <f t="shared" si="5"/>
        <v>477.84581263794485</v>
      </c>
      <c r="Y12" s="1">
        <f t="shared" si="5"/>
        <v>487.40272889070377</v>
      </c>
    </row>
    <row r="13" spans="1:70" s="1" customFormat="1" x14ac:dyDescent="0.2">
      <c r="B13" s="1" t="s">
        <v>12</v>
      </c>
      <c r="C13" s="1">
        <v>-25</v>
      </c>
      <c r="D13" s="1">
        <v>12</v>
      </c>
      <c r="E13" s="1">
        <v>-11</v>
      </c>
      <c r="F13" s="1">
        <f>+N13-E13-D13-C13</f>
        <v>-51</v>
      </c>
      <c r="G13" s="1">
        <v>7</v>
      </c>
      <c r="L13" s="1">
        <v>-87</v>
      </c>
      <c r="M13" s="1">
        <v>-42</v>
      </c>
      <c r="N13" s="1">
        <v>-75</v>
      </c>
      <c r="O13" s="1">
        <f>+N13*1.01</f>
        <v>-75.75</v>
      </c>
      <c r="P13" s="1">
        <f t="shared" ref="P13:Y13" si="6">+O13*1.01</f>
        <v>-76.507500000000007</v>
      </c>
      <c r="Q13" s="1">
        <f t="shared" si="6"/>
        <v>-77.272575000000003</v>
      </c>
      <c r="R13" s="1">
        <f t="shared" si="6"/>
        <v>-78.04530075000001</v>
      </c>
      <c r="S13" s="1">
        <f t="shared" si="6"/>
        <v>-78.82575375750001</v>
      </c>
      <c r="T13" s="1">
        <f t="shared" si="6"/>
        <v>-79.614011295075017</v>
      </c>
      <c r="U13" s="1">
        <f t="shared" si="6"/>
        <v>-80.410151408025769</v>
      </c>
      <c r="V13" s="1">
        <f t="shared" si="6"/>
        <v>-81.214252922106027</v>
      </c>
      <c r="W13" s="1">
        <f t="shared" si="6"/>
        <v>-82.02639545132709</v>
      </c>
      <c r="X13" s="1">
        <f t="shared" si="6"/>
        <v>-82.846659405840356</v>
      </c>
      <c r="Y13" s="1">
        <f t="shared" si="6"/>
        <v>-83.675125999898754</v>
      </c>
    </row>
    <row r="14" spans="1:70" s="1" customFormat="1" x14ac:dyDescent="0.2">
      <c r="B14" s="1" t="s">
        <v>29</v>
      </c>
      <c r="C14" s="1">
        <f>+C11-C12-C13</f>
        <v>161</v>
      </c>
      <c r="D14" s="1">
        <f>+D11-D12-D13</f>
        <v>203</v>
      </c>
      <c r="E14" s="1">
        <f>+E11-E12-E13</f>
        <v>253</v>
      </c>
      <c r="F14" s="1">
        <f>+F11-F12-F13</f>
        <v>475</v>
      </c>
      <c r="G14" s="1">
        <f>+G11-G12-G13</f>
        <v>478</v>
      </c>
      <c r="L14" s="1">
        <f>+L11-L12-L13</f>
        <v>4149</v>
      </c>
      <c r="M14" s="1">
        <f>+M11-M12-M13</f>
        <v>-678</v>
      </c>
      <c r="N14" s="1">
        <f>+N11-N12-N13</f>
        <v>1092</v>
      </c>
      <c r="O14" s="1">
        <f t="shared" ref="O14:Y14" si="7">+O11-O12-O13</f>
        <v>2810.4791999999989</v>
      </c>
      <c r="P14" s="1">
        <f t="shared" si="7"/>
        <v>2740.5485160000003</v>
      </c>
      <c r="Q14" s="1">
        <f t="shared" si="7"/>
        <v>2671.719298680001</v>
      </c>
      <c r="R14" s="1">
        <f t="shared" si="7"/>
        <v>2603.9633485163999</v>
      </c>
      <c r="S14" s="1">
        <f t="shared" si="7"/>
        <v>2537.2529042997739</v>
      </c>
      <c r="T14" s="1">
        <f t="shared" si="7"/>
        <v>2471.5606318323257</v>
      </c>
      <c r="U14" s="1">
        <f t="shared" si="7"/>
        <v>2406.8596128004706</v>
      </c>
      <c r="V14" s="1">
        <f t="shared" si="7"/>
        <v>2343.1233338179586</v>
      </c>
      <c r="W14" s="1">
        <f t="shared" si="7"/>
        <v>2280.3256756351461</v>
      </c>
      <c r="X14" s="1">
        <f t="shared" si="7"/>
        <v>2218.4409025099908</v>
      </c>
      <c r="Y14" s="1">
        <f t="shared" si="7"/>
        <v>2157.4436517364479</v>
      </c>
    </row>
    <row r="15" spans="1:70" s="1" customFormat="1" x14ac:dyDescent="0.2">
      <c r="B15" s="1" t="s">
        <v>17</v>
      </c>
      <c r="C15" s="1">
        <v>47</v>
      </c>
      <c r="D15" s="1">
        <v>55</v>
      </c>
      <c r="E15" s="1">
        <v>57</v>
      </c>
      <c r="F15" s="1">
        <f>+N15-E15-D15-C15</f>
        <v>111</v>
      </c>
      <c r="G15" s="1">
        <v>112</v>
      </c>
      <c r="L15" s="1">
        <v>900</v>
      </c>
      <c r="M15" s="1">
        <v>-29</v>
      </c>
      <c r="N15" s="1">
        <v>270</v>
      </c>
      <c r="O15" s="1">
        <f>+O14*0.22</f>
        <v>618.30542399999979</v>
      </c>
      <c r="P15" s="1">
        <f t="shared" ref="P15:Y15" si="8">+P14*0.22</f>
        <v>602.92067352000004</v>
      </c>
      <c r="Q15" s="1">
        <f t="shared" si="8"/>
        <v>587.77824570960024</v>
      </c>
      <c r="R15" s="1">
        <f t="shared" si="8"/>
        <v>572.87193667360805</v>
      </c>
      <c r="S15" s="1">
        <f t="shared" si="8"/>
        <v>558.19563894595024</v>
      </c>
      <c r="T15" s="1">
        <f t="shared" si="8"/>
        <v>543.74333900311171</v>
      </c>
      <c r="U15" s="1">
        <f t="shared" si="8"/>
        <v>529.50911481610353</v>
      </c>
      <c r="V15" s="1">
        <f t="shared" si="8"/>
        <v>515.48713343995087</v>
      </c>
      <c r="W15" s="1">
        <f t="shared" si="8"/>
        <v>501.67164863973215</v>
      </c>
      <c r="X15" s="1">
        <f t="shared" si="8"/>
        <v>488.05699855219797</v>
      </c>
      <c r="Y15" s="1">
        <f t="shared" si="8"/>
        <v>474.63760338201854</v>
      </c>
    </row>
    <row r="16" spans="1:70" s="1" customFormat="1" x14ac:dyDescent="0.2">
      <c r="B16" s="1" t="s">
        <v>30</v>
      </c>
      <c r="C16" s="1">
        <f>+C14-C15</f>
        <v>114</v>
      </c>
      <c r="D16" s="1">
        <f>+D14-D15</f>
        <v>148</v>
      </c>
      <c r="E16" s="1">
        <f>+E14-E15</f>
        <v>196</v>
      </c>
      <c r="F16" s="1">
        <f>+F14-F15</f>
        <v>364</v>
      </c>
      <c r="G16" s="1">
        <f>+G14-G15</f>
        <v>366</v>
      </c>
      <c r="L16" s="1">
        <f>+L14-L15</f>
        <v>3249</v>
      </c>
      <c r="M16" s="1">
        <f>+M14-M15</f>
        <v>-649</v>
      </c>
      <c r="N16" s="1">
        <f>+N14-N15</f>
        <v>822</v>
      </c>
      <c r="O16" s="1">
        <f t="shared" ref="O16:Y16" si="9">+O14-O15</f>
        <v>2192.1737759999992</v>
      </c>
      <c r="P16" s="1">
        <f t="shared" si="9"/>
        <v>2137.6278424800003</v>
      </c>
      <c r="Q16" s="1">
        <f t="shared" si="9"/>
        <v>2083.941052970401</v>
      </c>
      <c r="R16" s="1">
        <f t="shared" si="9"/>
        <v>2031.0914118427918</v>
      </c>
      <c r="S16" s="1">
        <f t="shared" si="9"/>
        <v>1979.0572653538238</v>
      </c>
      <c r="T16" s="1">
        <f t="shared" si="9"/>
        <v>1927.817292829214</v>
      </c>
      <c r="U16" s="1">
        <f t="shared" si="9"/>
        <v>1877.3504979843669</v>
      </c>
      <c r="V16" s="1">
        <f t="shared" si="9"/>
        <v>1827.6362003780077</v>
      </c>
      <c r="W16" s="1">
        <f t="shared" si="9"/>
        <v>1778.6540269954139</v>
      </c>
      <c r="X16" s="1">
        <f t="shared" si="9"/>
        <v>1730.3839039577929</v>
      </c>
      <c r="Y16" s="1">
        <f t="shared" si="9"/>
        <v>1682.8060483544293</v>
      </c>
      <c r="Z16" s="1">
        <f>+Y16*(1+$R$28)</f>
        <v>1665.977987870885</v>
      </c>
      <c r="AA16" s="1">
        <f>+Z16*(1+$R$28)</f>
        <v>1649.3182079921762</v>
      </c>
      <c r="AB16" s="1">
        <f>+AA16*(1+$R$28)</f>
        <v>1632.8250259122544</v>
      </c>
      <c r="AC16" s="1">
        <f>+AB16*(1+$R$28)</f>
        <v>1616.4967756531319</v>
      </c>
      <c r="AD16" s="1">
        <f>+AC16*(1+$R$28)</f>
        <v>1600.3318078966006</v>
      </c>
      <c r="AE16" s="1">
        <f>+AD16*(1+$R$28)</f>
        <v>1584.3284898176346</v>
      </c>
      <c r="AF16" s="1">
        <f>+AE16*(1+$R$28)</f>
        <v>1568.4852049194583</v>
      </c>
      <c r="AG16" s="1">
        <f>+AF16*(1+$R$28)</f>
        <v>1552.8003528702636</v>
      </c>
      <c r="AH16" s="1">
        <f>+AG16*(1+$R$28)</f>
        <v>1537.272349341561</v>
      </c>
      <c r="AI16" s="1">
        <f>+AH16*(1+$R$28)</f>
        <v>1521.8996258481454</v>
      </c>
      <c r="AJ16" s="1">
        <f>+AI16*(1+$R$28)</f>
        <v>1506.680629589664</v>
      </c>
      <c r="AK16" s="1">
        <f>+AJ16*(1+$R$28)</f>
        <v>1491.6138232937674</v>
      </c>
      <c r="AL16" s="1">
        <f>+AK16*(1+$R$28)</f>
        <v>1476.6976850608296</v>
      </c>
      <c r="AM16" s="1">
        <f>+AL16*(1+$R$28)</f>
        <v>1461.9307082102214</v>
      </c>
      <c r="AN16" s="1">
        <f>+AM16*(1+$R$28)</f>
        <v>1447.3114011281191</v>
      </c>
      <c r="AO16" s="1">
        <f>+AN16*(1+$R$28)</f>
        <v>1432.8382871168378</v>
      </c>
      <c r="AP16" s="1">
        <f>+AO16*(1+$R$28)</f>
        <v>1418.5099042456695</v>
      </c>
      <c r="AQ16" s="1">
        <f>+AP16*(1+$R$28)</f>
        <v>1404.3248052032129</v>
      </c>
      <c r="AR16" s="1">
        <f>+AQ16*(1+$R$28)</f>
        <v>1390.2815571511808</v>
      </c>
      <c r="AS16" s="1">
        <f>+AR16*(1+$R$28)</f>
        <v>1376.3787415796689</v>
      </c>
      <c r="AT16" s="1">
        <f>+AS16*(1+$R$28)</f>
        <v>1362.6149541638722</v>
      </c>
      <c r="AU16" s="1">
        <f>+AT16*(1+$R$28)</f>
        <v>1348.9888046222334</v>
      </c>
      <c r="AV16" s="1">
        <f>+AU16*(1+$R$28)</f>
        <v>1335.498916576011</v>
      </c>
      <c r="AW16" s="1">
        <f>+AV16*(1+$R$28)</f>
        <v>1322.1439274102509</v>
      </c>
      <c r="AX16" s="1">
        <f>+AW16*(1+$R$28)</f>
        <v>1308.9224881361483</v>
      </c>
      <c r="AY16" s="1">
        <f>+AX16*(1+$R$28)</f>
        <v>1295.8332632547867</v>
      </c>
      <c r="AZ16" s="1">
        <f>+AY16*(1+$R$28)</f>
        <v>1282.8749306222389</v>
      </c>
      <c r="BA16" s="1">
        <f>+AZ16*(1+$R$28)</f>
        <v>1270.0461813160166</v>
      </c>
      <c r="BB16" s="1">
        <f>+BA16*(1+$R$28)</f>
        <v>1257.3457195028564</v>
      </c>
      <c r="BC16" s="1">
        <f>+BB16*(1+$R$28)</f>
        <v>1244.7722623078278</v>
      </c>
      <c r="BD16" s="1">
        <f>+BC16*(1+$R$28)</f>
        <v>1232.3245396847494</v>
      </c>
      <c r="BE16" s="1">
        <f>+BD16*(1+$R$28)</f>
        <v>1220.0012942879018</v>
      </c>
      <c r="BF16" s="1">
        <f>+BE16*(1+$R$28)</f>
        <v>1207.8012813450227</v>
      </c>
      <c r="BG16" s="1">
        <f>+BF16*(1+$R$28)</f>
        <v>1195.7232685315726</v>
      </c>
      <c r="BH16" s="1">
        <f>+BG16*(1+$R$28)</f>
        <v>1183.7660358462567</v>
      </c>
      <c r="BI16" s="1">
        <f>+BH16*(1+$R$28)</f>
        <v>1171.9283754877943</v>
      </c>
      <c r="BJ16" s="1">
        <f>+BI16*(1+$R$28)</f>
        <v>1160.2090917329162</v>
      </c>
      <c r="BK16" s="1">
        <f>+BJ16*(1+$R$28)</f>
        <v>1148.6070008155871</v>
      </c>
      <c r="BL16" s="1">
        <f>+BK16*(1+$R$28)</f>
        <v>1137.1209308074313</v>
      </c>
      <c r="BM16" s="1">
        <f>+BL16*(1+$R$28)</f>
        <v>1125.7497214993568</v>
      </c>
      <c r="BN16" s="1">
        <f>+BM16*(1+$R$28)</f>
        <v>1114.4922242843631</v>
      </c>
      <c r="BO16" s="1">
        <f>+BN16*(1+$R$28)</f>
        <v>1103.3473020415195</v>
      </c>
      <c r="BP16" s="1">
        <f>+BO16*(1+$R$28)</f>
        <v>1092.3138290211043</v>
      </c>
      <c r="BQ16" s="1">
        <f>+BP16*(1+$R$28)</f>
        <v>1081.3906907308933</v>
      </c>
      <c r="BR16" s="1">
        <f>+BQ16*(1+$R$28)</f>
        <v>1070.5767838235843</v>
      </c>
    </row>
    <row r="18" spans="2:25" s="3" customFormat="1" x14ac:dyDescent="0.2">
      <c r="B18" s="3" t="s">
        <v>36</v>
      </c>
      <c r="G18" s="3">
        <f>+G6/C6-1</f>
        <v>2.2824536376604865E-2</v>
      </c>
      <c r="M18" s="3">
        <f>+M6/L6-1</f>
        <v>-7.5259937690026479E-3</v>
      </c>
      <c r="N18" s="3">
        <f>+N6/M6-1</f>
        <v>8.0936442200412184E-3</v>
      </c>
      <c r="O18" s="3">
        <f t="shared" ref="O18:Y18" si="10">+O6/N6-1</f>
        <v>-2.0000000000000018E-2</v>
      </c>
      <c r="P18" s="3">
        <f t="shared" si="10"/>
        <v>-2.0000000000000129E-2</v>
      </c>
      <c r="Q18" s="3">
        <f t="shared" si="10"/>
        <v>-2.0000000000000018E-2</v>
      </c>
      <c r="R18" s="3">
        <f t="shared" si="10"/>
        <v>-1.9999999999999907E-2</v>
      </c>
      <c r="S18" s="3">
        <f t="shared" si="10"/>
        <v>-2.0000000000000129E-2</v>
      </c>
      <c r="T18" s="3">
        <f t="shared" si="10"/>
        <v>-2.0000000000000018E-2</v>
      </c>
      <c r="U18" s="3">
        <f t="shared" si="10"/>
        <v>-2.0000000000000018E-2</v>
      </c>
      <c r="V18" s="3">
        <f t="shared" si="10"/>
        <v>-2.0000000000000018E-2</v>
      </c>
      <c r="W18" s="3">
        <f t="shared" si="10"/>
        <v>-2.0000000000000018E-2</v>
      </c>
      <c r="X18" s="3">
        <f t="shared" si="10"/>
        <v>-2.0000000000000129E-2</v>
      </c>
      <c r="Y18" s="3">
        <f t="shared" si="10"/>
        <v>-2.0000000000000129E-2</v>
      </c>
    </row>
    <row r="19" spans="2:25" s="3" customFormat="1" x14ac:dyDescent="0.2">
      <c r="B19" s="3" t="s">
        <v>37</v>
      </c>
      <c r="C19" s="3">
        <f>+C8/C6</f>
        <v>6.1791425782716423E-2</v>
      </c>
      <c r="D19" s="3">
        <f>+D8/D6</f>
        <v>6.6248470012239907E-2</v>
      </c>
      <c r="E19" s="3">
        <f>+E8/E6</f>
        <v>6.575301430390175E-2</v>
      </c>
      <c r="F19" s="3">
        <f>+F8/F6</f>
        <v>7.8142277921120537E-2</v>
      </c>
      <c r="G19" s="3">
        <f>+G8/G6</f>
        <v>8.0378771195771859E-2</v>
      </c>
      <c r="L19" s="3">
        <f>+L8/L6</f>
        <v>0.12514545249802936</v>
      </c>
      <c r="M19" s="3">
        <f>+M8/M6</f>
        <v>4.9753219492823512E-2</v>
      </c>
      <c r="N19" s="3">
        <f>+N8/N6</f>
        <v>6.803729201448161E-2</v>
      </c>
      <c r="O19" s="3">
        <f t="shared" ref="O19:Y19" si="11">+O8/O6</f>
        <v>9.9999999999999992E-2</v>
      </c>
      <c r="P19" s="3">
        <f t="shared" si="11"/>
        <v>0.10000000000000002</v>
      </c>
      <c r="Q19" s="3">
        <f t="shared" si="11"/>
        <v>0.10000000000000003</v>
      </c>
      <c r="R19" s="3">
        <f t="shared" si="11"/>
        <v>0.1</v>
      </c>
      <c r="S19" s="3">
        <f t="shared" si="11"/>
        <v>0.10000000000000005</v>
      </c>
      <c r="T19" s="3">
        <f t="shared" si="11"/>
        <v>0.1</v>
      </c>
      <c r="U19" s="3">
        <f t="shared" si="11"/>
        <v>9.9999999999999978E-2</v>
      </c>
      <c r="V19" s="3">
        <f t="shared" si="11"/>
        <v>9.9999999999999922E-2</v>
      </c>
      <c r="W19" s="3">
        <f t="shared" si="11"/>
        <v>9.9999999999999908E-2</v>
      </c>
      <c r="X19" s="3">
        <f t="shared" si="11"/>
        <v>0.10000000000000003</v>
      </c>
      <c r="Y19" s="3">
        <f t="shared" si="11"/>
        <v>0.10000000000000003</v>
      </c>
    </row>
    <row r="20" spans="2:25" s="3" customFormat="1" x14ac:dyDescent="0.2">
      <c r="B20" s="3" t="s">
        <v>45</v>
      </c>
      <c r="C20" s="3">
        <f>+C15/C14</f>
        <v>0.29192546583850931</v>
      </c>
      <c r="D20" s="3">
        <f>+D15/D14</f>
        <v>0.27093596059113301</v>
      </c>
      <c r="E20" s="3">
        <f>+E15/E14</f>
        <v>0.22529644268774704</v>
      </c>
      <c r="F20" s="3">
        <f>+F15/F14</f>
        <v>0.2336842105263158</v>
      </c>
      <c r="G20" s="3">
        <f>+G15/G14</f>
        <v>0.23430962343096234</v>
      </c>
      <c r="L20" s="3">
        <f>+L15/L14</f>
        <v>0.21691973969631237</v>
      </c>
      <c r="M20" s="3">
        <f>+M15/M14</f>
        <v>4.2772861356932153E-2</v>
      </c>
      <c r="N20" s="3">
        <f>+N15/N14</f>
        <v>0.24725274725274726</v>
      </c>
      <c r="O20" s="3">
        <f t="shared" ref="O20:Y20" si="12">+O15/O14</f>
        <v>0.22</v>
      </c>
      <c r="P20" s="3">
        <f t="shared" si="12"/>
        <v>0.22</v>
      </c>
      <c r="Q20" s="3">
        <f t="shared" si="12"/>
        <v>0.22</v>
      </c>
      <c r="R20" s="3">
        <f t="shared" si="12"/>
        <v>0.22000000000000003</v>
      </c>
      <c r="S20" s="3">
        <f t="shared" si="12"/>
        <v>0.22</v>
      </c>
      <c r="T20" s="3">
        <f t="shared" si="12"/>
        <v>0.22000000000000003</v>
      </c>
      <c r="U20" s="3">
        <f t="shared" si="12"/>
        <v>0.22</v>
      </c>
      <c r="V20" s="3">
        <f t="shared" si="12"/>
        <v>0.22</v>
      </c>
      <c r="W20" s="3">
        <f t="shared" si="12"/>
        <v>0.22</v>
      </c>
      <c r="X20" s="3">
        <f t="shared" si="12"/>
        <v>0.22</v>
      </c>
      <c r="Y20" s="3">
        <f t="shared" si="12"/>
        <v>0.22</v>
      </c>
    </row>
    <row r="21" spans="2:25" s="3" customFormat="1" x14ac:dyDescent="0.2">
      <c r="B21" s="3" t="s">
        <v>46</v>
      </c>
      <c r="C21" s="3">
        <f>+C16/C6</f>
        <v>8.5592011412268191E-3</v>
      </c>
      <c r="D21" s="3">
        <f>+D16/D6</f>
        <v>1.1321909424724603E-2</v>
      </c>
      <c r="E21" s="3">
        <f>+E16/E6</f>
        <v>1.4678349434583989E-2</v>
      </c>
      <c r="F21" s="3">
        <f>+F16/F6</f>
        <v>2.6833763361592333E-2</v>
      </c>
      <c r="G21" s="3">
        <f>+G16/G6</f>
        <v>2.6866329002422373E-2</v>
      </c>
      <c r="L21" s="3">
        <f>+L16/L6</f>
        <v>6.097744078675725E-2</v>
      </c>
      <c r="M21" s="3">
        <f>+M16/M6</f>
        <v>-1.2272839015903633E-2</v>
      </c>
      <c r="N21" s="3">
        <f>+N16/N6</f>
        <v>1.5419535162918082E-2</v>
      </c>
      <c r="O21" s="3">
        <f t="shared" ref="O21:Y21" si="13">+O16/O6</f>
        <v>4.1961245124210352E-2</v>
      </c>
      <c r="P21" s="3">
        <f t="shared" si="13"/>
        <v>4.1752204427130776E-2</v>
      </c>
      <c r="Q21" s="3">
        <f t="shared" si="13"/>
        <v>4.153427817614791E-2</v>
      </c>
      <c r="R21" s="3">
        <f t="shared" si="13"/>
        <v>4.1307092880881385E-2</v>
      </c>
      <c r="S21" s="3">
        <f t="shared" si="13"/>
        <v>4.1070259475383092E-2</v>
      </c>
      <c r="T21" s="3">
        <f t="shared" si="13"/>
        <v>4.0823372672264727E-2</v>
      </c>
      <c r="U21" s="3">
        <f t="shared" si="13"/>
        <v>4.0566010290153887E-2</v>
      </c>
      <c r="V21" s="3">
        <f t="shared" si="13"/>
        <v>4.0297732553378811E-2</v>
      </c>
      <c r="W21" s="3">
        <f t="shared" si="13"/>
        <v>4.00180813627398E-2</v>
      </c>
      <c r="X21" s="3">
        <f t="shared" si="13"/>
        <v>3.9726579536176407E-2</v>
      </c>
      <c r="Y21" s="3">
        <f t="shared" si="13"/>
        <v>3.9422730018091087E-2</v>
      </c>
    </row>
    <row r="22" spans="2:25" s="3" customFormat="1" x14ac:dyDescent="0.2"/>
    <row r="23" spans="2:25" s="4" customFormat="1" x14ac:dyDescent="0.2">
      <c r="B23" s="4" t="s">
        <v>38</v>
      </c>
      <c r="C23" s="4">
        <v>1300</v>
      </c>
      <c r="G23" s="4">
        <v>1031</v>
      </c>
      <c r="L23" s="4">
        <v>2687</v>
      </c>
      <c r="M23" s="4">
        <v>1752</v>
      </c>
      <c r="N23" s="4">
        <v>2590</v>
      </c>
    </row>
    <row r="24" spans="2:25" s="4" customFormat="1" x14ac:dyDescent="0.2">
      <c r="B24" s="4" t="s">
        <v>39</v>
      </c>
      <c r="C24" s="4">
        <v>-378</v>
      </c>
      <c r="G24" s="4">
        <v>-233</v>
      </c>
      <c r="L24" s="4">
        <v>-1935</v>
      </c>
      <c r="M24" s="4">
        <v>-2299</v>
      </c>
      <c r="N24" s="4">
        <v>-888</v>
      </c>
    </row>
    <row r="25" spans="2:25" s="4" customFormat="1" x14ac:dyDescent="0.2">
      <c r="B25" s="4" t="s">
        <v>40</v>
      </c>
      <c r="C25" s="4">
        <v>-354</v>
      </c>
      <c r="G25" s="4">
        <v>-271</v>
      </c>
      <c r="L25" s="4">
        <v>-1887</v>
      </c>
      <c r="M25" s="4">
        <v>-1939</v>
      </c>
      <c r="N25" s="4">
        <v>-1132</v>
      </c>
    </row>
    <row r="26" spans="2:25" s="5" customFormat="1" ht="15.75" x14ac:dyDescent="0.25">
      <c r="B26" s="5" t="s">
        <v>44</v>
      </c>
      <c r="C26" s="5">
        <f>+C23+C25</f>
        <v>946</v>
      </c>
      <c r="G26" s="5">
        <f>+G23+G25</f>
        <v>760</v>
      </c>
      <c r="L26" s="5">
        <f>+L23+L25</f>
        <v>800</v>
      </c>
      <c r="M26" s="5">
        <f>+M23+M25</f>
        <v>-187</v>
      </c>
      <c r="N26" s="5">
        <f>+N23+N25</f>
        <v>1458</v>
      </c>
      <c r="O26" s="5">
        <f>+N26*1.01</f>
        <v>1472.58</v>
      </c>
      <c r="P26" s="5">
        <f t="shared" ref="P26:Y26" si="14">+O26*1.01</f>
        <v>1487.3057999999999</v>
      </c>
      <c r="Q26" s="5">
        <f t="shared" si="14"/>
        <v>1502.1788579999998</v>
      </c>
      <c r="R26" s="5">
        <f t="shared" si="14"/>
        <v>1517.2006465799998</v>
      </c>
      <c r="S26" s="5">
        <f t="shared" si="14"/>
        <v>1532.3726530457998</v>
      </c>
      <c r="T26" s="5">
        <f t="shared" si="14"/>
        <v>1547.6963795762579</v>
      </c>
      <c r="U26" s="5">
        <f t="shared" si="14"/>
        <v>1563.1733433720206</v>
      </c>
      <c r="V26" s="5">
        <f t="shared" si="14"/>
        <v>1578.8050768057408</v>
      </c>
      <c r="W26" s="5">
        <f t="shared" si="14"/>
        <v>1594.5931275737983</v>
      </c>
      <c r="X26" s="5">
        <f t="shared" si="14"/>
        <v>1610.5390588495363</v>
      </c>
      <c r="Y26" s="5">
        <f t="shared" si="14"/>
        <v>1626.6444494380316</v>
      </c>
    </row>
    <row r="27" spans="2:25" s="4" customFormat="1" x14ac:dyDescent="0.2">
      <c r="B27" s="4" t="s">
        <v>41</v>
      </c>
      <c r="C27" s="4">
        <v>-26</v>
      </c>
      <c r="G27" s="4">
        <v>-195</v>
      </c>
      <c r="L27" s="4">
        <v>-2323</v>
      </c>
      <c r="M27" s="4">
        <v>88</v>
      </c>
      <c r="N27" s="4">
        <v>-581</v>
      </c>
    </row>
    <row r="28" spans="2:25" s="4" customFormat="1" x14ac:dyDescent="0.2">
      <c r="B28" s="4" t="s">
        <v>42</v>
      </c>
      <c r="C28" s="4">
        <v>15</v>
      </c>
      <c r="G28" s="4">
        <v>-28</v>
      </c>
      <c r="L28" s="4">
        <v>-35</v>
      </c>
      <c r="M28" s="4">
        <v>1</v>
      </c>
      <c r="N28" s="4">
        <v>23</v>
      </c>
      <c r="Q28" s="4" t="s">
        <v>47</v>
      </c>
      <c r="R28" s="3">
        <v>-0.01</v>
      </c>
    </row>
    <row r="29" spans="2:25" s="4" customFormat="1" x14ac:dyDescent="0.2">
      <c r="B29" s="4" t="s">
        <v>43</v>
      </c>
      <c r="C29" s="4">
        <f>+C23+C24+C27+C28</f>
        <v>911</v>
      </c>
      <c r="G29" s="4">
        <f>+G23+G24+G27+G28</f>
        <v>575</v>
      </c>
      <c r="L29" s="4">
        <f>+L23+L24+L27+L28</f>
        <v>-1606</v>
      </c>
      <c r="M29" s="4">
        <f>+M23+M24+M27+M28</f>
        <v>-458</v>
      </c>
      <c r="N29" s="4">
        <f>+N23+N24+N27+N28</f>
        <v>1144</v>
      </c>
      <c r="Q29" s="4" t="s">
        <v>48</v>
      </c>
      <c r="R29" s="3">
        <v>0.09</v>
      </c>
    </row>
    <row r="30" spans="2:25" x14ac:dyDescent="0.2">
      <c r="Q30" t="s">
        <v>49</v>
      </c>
      <c r="R30" s="9">
        <f>+NPV(R29,N16:BR16)</f>
        <v>18929.92406679261</v>
      </c>
    </row>
    <row r="31" spans="2:25" x14ac:dyDescent="0.2">
      <c r="B31" t="s">
        <v>3</v>
      </c>
      <c r="C31" s="1"/>
      <c r="D31" s="1"/>
      <c r="E31" s="1"/>
      <c r="F31" s="1"/>
      <c r="G31" s="1">
        <v>2292</v>
      </c>
    </row>
    <row r="32" spans="2:25" x14ac:dyDescent="0.2">
      <c r="B32" t="s">
        <v>7</v>
      </c>
      <c r="C32" s="1"/>
      <c r="D32" s="1"/>
      <c r="E32" s="1"/>
      <c r="F32" s="1"/>
      <c r="G32" s="1">
        <v>2323</v>
      </c>
    </row>
    <row r="33" spans="2:7" x14ac:dyDescent="0.2">
      <c r="B33" t="s">
        <v>8</v>
      </c>
      <c r="C33" s="1"/>
      <c r="D33" s="1"/>
      <c r="E33" s="1"/>
      <c r="F33" s="1"/>
      <c r="G33" s="1">
        <v>5114</v>
      </c>
    </row>
    <row r="34" spans="2:7" x14ac:dyDescent="0.2">
      <c r="B34" t="s">
        <v>9</v>
      </c>
      <c r="C34" s="1"/>
      <c r="D34" s="1"/>
      <c r="E34" s="1"/>
      <c r="F34" s="1"/>
      <c r="G34" s="1">
        <v>353</v>
      </c>
    </row>
    <row r="35" spans="2:7" x14ac:dyDescent="0.2">
      <c r="B35" t="s">
        <v>10</v>
      </c>
      <c r="C35" s="1"/>
      <c r="D35" s="1"/>
      <c r="E35" s="1"/>
      <c r="F35" s="1"/>
      <c r="G35" s="1">
        <v>9353</v>
      </c>
    </row>
    <row r="36" spans="2:7" x14ac:dyDescent="0.2">
      <c r="B36" t="s">
        <v>11</v>
      </c>
      <c r="C36" s="1"/>
      <c r="D36" s="1"/>
      <c r="E36" s="1"/>
      <c r="F36" s="1"/>
      <c r="G36" s="1">
        <f>9805+5799</f>
        <v>15604</v>
      </c>
    </row>
    <row r="37" spans="2:7" x14ac:dyDescent="0.2">
      <c r="B37" t="s">
        <v>12</v>
      </c>
      <c r="C37" s="1"/>
      <c r="D37" s="1"/>
      <c r="E37" s="1"/>
      <c r="F37" s="1"/>
      <c r="G37" s="1">
        <v>2271</v>
      </c>
    </row>
    <row r="38" spans="2:7" x14ac:dyDescent="0.2">
      <c r="B38" t="s">
        <v>13</v>
      </c>
      <c r="C38" s="1"/>
      <c r="D38" s="1"/>
      <c r="E38" s="1"/>
      <c r="F38" s="1"/>
      <c r="G38" s="1">
        <f>+SUM(G31:G37)</f>
        <v>37310</v>
      </c>
    </row>
    <row r="40" spans="2:7" x14ac:dyDescent="0.2">
      <c r="B40" t="s">
        <v>4</v>
      </c>
      <c r="C40" s="1"/>
      <c r="D40" s="1"/>
      <c r="E40" s="1"/>
      <c r="F40" s="1"/>
      <c r="G40" s="1">
        <f>95+9711</f>
        <v>9806</v>
      </c>
    </row>
    <row r="41" spans="2:7" x14ac:dyDescent="0.2">
      <c r="B41" t="s">
        <v>15</v>
      </c>
      <c r="C41" s="1"/>
      <c r="D41" s="1"/>
      <c r="E41" s="1"/>
      <c r="F41" s="1"/>
      <c r="G41" s="1">
        <v>2497</v>
      </c>
    </row>
    <row r="42" spans="2:7" x14ac:dyDescent="0.2">
      <c r="B42" t="s">
        <v>16</v>
      </c>
      <c r="C42" s="1"/>
      <c r="D42" s="1"/>
      <c r="E42" s="1"/>
      <c r="F42" s="1"/>
      <c r="G42" s="1">
        <v>2188</v>
      </c>
    </row>
    <row r="43" spans="2:7" x14ac:dyDescent="0.2">
      <c r="B43" t="s">
        <v>17</v>
      </c>
      <c r="C43" s="1"/>
      <c r="D43" s="1"/>
      <c r="E43" s="1"/>
      <c r="F43" s="1"/>
      <c r="G43" s="1">
        <v>2283</v>
      </c>
    </row>
    <row r="44" spans="2:7" x14ac:dyDescent="0.2">
      <c r="B44" t="s">
        <v>18</v>
      </c>
      <c r="C44" s="1"/>
      <c r="D44" s="1"/>
      <c r="E44" s="1"/>
      <c r="F44" s="1"/>
      <c r="G44" s="1">
        <v>1909</v>
      </c>
    </row>
    <row r="45" spans="2:7" x14ac:dyDescent="0.2">
      <c r="B45" t="s">
        <v>14</v>
      </c>
      <c r="C45" s="1"/>
      <c r="D45" s="1"/>
      <c r="E45" s="1"/>
      <c r="F45" s="1"/>
      <c r="G45" s="1">
        <f>+SUM(G40:G44)</f>
        <v>18683</v>
      </c>
    </row>
    <row r="46" spans="2:7" x14ac:dyDescent="0.2">
      <c r="B46" t="s">
        <v>19</v>
      </c>
      <c r="C46" s="1"/>
      <c r="D46" s="1"/>
      <c r="E46" s="1"/>
      <c r="F46" s="1"/>
      <c r="G46" s="1">
        <v>18627</v>
      </c>
    </row>
    <row r="47" spans="2:7" x14ac:dyDescent="0.2">
      <c r="B47" t="s">
        <v>20</v>
      </c>
      <c r="C47" s="1"/>
      <c r="D47" s="1"/>
      <c r="E47" s="1"/>
      <c r="F47" s="1"/>
      <c r="G47" s="1">
        <f>+G45+G46</f>
        <v>37310</v>
      </c>
    </row>
    <row r="50" spans="2:7" s="7" customFormat="1" ht="15.75" x14ac:dyDescent="0.25">
      <c r="B50" s="7" t="s">
        <v>21</v>
      </c>
      <c r="C50" s="8"/>
      <c r="D50" s="8"/>
      <c r="E50" s="8"/>
      <c r="F50" s="8"/>
      <c r="G50" s="8">
        <f>+G31+G32+G33+G34+G35-G45</f>
        <v>752</v>
      </c>
    </row>
  </sheetData>
  <hyperlinks>
    <hyperlink ref="A1" location="main!A1" display="Main" xr:uid="{64FCB501-B98E-44FB-B60D-C2EF3E3BB9AD}"/>
  </hyperlinks>
  <pageMargins left="0.7" right="0.7" top="0.75" bottom="0.75" header="0.3" footer="0.3"/>
  <ignoredErrors>
    <ignoredError sqref="M12 F14 F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2025-02-03T21:01:13Z</dcterms:created>
  <dcterms:modified xsi:type="dcterms:W3CDTF">2025-02-03T21:28:51Z</dcterms:modified>
</cp:coreProperties>
</file>