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D6C12145-C175-4CCB-B856-46142D6FF0E6}" xr6:coauthVersionLast="47" xr6:coauthVersionMax="47" xr10:uidLastSave="{00000000-0000-0000-0000-000000000000}"/>
  <bookViews>
    <workbookView xWindow="-120" yWindow="-120" windowWidth="29040" windowHeight="15840" xr2:uid="{9BBD0775-8FBE-41BC-913F-701B9EE0E2E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Z17" i="2" l="1"/>
  <c r="BM23" i="2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M18" i="2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M17" i="2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M13" i="2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M12" i="2"/>
  <c r="BM15" i="2" s="1"/>
  <c r="BC22" i="2"/>
  <c r="AS17" i="2"/>
  <c r="AS13" i="2"/>
  <c r="AS12" i="2"/>
  <c r="AL26" i="2"/>
  <c r="AJ8" i="2"/>
  <c r="AJ7" i="2"/>
  <c r="AK8" i="2"/>
  <c r="AK7" i="2"/>
  <c r="AL8" i="2"/>
  <c r="AL7" i="2"/>
  <c r="AN8" i="2"/>
  <c r="AN7" i="2"/>
  <c r="AO8" i="2"/>
  <c r="AS8" i="2" s="1"/>
  <c r="AO7" i="2"/>
  <c r="AS7" i="2" s="1"/>
  <c r="AP8" i="2"/>
  <c r="AT8" i="2" s="1"/>
  <c r="AP7" i="2"/>
  <c r="AT7" i="2" s="1"/>
  <c r="AR8" i="2"/>
  <c r="AR7" i="2"/>
  <c r="AN25" i="2"/>
  <c r="AO25" i="2"/>
  <c r="AP25" i="2"/>
  <c r="AR25" i="2"/>
  <c r="AM23" i="2"/>
  <c r="AM20" i="2"/>
  <c r="AM18" i="2"/>
  <c r="AM17" i="2"/>
  <c r="AM13" i="2"/>
  <c r="AM12" i="2"/>
  <c r="AM10" i="2"/>
  <c r="AM9" i="2"/>
  <c r="AQ23" i="2"/>
  <c r="AS23" i="2" s="1"/>
  <c r="AQ20" i="2"/>
  <c r="AQ18" i="2"/>
  <c r="AQ17" i="2"/>
  <c r="AQ13" i="2"/>
  <c r="AQ12" i="2"/>
  <c r="AQ10" i="2"/>
  <c r="AQ9" i="2"/>
  <c r="AQ8" i="2" s="1"/>
  <c r="AU8" i="2" s="1"/>
  <c r="AJ14" i="2"/>
  <c r="AJ15" i="2" s="1"/>
  <c r="AJ11" i="2"/>
  <c r="AJ26" i="2" s="1"/>
  <c r="AK15" i="2"/>
  <c r="AK11" i="2"/>
  <c r="AK26" i="2" s="1"/>
  <c r="AO14" i="2"/>
  <c r="AO15" i="2" s="1"/>
  <c r="AO11" i="2"/>
  <c r="AO26" i="2" s="1"/>
  <c r="AL15" i="2"/>
  <c r="AL11" i="2"/>
  <c r="AP14" i="2"/>
  <c r="AP15" i="2" s="1"/>
  <c r="AP11" i="2"/>
  <c r="AP26" i="2" s="1"/>
  <c r="AN14" i="2"/>
  <c r="AN15" i="2" s="1"/>
  <c r="AN11" i="2"/>
  <c r="AN26" i="2" s="1"/>
  <c r="AR14" i="2"/>
  <c r="AR15" i="2" s="1"/>
  <c r="AR11" i="2"/>
  <c r="AR26" i="2" s="1"/>
  <c r="BE4" i="2"/>
  <c r="BF4" i="2"/>
  <c r="BG4" i="2"/>
  <c r="BH4" i="2"/>
  <c r="BI4" i="2"/>
  <c r="BJ4" i="2"/>
  <c r="BK4" i="2"/>
  <c r="BL4" i="2"/>
  <c r="BD4" i="2"/>
  <c r="BC7" i="2"/>
  <c r="BC8" i="2"/>
  <c r="BC17" i="2"/>
  <c r="BC14" i="2"/>
  <c r="BC15" i="2" s="1"/>
  <c r="BC11" i="2"/>
  <c r="BC26" i="2" s="1"/>
  <c r="BD7" i="2"/>
  <c r="BE7" i="2"/>
  <c r="BF7" i="2"/>
  <c r="BD8" i="2"/>
  <c r="BE8" i="2"/>
  <c r="BF8" i="2"/>
  <c r="BE25" i="2"/>
  <c r="BF25" i="2"/>
  <c r="BG25" i="2"/>
  <c r="BD17" i="2"/>
  <c r="BD14" i="2"/>
  <c r="BD15" i="2" s="1"/>
  <c r="BE17" i="2"/>
  <c r="BE14" i="2"/>
  <c r="BE15" i="2" s="1"/>
  <c r="BF17" i="2"/>
  <c r="BF14" i="2"/>
  <c r="BF15" i="2" s="1"/>
  <c r="BD11" i="2"/>
  <c r="BD26" i="2" s="1"/>
  <c r="BE11" i="2"/>
  <c r="BE26" i="2" s="1"/>
  <c r="BF11" i="2"/>
  <c r="BF26" i="2" s="1"/>
  <c r="BH25" i="2"/>
  <c r="BI25" i="2"/>
  <c r="BJ25" i="2"/>
  <c r="BG18" i="2"/>
  <c r="BG17" i="2"/>
  <c r="BG14" i="2"/>
  <c r="BG15" i="2" s="1"/>
  <c r="BH18" i="2"/>
  <c r="BH17" i="2"/>
  <c r="BH14" i="2"/>
  <c r="BH15" i="2" s="1"/>
  <c r="BG11" i="2"/>
  <c r="BG26" i="2" s="1"/>
  <c r="BH11" i="2"/>
  <c r="BH26" i="2" s="1"/>
  <c r="BI18" i="2"/>
  <c r="BI17" i="2"/>
  <c r="BI14" i="2"/>
  <c r="BI15" i="2" s="1"/>
  <c r="BI11" i="2"/>
  <c r="BI26" i="2" s="1"/>
  <c r="BG8" i="2"/>
  <c r="BH8" i="2"/>
  <c r="BI8" i="2"/>
  <c r="BG7" i="2"/>
  <c r="BH7" i="2"/>
  <c r="BI7" i="2"/>
  <c r="J9" i="1"/>
  <c r="BJ8" i="2"/>
  <c r="BK8" i="2"/>
  <c r="BJ7" i="2"/>
  <c r="BK7" i="2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L7" i="2"/>
  <c r="BM7" i="2" s="1"/>
  <c r="BN7" i="2" s="1"/>
  <c r="BL35" i="2"/>
  <c r="BK35" i="2"/>
  <c r="BJ35" i="2"/>
  <c r="BJ32" i="2"/>
  <c r="BK32" i="2"/>
  <c r="BL32" i="2"/>
  <c r="BK25" i="2"/>
  <c r="BL25" i="2"/>
  <c r="BK14" i="2"/>
  <c r="BK15" i="2" s="1"/>
  <c r="BJ14" i="2"/>
  <c r="BJ15" i="2" s="1"/>
  <c r="BJ11" i="2"/>
  <c r="BJ26" i="2" s="1"/>
  <c r="BK11" i="2"/>
  <c r="BK26" i="2" s="1"/>
  <c r="BL14" i="2"/>
  <c r="BL15" i="2" s="1"/>
  <c r="BL11" i="2"/>
  <c r="BL26" i="2" s="1"/>
  <c r="BL53" i="2"/>
  <c r="BL54" i="2"/>
  <c r="BL45" i="2"/>
  <c r="BL39" i="2"/>
  <c r="BI6" i="2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J6" i="1"/>
  <c r="BN12" i="2" l="1"/>
  <c r="BN15" i="2" s="1"/>
  <c r="AT9" i="2"/>
  <c r="BO12" i="2"/>
  <c r="BP12" i="2" s="1"/>
  <c r="BQ12" i="2" s="1"/>
  <c r="BR12" i="2" s="1"/>
  <c r="BS12" i="2" s="1"/>
  <c r="BT12" i="2" s="1"/>
  <c r="BU12" i="2" s="1"/>
  <c r="BV12" i="2" s="1"/>
  <c r="BW12" i="2" s="1"/>
  <c r="BW15" i="2" s="1"/>
  <c r="BC16" i="2"/>
  <c r="AS9" i="2"/>
  <c r="BO7" i="2"/>
  <c r="BN9" i="2"/>
  <c r="AS14" i="2"/>
  <c r="AS15" i="2" s="1"/>
  <c r="BV15" i="2"/>
  <c r="BU15" i="2"/>
  <c r="BT15" i="2"/>
  <c r="BO15" i="2"/>
  <c r="BP15" i="2"/>
  <c r="BL56" i="2"/>
  <c r="BL58" i="2" s="1"/>
  <c r="AM11" i="2"/>
  <c r="AM26" i="2" s="1"/>
  <c r="AQ25" i="2"/>
  <c r="AQ11" i="2"/>
  <c r="AQ26" i="2" s="1"/>
  <c r="AM7" i="2"/>
  <c r="AJ16" i="2"/>
  <c r="AJ19" i="2" s="1"/>
  <c r="AM14" i="2"/>
  <c r="AM15" i="2" s="1"/>
  <c r="AR16" i="2"/>
  <c r="AR19" i="2" s="1"/>
  <c r="AM8" i="2"/>
  <c r="AQ7" i="2"/>
  <c r="AU7" i="2" s="1"/>
  <c r="AU9" i="2" s="1"/>
  <c r="AQ14" i="2"/>
  <c r="AQ15" i="2" s="1"/>
  <c r="AK16" i="2"/>
  <c r="AK19" i="2" s="1"/>
  <c r="AO16" i="2"/>
  <c r="AO19" i="2" s="1"/>
  <c r="AL16" i="2"/>
  <c r="AL19" i="2" s="1"/>
  <c r="AP16" i="2"/>
  <c r="AP19" i="2" s="1"/>
  <c r="AN19" i="2"/>
  <c r="BC19" i="2"/>
  <c r="BC27" i="2" s="1"/>
  <c r="BE16" i="2"/>
  <c r="BE19" i="2" s="1"/>
  <c r="BI16" i="2"/>
  <c r="BI19" i="2" s="1"/>
  <c r="BD16" i="2"/>
  <c r="BD19" i="2" s="1"/>
  <c r="BF16" i="2"/>
  <c r="BF19" i="2" s="1"/>
  <c r="BG16" i="2"/>
  <c r="BG19" i="2" s="1"/>
  <c r="BH16" i="2"/>
  <c r="BH19" i="2" s="1"/>
  <c r="BL16" i="2"/>
  <c r="BL19" i="2" s="1"/>
  <c r="BL47" i="2"/>
  <c r="BJ16" i="2"/>
  <c r="BJ19" i="2" s="1"/>
  <c r="BK16" i="2"/>
  <c r="BK19" i="2" s="1"/>
  <c r="BQ15" i="2" l="1"/>
  <c r="BS15" i="2"/>
  <c r="BR15" i="2"/>
  <c r="AJ21" i="2"/>
  <c r="AJ22" i="2" s="1"/>
  <c r="AJ27" i="2"/>
  <c r="BE21" i="2"/>
  <c r="BE22" i="2" s="1"/>
  <c r="BE27" i="2"/>
  <c r="AO21" i="2"/>
  <c r="AO22" i="2" s="1"/>
  <c r="AO27" i="2"/>
  <c r="AN21" i="2"/>
  <c r="AN22" i="2" s="1"/>
  <c r="AN27" i="2"/>
  <c r="BN10" i="2"/>
  <c r="BN11" i="2" s="1"/>
  <c r="BN16" i="2" s="1"/>
  <c r="BN19" i="2" s="1"/>
  <c r="AK21" i="2"/>
  <c r="AK22" i="2" s="1"/>
  <c r="AK27" i="2"/>
  <c r="BF21" i="2"/>
  <c r="BF22" i="2" s="1"/>
  <c r="BF27" i="2"/>
  <c r="BP7" i="2"/>
  <c r="BO9" i="2"/>
  <c r="AL21" i="2"/>
  <c r="AL22" i="2" s="1"/>
  <c r="AL27" i="2"/>
  <c r="AQ16" i="2"/>
  <c r="AQ19" i="2" s="1"/>
  <c r="BD21" i="2"/>
  <c r="BD22" i="2" s="1"/>
  <c r="BD27" i="2"/>
  <c r="AR21" i="2"/>
  <c r="AR22" i="2" s="1"/>
  <c r="AR27" i="2"/>
  <c r="AS10" i="2"/>
  <c r="AS11" i="2" s="1"/>
  <c r="BM9" i="2"/>
  <c r="AS25" i="2"/>
  <c r="AP21" i="2"/>
  <c r="AP22" i="2" s="1"/>
  <c r="AP27" i="2"/>
  <c r="AM16" i="2"/>
  <c r="AM19" i="2" s="1"/>
  <c r="BH21" i="2"/>
  <c r="BH22" i="2" s="1"/>
  <c r="BH27" i="2"/>
  <c r="BG21" i="2"/>
  <c r="BG22" i="2" s="1"/>
  <c r="BG27" i="2"/>
  <c r="BI27" i="2"/>
  <c r="BI21" i="2"/>
  <c r="BI22" i="2" s="1"/>
  <c r="BJ21" i="2"/>
  <c r="BJ22" i="2" s="1"/>
  <c r="BJ27" i="2"/>
  <c r="BK21" i="2"/>
  <c r="BK22" i="2" s="1"/>
  <c r="BK27" i="2"/>
  <c r="BL21" i="2"/>
  <c r="BL22" i="2" s="1"/>
  <c r="BL27" i="2"/>
  <c r="AS26" i="2" l="1"/>
  <c r="AS16" i="2"/>
  <c r="AS19" i="2" s="1"/>
  <c r="BO10" i="2"/>
  <c r="BO11" i="2" s="1"/>
  <c r="BO16" i="2" s="1"/>
  <c r="BO19" i="2" s="1"/>
  <c r="BM25" i="2"/>
  <c r="BM10" i="2"/>
  <c r="BM11" i="2" s="1"/>
  <c r="AQ21" i="2"/>
  <c r="AQ22" i="2" s="1"/>
  <c r="AQ27" i="2"/>
  <c r="BQ7" i="2"/>
  <c r="BP9" i="2"/>
  <c r="BN20" i="2"/>
  <c r="BN21" i="2"/>
  <c r="BN22" i="2" s="1"/>
  <c r="AM21" i="2"/>
  <c r="AM22" i="2" s="1"/>
  <c r="AM27" i="2"/>
  <c r="BO20" i="2" l="1"/>
  <c r="BO21" i="2" s="1"/>
  <c r="BO22" i="2" s="1"/>
  <c r="BP10" i="2"/>
  <c r="BP11" i="2" s="1"/>
  <c r="BP16" i="2" s="1"/>
  <c r="BP19" i="2" s="1"/>
  <c r="BM16" i="2"/>
  <c r="BM19" i="2" s="1"/>
  <c r="BM26" i="2"/>
  <c r="BR7" i="2"/>
  <c r="BQ9" i="2"/>
  <c r="AS20" i="2"/>
  <c r="AS27" i="2" s="1"/>
  <c r="BP20" i="2" l="1"/>
  <c r="BP21" i="2"/>
  <c r="BP22" i="2" s="1"/>
  <c r="BS7" i="2"/>
  <c r="BR9" i="2"/>
  <c r="BQ10" i="2"/>
  <c r="BQ11" i="2" s="1"/>
  <c r="BQ16" i="2" s="1"/>
  <c r="BQ19" i="2" s="1"/>
  <c r="AS21" i="2"/>
  <c r="AS22" i="2" s="1"/>
  <c r="BM20" i="2"/>
  <c r="BM27" i="2" s="1"/>
  <c r="BM21" i="2"/>
  <c r="BQ20" i="2" l="1"/>
  <c r="BQ21" i="2"/>
  <c r="BQ22" i="2" s="1"/>
  <c r="BM22" i="2"/>
  <c r="BT7" i="2"/>
  <c r="BS9" i="2"/>
  <c r="BR10" i="2"/>
  <c r="BR11" i="2" s="1"/>
  <c r="BR16" i="2" s="1"/>
  <c r="BR19" i="2" s="1"/>
  <c r="BR20" i="2" l="1"/>
  <c r="BR21" i="2"/>
  <c r="BR22" i="2" s="1"/>
  <c r="BS10" i="2"/>
  <c r="BS11" i="2"/>
  <c r="BS16" i="2" s="1"/>
  <c r="BS19" i="2" s="1"/>
  <c r="BU7" i="2"/>
  <c r="BT9" i="2"/>
  <c r="BV7" i="2" l="1"/>
  <c r="BU9" i="2"/>
  <c r="BT10" i="2"/>
  <c r="BT11" i="2"/>
  <c r="BT16" i="2" s="1"/>
  <c r="BT19" i="2" s="1"/>
  <c r="BS20" i="2"/>
  <c r="BS21" i="2"/>
  <c r="BS22" i="2" l="1"/>
  <c r="BU10" i="2"/>
  <c r="BU11" i="2" s="1"/>
  <c r="BU16" i="2" s="1"/>
  <c r="BU19" i="2" s="1"/>
  <c r="BT20" i="2"/>
  <c r="BT21" i="2" s="1"/>
  <c r="BW7" i="2"/>
  <c r="BW9" i="2" s="1"/>
  <c r="BV9" i="2"/>
  <c r="BT22" i="2" l="1"/>
  <c r="BU20" i="2"/>
  <c r="BU21" i="2"/>
  <c r="BU22" i="2" s="1"/>
  <c r="BV10" i="2"/>
  <c r="BV11" i="2" s="1"/>
  <c r="BV16" i="2" s="1"/>
  <c r="BV19" i="2" s="1"/>
  <c r="BW10" i="2"/>
  <c r="BW11" i="2" s="1"/>
  <c r="BW16" i="2" s="1"/>
  <c r="BW19" i="2" s="1"/>
  <c r="BV20" i="2" l="1"/>
  <c r="BV21" i="2" s="1"/>
  <c r="BW20" i="2"/>
  <c r="BW21" i="2" s="1"/>
  <c r="BX21" i="2" l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BW22" i="2"/>
  <c r="BV22" i="2"/>
  <c r="BZ15" i="2" l="1"/>
  <c r="BZ16" i="2" s="1"/>
  <c r="BZ18" i="2" s="1"/>
</calcChain>
</file>

<file path=xl/sharedStrings.xml><?xml version="1.0" encoding="utf-8"?>
<sst xmlns="http://schemas.openxmlformats.org/spreadsheetml/2006/main" count="122" uniqueCount="114">
  <si>
    <t>Price</t>
  </si>
  <si>
    <t>Shares</t>
  </si>
  <si>
    <t>MC</t>
  </si>
  <si>
    <t xml:space="preserve">Cash </t>
  </si>
  <si>
    <t xml:space="preserve">Debt </t>
  </si>
  <si>
    <t xml:space="preserve">EV </t>
  </si>
  <si>
    <t>Founded</t>
  </si>
  <si>
    <t xml:space="preserve">CEO </t>
  </si>
  <si>
    <t xml:space="preserve">divested operations in France &amp; Italy , 1500 people affected </t>
  </si>
  <si>
    <t xml:space="preserve">Timothy L Main </t>
  </si>
  <si>
    <t xml:space="preserve">Q310 promised 10-16% growth , and operating income 4% of revenue </t>
  </si>
  <si>
    <t>Main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</si>
  <si>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</si>
  <si>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</si>
  <si>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</si>
  <si>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</si>
  <si>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</si>
  <si>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</si>
  <si>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</si>
  <si>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</si>
  <si>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</si>
  <si>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</si>
  <si>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</si>
  <si>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</si>
  <si>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</si>
  <si>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</si>
  <si>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</si>
  <si>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</si>
  <si>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</si>
  <si>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</si>
  <si>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</si>
  <si>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</si>
  <si>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</si>
  <si>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</si>
  <si>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</si>
  <si>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</si>
  <si>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</si>
  <si>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</si>
  <si>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</si>
  <si>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</si>
  <si>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</si>
  <si>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</si>
  <si>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</si>
  <si>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</si>
  <si>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</si>
  <si>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</si>
  <si>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</si>
  <si>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</si>
  <si>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</si>
  <si>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</si>
  <si>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</si>
  <si>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</si>
  <si>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 xml:space="preserve">AR </t>
  </si>
  <si>
    <t xml:space="preserve">Inventories  </t>
  </si>
  <si>
    <t xml:space="preserve">Prepaids </t>
  </si>
  <si>
    <t xml:space="preserve">Tax </t>
  </si>
  <si>
    <t xml:space="preserve">PPE </t>
  </si>
  <si>
    <t>Goodwill</t>
  </si>
  <si>
    <t>Other</t>
  </si>
  <si>
    <t xml:space="preserve">ASSETS </t>
  </si>
  <si>
    <t xml:space="preserve">AP </t>
  </si>
  <si>
    <t>Accrued</t>
  </si>
  <si>
    <t>Tax</t>
  </si>
  <si>
    <t xml:space="preserve">Other </t>
  </si>
  <si>
    <t>Liabilities</t>
  </si>
  <si>
    <t xml:space="preserve">SE </t>
  </si>
  <si>
    <t xml:space="preserve">L + SE </t>
  </si>
  <si>
    <t xml:space="preserve">Liquidation value </t>
  </si>
  <si>
    <t xml:space="preserve">Revenue </t>
  </si>
  <si>
    <t xml:space="preserve">COGS </t>
  </si>
  <si>
    <t xml:space="preserve">Gross </t>
  </si>
  <si>
    <t xml:space="preserve">SGA </t>
  </si>
  <si>
    <t xml:space="preserve">RD </t>
  </si>
  <si>
    <t xml:space="preserve">Impairments </t>
  </si>
  <si>
    <t>Operating expenses</t>
  </si>
  <si>
    <t xml:space="preserve">Operating income </t>
  </si>
  <si>
    <t xml:space="preserve">Interest </t>
  </si>
  <si>
    <t xml:space="preserve">Pretax </t>
  </si>
  <si>
    <t xml:space="preserve">Gross margin </t>
  </si>
  <si>
    <t xml:space="preserve">Net income </t>
  </si>
  <si>
    <t xml:space="preserve">Tax rate </t>
  </si>
  <si>
    <t xml:space="preserve">Business Segments </t>
  </si>
  <si>
    <t xml:space="preserve">EMS </t>
  </si>
  <si>
    <t xml:space="preserve">DMS </t>
  </si>
  <si>
    <t xml:space="preserve">Electronic Manufacturing Systems </t>
  </si>
  <si>
    <t xml:space="preserve">Divested Manufacturing systems </t>
  </si>
  <si>
    <t xml:space="preserve">industrial and semi capital equipments, wireless , cloud, 5G, digital print , retail </t>
  </si>
  <si>
    <t xml:space="preserve">engineering solutions , customers in automotive , healthcare , connected devices , packaging industries </t>
  </si>
  <si>
    <t xml:space="preserve">Dec 2023  , completed $2.2 billion sale of one of manufacturing businesses </t>
  </si>
  <si>
    <t>FY 24 , 5 top clients account for 36% of revenue , top 88 customers account for 90%</t>
  </si>
  <si>
    <t>Dependace on limited number of customers</t>
  </si>
  <si>
    <t xml:space="preserve">New cloud client entry , affected revenue patterns due to cyclicality </t>
  </si>
  <si>
    <t xml:space="preserve">Strong ties with China </t>
  </si>
  <si>
    <t xml:space="preserve">New structure : Regulated industries , Intelligent Infrastructure , Digital Commerce </t>
  </si>
  <si>
    <t>Lease</t>
  </si>
  <si>
    <t xml:space="preserve">EPS </t>
  </si>
  <si>
    <t xml:space="preserve">Revenue y/y </t>
  </si>
  <si>
    <t xml:space="preserve">CFFO </t>
  </si>
  <si>
    <t xml:space="preserve">CFFI </t>
  </si>
  <si>
    <t>Capex</t>
  </si>
  <si>
    <t xml:space="preserve">FCF </t>
  </si>
  <si>
    <t xml:space="preserve">CFFF </t>
  </si>
  <si>
    <t xml:space="preserve">Change </t>
  </si>
  <si>
    <t>FX</t>
  </si>
  <si>
    <t>Q125</t>
  </si>
  <si>
    <t>Q225</t>
  </si>
  <si>
    <t>Q325</t>
  </si>
  <si>
    <t>Q425</t>
  </si>
  <si>
    <t>terminal</t>
  </si>
  <si>
    <t>discount</t>
  </si>
  <si>
    <t>npv</t>
  </si>
  <si>
    <t>share</t>
  </si>
  <si>
    <t>current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</si>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</sst>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3" fillId="0" borderId="0" xfId="2"/>
    <xf numFmtId="14" fontId="0" fillId="0" borderId="0" xfId="0" applyNumberFormat="1"/>
    <xf numFmtId="0" fontId="2" fillId="0" borderId="0" xfId="0" applyFont="1"/>
    <xf numFmtId="9" fontId="2" fillId="0" borderId="0" xfId="0" applyNumberFormat="1" applyFont="1"/>
    <xf numFmtId="4" fontId="0" fillId="0" borderId="0" xfId="0" applyNumberFormat="1"/>
    <xf numFmtId="9" fontId="0" fillId="0" borderId="0" xfId="1" applyFont="1"/>
    <xf numFmtId="3" fontId="0" fillId="0" borderId="0" xfId="1" applyNumberFormat="1" applyFont="1"/>
    <xf numFmtId="3" fontId="2" fillId="0" borderId="0" xfId="0" applyNumberFormat="1" applyFont="1"/>
    <xf numFmtId="3" fontId="2" fillId="0" borderId="0" xfId="1" applyNumberFormat="1" applyFont="1"/>
    <xf numFmtId="0" fontId="0" fillId="2" borderId="0" xfId="0" applyFill="1"/>
    <xf numFmtId="8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38100</xdr:rowOff>
    </xdr:from>
    <xdr:to>
      <xdr:col>44</xdr:col>
      <xdr:colOff>19050</xdr:colOff>
      <xdr:row>60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850428-AB6D-745C-028F-42D6E7C3A98B}"/>
            </a:ext>
          </a:extLst>
        </xdr:cNvPr>
        <xdr:cNvCxnSpPr/>
      </xdr:nvCxnSpPr>
      <xdr:spPr>
        <a:xfrm flipH="1">
          <a:off x="49234725" y="228600"/>
          <a:ext cx="19050" cy="11229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19050</xdr:colOff>
      <xdr:row>0</xdr:row>
      <xdr:rowOff>180975</xdr:rowOff>
    </xdr:from>
    <xdr:to>
      <xdr:col>64</xdr:col>
      <xdr:colOff>19050</xdr:colOff>
      <xdr:row>60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74852EB-91A0-4526-BE20-A48BC0A2C188}"/>
            </a:ext>
          </a:extLst>
        </xdr:cNvPr>
        <xdr:cNvCxnSpPr/>
      </xdr:nvCxnSpPr>
      <xdr:spPr>
        <a:xfrm>
          <a:off x="64493775" y="180975"/>
          <a:ext cx="0" cy="11306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5000-0338-44CA-86C0-34D85EEF155A}">
  <dimension ref="B4:J56"/>
  <sheetViews>
    <sheetView tabSelected="1" workbookViewId="0">
      <selection activeCell="E13" sqref="E13"/>
    </sheetView>
  </sheetViews>
  <sheetFormatPr defaultRowHeight="15" x14ac:dyDescent="0.2"/>
  <cols>
    <col min="2" max="2" width="9.77734375" customWidth="1"/>
  </cols>
  <sheetData>
    <row r="4" spans="2:10" x14ac:dyDescent="0.2">
      <c r="B4" t="s">
        <v>6</v>
      </c>
      <c r="C4">
        <v>1966</v>
      </c>
      <c r="I4" t="s">
        <v>0</v>
      </c>
      <c r="J4">
        <v>162</v>
      </c>
    </row>
    <row r="5" spans="2:10" x14ac:dyDescent="0.2">
      <c r="B5" t="s">
        <v>7</v>
      </c>
      <c r="C5" t="s">
        <v>9</v>
      </c>
      <c r="I5" t="s">
        <v>1</v>
      </c>
      <c r="J5" s="1">
        <v>109.17852499999999</v>
      </c>
    </row>
    <row r="6" spans="2:10" x14ac:dyDescent="0.2">
      <c r="I6" t="s">
        <v>2</v>
      </c>
      <c r="J6" s="1">
        <f>+J4*J5</f>
        <v>17686.921049999997</v>
      </c>
    </row>
    <row r="7" spans="2:10" x14ac:dyDescent="0.2">
      <c r="I7" t="s">
        <v>3</v>
      </c>
      <c r="J7" s="1">
        <v>2058</v>
      </c>
    </row>
    <row r="8" spans="2:10" x14ac:dyDescent="0.2">
      <c r="I8" t="s">
        <v>4</v>
      </c>
      <c r="J8" s="1">
        <v>2882</v>
      </c>
    </row>
    <row r="9" spans="2:10" x14ac:dyDescent="0.2">
      <c r="I9" t="s">
        <v>5</v>
      </c>
      <c r="J9" s="1">
        <f>+J6-J7+J8</f>
        <v>18510.921049999997</v>
      </c>
    </row>
    <row r="13" spans="2:10" x14ac:dyDescent="0.2">
      <c r="B13" t="s">
        <v>81</v>
      </c>
    </row>
    <row r="14" spans="2:10" ht="15.75" x14ac:dyDescent="0.25">
      <c r="B14" t="s">
        <v>82</v>
      </c>
      <c r="C14" s="4" t="s">
        <v>84</v>
      </c>
      <c r="G14" s="5">
        <v>0.48</v>
      </c>
    </row>
    <row r="15" spans="2:10" x14ac:dyDescent="0.2">
      <c r="C15" t="s">
        <v>86</v>
      </c>
    </row>
    <row r="16" spans="2:10" ht="15.75" x14ac:dyDescent="0.25">
      <c r="B16" t="s">
        <v>83</v>
      </c>
      <c r="C16" s="4" t="s">
        <v>85</v>
      </c>
      <c r="G16" s="5">
        <v>0.52</v>
      </c>
    </row>
    <row r="17" spans="2:3" x14ac:dyDescent="0.2">
      <c r="C17" t="s">
        <v>87</v>
      </c>
    </row>
    <row r="19" spans="2:3" x14ac:dyDescent="0.2">
      <c r="B19" t="s">
        <v>88</v>
      </c>
    </row>
    <row r="21" spans="2:3" x14ac:dyDescent="0.2">
      <c r="B21" t="s">
        <v>89</v>
      </c>
    </row>
    <row r="23" spans="2:3" ht="15.75" x14ac:dyDescent="0.25">
      <c r="B23" s="4" t="s">
        <v>90</v>
      </c>
    </row>
    <row r="25" spans="2:3" x14ac:dyDescent="0.2">
      <c r="B25" t="s">
        <v>91</v>
      </c>
    </row>
    <row r="27" spans="2:3" x14ac:dyDescent="0.2">
      <c r="B27" t="s">
        <v>92</v>
      </c>
    </row>
    <row r="29" spans="2:3" x14ac:dyDescent="0.2">
      <c r="B29" t="s">
        <v>93</v>
      </c>
    </row>
    <row r="54" spans="2:2" x14ac:dyDescent="0.2">
      <c r="B54">
        <v>2010</v>
      </c>
    </row>
    <row r="55" spans="2:2" x14ac:dyDescent="0.2">
      <c r="B55" t="s">
        <v>8</v>
      </c>
    </row>
    <row r="56" spans="2:2" x14ac:dyDescent="0.2">
      <c r="B5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BED5-881C-439B-86B8-AC94EFC8E024}">
  <dimension ref="A1:DE60"/>
  <sheetViews>
    <sheetView workbookViewId="0">
      <pane xSplit="3" ySplit="6" topLeftCell="AF7" activePane="bottomRight" state="frozen"/>
      <selection pane="topRight" activeCell="D1" sqref="D1"/>
      <selection pane="bottomLeft" activeCell="A7" sqref="A7"/>
      <selection pane="bottomRight" activeCell="BD36" sqref="BD36"/>
    </sheetView>
  </sheetViews>
  <sheetFormatPr defaultRowHeight="15" x14ac:dyDescent="0.2"/>
  <cols>
    <col min="1" max="1" width="4.77734375" bestFit="1" customWidth="1"/>
    <col min="3" max="3" width="17.44140625" customWidth="1"/>
    <col min="44" max="44" width="9.88671875" bestFit="1" customWidth="1"/>
    <col min="78" max="78" width="10.44140625" bestFit="1" customWidth="1"/>
  </cols>
  <sheetData>
    <row r="1" spans="1:78" x14ac:dyDescent="0.2">
      <c r="A1" s="2" t="s">
        <v>11</v>
      </c>
    </row>
    <row r="4" spans="1:78" x14ac:dyDescent="0.2">
      <c r="BD4" s="1">
        <f t="shared" ref="BD4:BL4" si="0">+BD9-BC9</f>
        <v>453.88999999999942</v>
      </c>
      <c r="BE4" s="1">
        <f t="shared" si="0"/>
        <v>710.03499999999985</v>
      </c>
      <c r="BF4" s="1">
        <f t="shared" si="0"/>
        <v>3032.2950000000019</v>
      </c>
      <c r="BG4" s="1">
        <f t="shared" si="0"/>
        <v>3186.5839999999989</v>
      </c>
      <c r="BH4" s="1">
        <f t="shared" si="0"/>
        <v>1984</v>
      </c>
      <c r="BI4" s="1">
        <f t="shared" si="0"/>
        <v>2019</v>
      </c>
      <c r="BJ4" s="1">
        <f t="shared" si="0"/>
        <v>-402</v>
      </c>
      <c r="BK4" s="1">
        <f t="shared" si="0"/>
        <v>5819</v>
      </c>
      <c r="BL4" s="1">
        <f t="shared" si="0"/>
        <v>-5819</v>
      </c>
    </row>
    <row r="5" spans="1:78" x14ac:dyDescent="0.2">
      <c r="AQ5" s="3">
        <v>45535</v>
      </c>
      <c r="AR5" s="3">
        <v>45626</v>
      </c>
      <c r="AS5" s="3">
        <v>45716</v>
      </c>
      <c r="AT5" s="3">
        <v>45807</v>
      </c>
      <c r="AU5" s="3">
        <v>45900</v>
      </c>
      <c r="BC5" s="3">
        <v>42247</v>
      </c>
      <c r="BD5" s="3">
        <v>42613</v>
      </c>
      <c r="BE5" s="3">
        <v>42978</v>
      </c>
      <c r="BF5" s="3">
        <v>43343</v>
      </c>
      <c r="BG5" s="3">
        <v>43708</v>
      </c>
      <c r="BH5" s="3">
        <v>44074</v>
      </c>
      <c r="BI5" s="3">
        <v>44439</v>
      </c>
      <c r="BJ5" s="3">
        <v>44804</v>
      </c>
      <c r="BK5" s="3">
        <v>45169</v>
      </c>
      <c r="BL5" s="3">
        <v>45535</v>
      </c>
    </row>
    <row r="6" spans="1:78" x14ac:dyDescent="0.2"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  <c r="AF6" t="s">
        <v>40</v>
      </c>
      <c r="AG6" t="s">
        <v>41</v>
      </c>
      <c r="AH6" t="s">
        <v>42</v>
      </c>
      <c r="AI6" t="s">
        <v>43</v>
      </c>
      <c r="AJ6" t="s">
        <v>44</v>
      </c>
      <c r="AK6" t="s">
        <v>45</v>
      </c>
      <c r="AL6" t="s">
        <v>46</v>
      </c>
      <c r="AM6" t="s">
        <v>47</v>
      </c>
      <c r="AN6" t="s">
        <v>48</v>
      </c>
      <c r="AO6" t="s">
        <v>49</v>
      </c>
      <c r="AP6" t="s">
        <v>50</v>
      </c>
      <c r="AQ6" t="s">
        <v>51</v>
      </c>
      <c r="AR6" t="s">
        <v>104</v>
      </c>
      <c r="AS6" t="s">
        <v>105</v>
      </c>
      <c r="AT6" t="s">
        <v>106</v>
      </c>
      <c r="AU6" t="s">
        <v>107</v>
      </c>
      <c r="BC6">
        <v>2015</v>
      </c>
      <c r="BD6">
        <v>2016</v>
      </c>
      <c r="BE6">
        <v>2017</v>
      </c>
      <c r="BF6">
        <v>2018</v>
      </c>
      <c r="BG6">
        <v>2019</v>
      </c>
      <c r="BH6">
        <v>2020</v>
      </c>
      <c r="BI6">
        <f>+BH6+1</f>
        <v>2021</v>
      </c>
      <c r="BJ6">
        <f t="shared" ref="BJ6:BW6" si="1">+BI6+1</f>
        <v>2022</v>
      </c>
      <c r="BK6">
        <f t="shared" si="1"/>
        <v>2023</v>
      </c>
      <c r="BL6">
        <f t="shared" si="1"/>
        <v>2024</v>
      </c>
      <c r="BM6">
        <f t="shared" si="1"/>
        <v>2025</v>
      </c>
      <c r="BN6">
        <f t="shared" si="1"/>
        <v>2026</v>
      </c>
      <c r="BO6">
        <f t="shared" si="1"/>
        <v>2027</v>
      </c>
      <c r="BP6">
        <f t="shared" si="1"/>
        <v>2028</v>
      </c>
      <c r="BQ6">
        <f t="shared" si="1"/>
        <v>2029</v>
      </c>
      <c r="BR6">
        <f t="shared" si="1"/>
        <v>2030</v>
      </c>
      <c r="BS6">
        <f t="shared" si="1"/>
        <v>2031</v>
      </c>
      <c r="BT6">
        <f t="shared" si="1"/>
        <v>2032</v>
      </c>
      <c r="BU6">
        <f t="shared" si="1"/>
        <v>2033</v>
      </c>
      <c r="BV6">
        <f t="shared" si="1"/>
        <v>2034</v>
      </c>
      <c r="BW6">
        <f t="shared" si="1"/>
        <v>2035</v>
      </c>
    </row>
    <row r="7" spans="1:78" s="1" customFormat="1" x14ac:dyDescent="0.2">
      <c r="C7" s="1" t="s">
        <v>82</v>
      </c>
      <c r="AJ7" s="1">
        <f t="shared" ref="AJ7" si="2">+AJ9*0.48</f>
        <v>4624.8</v>
      </c>
      <c r="AK7" s="1">
        <f t="shared" ref="AK7" si="3">+AK9*0.48</f>
        <v>3904.3199999999997</v>
      </c>
      <c r="AL7" s="1">
        <f t="shared" ref="AL7" si="4">+AL9*0.48</f>
        <v>4068</v>
      </c>
      <c r="AM7" s="1">
        <f t="shared" ref="AM7" si="5">+AM9*0.48</f>
        <v>4059.8399999999997</v>
      </c>
      <c r="AN7" s="1">
        <f t="shared" ref="AN7" si="6">+AN9*0.48</f>
        <v>4025.7599999999998</v>
      </c>
      <c r="AO7" s="1">
        <f t="shared" ref="AO7" si="7">+AO9*0.48</f>
        <v>3248.16</v>
      </c>
      <c r="AP7" s="1">
        <f t="shared" ref="AP7" si="8">+AP9*0.48</f>
        <v>3247.2</v>
      </c>
      <c r="AQ7" s="1">
        <f t="shared" ref="AQ7" si="9">+AQ9*0.48</f>
        <v>3342.72</v>
      </c>
      <c r="AR7" s="1">
        <f t="shared" ref="AR7" si="10">+AR9*0.48</f>
        <v>3357.12</v>
      </c>
      <c r="AS7" s="1">
        <f>+AO7*0.96</f>
        <v>3118.2335999999996</v>
      </c>
      <c r="AT7" s="1">
        <f t="shared" ref="AT7:AU8" si="11">+AP7*0.96</f>
        <v>3117.3119999999999</v>
      </c>
      <c r="AU7" s="1">
        <f t="shared" si="11"/>
        <v>3209.0111999999995</v>
      </c>
      <c r="BC7" s="1">
        <f t="shared" ref="BC7" si="12">+BC9*0.48</f>
        <v>8591.6140799999994</v>
      </c>
      <c r="BD7" s="1">
        <f t="shared" ref="BD7:BF7" si="13">+BD9*0.48</f>
        <v>8809.48128</v>
      </c>
      <c r="BE7" s="1">
        <f t="shared" si="13"/>
        <v>9150.2980799999987</v>
      </c>
      <c r="BF7" s="1">
        <f t="shared" si="13"/>
        <v>10605.79968</v>
      </c>
      <c r="BG7" s="1">
        <f t="shared" ref="BG7:BL7" si="14">+BG9*0.48</f>
        <v>12135.359999999999</v>
      </c>
      <c r="BH7" s="1">
        <f t="shared" si="14"/>
        <v>13087.68</v>
      </c>
      <c r="BI7" s="1">
        <f t="shared" si="14"/>
        <v>14056.8</v>
      </c>
      <c r="BJ7" s="1">
        <f t="shared" si="14"/>
        <v>13863.84</v>
      </c>
      <c r="BK7" s="1">
        <f t="shared" si="14"/>
        <v>16656.96</v>
      </c>
      <c r="BL7" s="1">
        <f t="shared" si="14"/>
        <v>13863.84</v>
      </c>
      <c r="BM7" s="1">
        <f>+BL7*0.98</f>
        <v>13586.563200000001</v>
      </c>
      <c r="BN7" s="1">
        <f t="shared" ref="BN7:BR7" si="15">+BM7*0.98</f>
        <v>13314.831936</v>
      </c>
      <c r="BO7" s="1">
        <f t="shared" si="15"/>
        <v>13048.535297280001</v>
      </c>
      <c r="BP7" s="1">
        <f t="shared" si="15"/>
        <v>12787.564591334401</v>
      </c>
      <c r="BQ7" s="1">
        <f t="shared" si="15"/>
        <v>12531.813299507714</v>
      </c>
      <c r="BR7" s="1">
        <f t="shared" si="15"/>
        <v>12281.177033517559</v>
      </c>
      <c r="BS7" s="1">
        <f>+BR7*0.9</f>
        <v>11053.059330165803</v>
      </c>
      <c r="BT7" s="1">
        <f t="shared" ref="BT7:BW7" si="16">+BS7*0.9</f>
        <v>9947.753397149223</v>
      </c>
      <c r="BU7" s="1">
        <f t="shared" si="16"/>
        <v>8952.9780574343004</v>
      </c>
      <c r="BV7" s="1">
        <f t="shared" si="16"/>
        <v>8057.6802516908701</v>
      </c>
      <c r="BW7" s="1">
        <f t="shared" si="16"/>
        <v>7251.9122265217829</v>
      </c>
    </row>
    <row r="8" spans="1:78" s="1" customFormat="1" x14ac:dyDescent="0.2">
      <c r="C8" s="1" t="s">
        <v>83</v>
      </c>
      <c r="AJ8" s="1">
        <f t="shared" ref="AJ8" si="17">+AJ9*0.52</f>
        <v>5010.2</v>
      </c>
      <c r="AK8" s="1">
        <f t="shared" ref="AK8" si="18">+AK9*0.52</f>
        <v>4229.68</v>
      </c>
      <c r="AL8" s="1">
        <f t="shared" ref="AL8" si="19">+AL9*0.52</f>
        <v>4407</v>
      </c>
      <c r="AM8" s="1">
        <f t="shared" ref="AM8" si="20">+AM9*0.52</f>
        <v>4398.16</v>
      </c>
      <c r="AN8" s="1">
        <f t="shared" ref="AN8" si="21">+AN9*0.52</f>
        <v>4361.24</v>
      </c>
      <c r="AO8" s="1">
        <f t="shared" ref="AO8" si="22">+AO9*0.52</f>
        <v>3518.84</v>
      </c>
      <c r="AP8" s="1">
        <f t="shared" ref="AP8" si="23">+AP9*0.52</f>
        <v>3517.8</v>
      </c>
      <c r="AQ8" s="1">
        <f t="shared" ref="AQ8" si="24">+AQ9*0.52</f>
        <v>3621.28</v>
      </c>
      <c r="AR8" s="1">
        <f t="shared" ref="AR8" si="25">+AR9*0.52</f>
        <v>3636.88</v>
      </c>
      <c r="AS8" s="1">
        <f>+AO8*0.96</f>
        <v>3378.0864000000001</v>
      </c>
      <c r="AT8" s="1">
        <f t="shared" si="11"/>
        <v>3377.0880000000002</v>
      </c>
      <c r="AU8" s="1">
        <f t="shared" si="11"/>
        <v>3476.4288000000001</v>
      </c>
      <c r="BC8" s="1">
        <f t="shared" ref="BC8:BF8" si="26">+BC9*0.52</f>
        <v>9307.5819200000005</v>
      </c>
      <c r="BD8" s="1">
        <f t="shared" si="26"/>
        <v>9543.6047199999994</v>
      </c>
      <c r="BE8" s="1">
        <f t="shared" si="26"/>
        <v>9912.8229200000005</v>
      </c>
      <c r="BF8" s="1">
        <f t="shared" si="26"/>
        <v>11489.616320000001</v>
      </c>
      <c r="BG8" s="1">
        <f t="shared" ref="BG8:BL8" si="27">+BG9*0.52</f>
        <v>13146.640000000001</v>
      </c>
      <c r="BH8" s="1">
        <f t="shared" si="27"/>
        <v>14178.32</v>
      </c>
      <c r="BI8" s="1">
        <f t="shared" si="27"/>
        <v>15228.2</v>
      </c>
      <c r="BJ8" s="1">
        <f t="shared" si="27"/>
        <v>15019.16</v>
      </c>
      <c r="BK8" s="1">
        <f t="shared" si="27"/>
        <v>18045.04</v>
      </c>
      <c r="BL8" s="1">
        <f t="shared" si="27"/>
        <v>15019.16</v>
      </c>
      <c r="BM8" s="1">
        <f>+BL8*0.98</f>
        <v>14718.7768</v>
      </c>
      <c r="BN8" s="1">
        <f t="shared" ref="BN8:BR8" si="28">+BM8*0.98</f>
        <v>14424.401264</v>
      </c>
      <c r="BO8" s="1">
        <f t="shared" si="28"/>
        <v>14135.913238720001</v>
      </c>
      <c r="BP8" s="1">
        <f t="shared" si="28"/>
        <v>13853.194973945601</v>
      </c>
      <c r="BQ8" s="1">
        <f t="shared" si="28"/>
        <v>13576.13107446669</v>
      </c>
      <c r="BR8" s="1">
        <f t="shared" si="28"/>
        <v>13304.608452977356</v>
      </c>
      <c r="BS8" s="1">
        <f>+BR8*0.9</f>
        <v>11974.147607679621</v>
      </c>
      <c r="BT8" s="1">
        <f t="shared" ref="BT8:BW8" si="29">+BS8*0.9</f>
        <v>10776.732846911658</v>
      </c>
      <c r="BU8" s="1">
        <f t="shared" si="29"/>
        <v>9699.0595622204928</v>
      </c>
      <c r="BV8" s="1">
        <f t="shared" si="29"/>
        <v>8729.1536059984446</v>
      </c>
      <c r="BW8" s="1">
        <f t="shared" si="29"/>
        <v>7856.2382453986002</v>
      </c>
    </row>
    <row r="9" spans="1:78" s="4" customFormat="1" ht="15.75" x14ac:dyDescent="0.25">
      <c r="C9" s="4" t="s">
        <v>68</v>
      </c>
      <c r="AJ9" s="4">
        <v>9635</v>
      </c>
      <c r="AK9" s="4">
        <v>8134</v>
      </c>
      <c r="AL9" s="4">
        <v>8475</v>
      </c>
      <c r="AM9" s="9">
        <f>+BK9-AL9-AK9-AJ9</f>
        <v>8458</v>
      </c>
      <c r="AN9" s="4">
        <v>8387</v>
      </c>
      <c r="AO9" s="4">
        <v>6767</v>
      </c>
      <c r="AP9" s="4">
        <v>6765</v>
      </c>
      <c r="AQ9" s="9">
        <f>+BL9-AP9-AO9-AN9</f>
        <v>6964</v>
      </c>
      <c r="AR9" s="4">
        <v>6994</v>
      </c>
      <c r="AS9" s="9">
        <f>+AS8+AS7</f>
        <v>6496.32</v>
      </c>
      <c r="AT9" s="9">
        <f>+AT8+AT7</f>
        <v>6494.4</v>
      </c>
      <c r="AU9" s="9">
        <f>+AU8+AU7</f>
        <v>6685.44</v>
      </c>
      <c r="BC9" s="9">
        <v>17899.196</v>
      </c>
      <c r="BD9" s="9">
        <v>18353.085999999999</v>
      </c>
      <c r="BE9" s="9">
        <v>19063.120999999999</v>
      </c>
      <c r="BF9" s="9">
        <v>22095.416000000001</v>
      </c>
      <c r="BG9" s="9">
        <v>25282</v>
      </c>
      <c r="BH9" s="9">
        <v>27266</v>
      </c>
      <c r="BI9" s="9">
        <v>29285</v>
      </c>
      <c r="BJ9" s="9">
        <v>28883</v>
      </c>
      <c r="BK9" s="9">
        <v>34702</v>
      </c>
      <c r="BL9" s="9">
        <v>28883</v>
      </c>
      <c r="BM9" s="9">
        <f>+SUM(AR9:AU9)</f>
        <v>26670.16</v>
      </c>
      <c r="BN9" s="9">
        <f t="shared" ref="BN9:BW9" si="30">+BN7+BN8</f>
        <v>27739.233200000002</v>
      </c>
      <c r="BO9" s="9">
        <f t="shared" si="30"/>
        <v>27184.448536000004</v>
      </c>
      <c r="BP9" s="9">
        <f t="shared" si="30"/>
        <v>26640.759565280001</v>
      </c>
      <c r="BQ9" s="9">
        <f t="shared" si="30"/>
        <v>26107.944373974402</v>
      </c>
      <c r="BR9" s="9">
        <f t="shared" si="30"/>
        <v>25585.785486494915</v>
      </c>
      <c r="BS9" s="9">
        <f t="shared" si="30"/>
        <v>23027.206937845425</v>
      </c>
      <c r="BT9" s="9">
        <f t="shared" si="30"/>
        <v>20724.486244060881</v>
      </c>
      <c r="BU9" s="9">
        <f t="shared" si="30"/>
        <v>18652.037619654795</v>
      </c>
      <c r="BV9" s="9">
        <f t="shared" si="30"/>
        <v>16786.833857689315</v>
      </c>
      <c r="BW9" s="9">
        <f t="shared" si="30"/>
        <v>15108.150471920384</v>
      </c>
    </row>
    <row r="10" spans="1:78" x14ac:dyDescent="0.2">
      <c r="C10" t="s">
        <v>69</v>
      </c>
      <c r="AJ10">
        <v>8892</v>
      </c>
      <c r="AK10">
        <v>7473</v>
      </c>
      <c r="AL10">
        <v>7778</v>
      </c>
      <c r="AM10" s="1">
        <f>+BK10-AL10-AK10-AJ10</f>
        <v>7692</v>
      </c>
      <c r="AN10">
        <v>7612</v>
      </c>
      <c r="AO10">
        <v>6137</v>
      </c>
      <c r="AP10">
        <v>6157</v>
      </c>
      <c r="AQ10" s="1">
        <f>+BL10-AP10-AO10-AN10</f>
        <v>6301</v>
      </c>
      <c r="AR10">
        <v>6388</v>
      </c>
      <c r="AS10" s="1">
        <f>+AS9*0.9</f>
        <v>5846.6880000000001</v>
      </c>
      <c r="BC10" s="1">
        <v>16395.977999999999</v>
      </c>
      <c r="BD10" s="1">
        <v>16825.382000000001</v>
      </c>
      <c r="BE10" s="1">
        <v>17517.477999999999</v>
      </c>
      <c r="BF10" s="1">
        <v>20388.624</v>
      </c>
      <c r="BG10" s="1">
        <v>23369</v>
      </c>
      <c r="BH10" s="1">
        <v>25335</v>
      </c>
      <c r="BI10" s="1">
        <v>26926</v>
      </c>
      <c r="BJ10" s="1">
        <v>26207</v>
      </c>
      <c r="BK10" s="1">
        <v>31835</v>
      </c>
      <c r="BL10" s="1">
        <v>26207</v>
      </c>
      <c r="BM10" s="1">
        <f>+BM9*0.9</f>
        <v>24003.144</v>
      </c>
      <c r="BN10" s="1">
        <f t="shared" ref="BN10:BW10" si="31">+BN9*0.9</f>
        <v>24965.309880000004</v>
      </c>
      <c r="BO10" s="1">
        <f t="shared" si="31"/>
        <v>24466.003682400005</v>
      </c>
      <c r="BP10" s="1">
        <f t="shared" si="31"/>
        <v>23976.683608752002</v>
      </c>
      <c r="BQ10" s="1">
        <f t="shared" si="31"/>
        <v>23497.149936576963</v>
      </c>
      <c r="BR10" s="1">
        <f t="shared" si="31"/>
        <v>23027.206937845425</v>
      </c>
      <c r="BS10" s="1">
        <f t="shared" si="31"/>
        <v>20724.486244060885</v>
      </c>
      <c r="BT10" s="1">
        <f t="shared" si="31"/>
        <v>18652.037619654795</v>
      </c>
      <c r="BU10" s="1">
        <f t="shared" si="31"/>
        <v>16786.833857689315</v>
      </c>
      <c r="BV10" s="1">
        <f t="shared" si="31"/>
        <v>15108.150471920384</v>
      </c>
      <c r="BW10" s="1">
        <f t="shared" si="31"/>
        <v>13597.335424728346</v>
      </c>
    </row>
    <row r="11" spans="1:78" x14ac:dyDescent="0.2">
      <c r="C11" t="s">
        <v>70</v>
      </c>
      <c r="AJ11">
        <f t="shared" ref="AJ11:AS11" si="32">+AJ9-AJ10</f>
        <v>743</v>
      </c>
      <c r="AK11">
        <f t="shared" si="32"/>
        <v>661</v>
      </c>
      <c r="AL11">
        <f t="shared" si="32"/>
        <v>697</v>
      </c>
      <c r="AM11">
        <f t="shared" si="32"/>
        <v>766</v>
      </c>
      <c r="AN11">
        <f t="shared" si="32"/>
        <v>775</v>
      </c>
      <c r="AO11">
        <f t="shared" si="32"/>
        <v>630</v>
      </c>
      <c r="AP11">
        <f t="shared" si="32"/>
        <v>608</v>
      </c>
      <c r="AQ11">
        <f t="shared" si="32"/>
        <v>663</v>
      </c>
      <c r="AR11">
        <f t="shared" si="32"/>
        <v>606</v>
      </c>
      <c r="AS11" s="1">
        <f t="shared" si="32"/>
        <v>649.63199999999961</v>
      </c>
      <c r="BC11" s="1">
        <f t="shared" ref="BC11:BL11" si="33">+BC9-BC10</f>
        <v>1503.2180000000008</v>
      </c>
      <c r="BD11" s="1">
        <f t="shared" si="33"/>
        <v>1527.7039999999979</v>
      </c>
      <c r="BE11" s="1">
        <f t="shared" si="33"/>
        <v>1545.643</v>
      </c>
      <c r="BF11" s="1">
        <f t="shared" si="33"/>
        <v>1706.7920000000013</v>
      </c>
      <c r="BG11" s="1">
        <f t="shared" si="33"/>
        <v>1913</v>
      </c>
      <c r="BH11" s="1">
        <f t="shared" si="33"/>
        <v>1931</v>
      </c>
      <c r="BI11" s="1">
        <f t="shared" si="33"/>
        <v>2359</v>
      </c>
      <c r="BJ11" s="1">
        <f t="shared" si="33"/>
        <v>2676</v>
      </c>
      <c r="BK11" s="1">
        <f t="shared" si="33"/>
        <v>2867</v>
      </c>
      <c r="BL11" s="1">
        <f t="shared" si="33"/>
        <v>2676</v>
      </c>
      <c r="BM11" s="1">
        <f t="shared" ref="BM11:BW11" si="34">+BM9-BM10</f>
        <v>2667.0159999999996</v>
      </c>
      <c r="BN11" s="1">
        <f t="shared" si="34"/>
        <v>2773.9233199999981</v>
      </c>
      <c r="BO11" s="1">
        <f t="shared" si="34"/>
        <v>2718.4448535999982</v>
      </c>
      <c r="BP11" s="1">
        <f t="shared" si="34"/>
        <v>2664.0759565279986</v>
      </c>
      <c r="BQ11" s="1">
        <f t="shared" si="34"/>
        <v>2610.7944373974387</v>
      </c>
      <c r="BR11" s="1">
        <f t="shared" si="34"/>
        <v>2558.5785486494897</v>
      </c>
      <c r="BS11" s="1">
        <f t="shared" si="34"/>
        <v>2302.7206937845403</v>
      </c>
      <c r="BT11" s="1">
        <f t="shared" si="34"/>
        <v>2072.4486244060863</v>
      </c>
      <c r="BU11" s="1">
        <f t="shared" si="34"/>
        <v>1865.2037619654802</v>
      </c>
      <c r="BV11" s="1">
        <f t="shared" si="34"/>
        <v>1678.6833857689307</v>
      </c>
      <c r="BW11" s="1">
        <f t="shared" si="34"/>
        <v>1510.815047192038</v>
      </c>
    </row>
    <row r="12" spans="1:78" x14ac:dyDescent="0.2">
      <c r="C12" t="s">
        <v>71</v>
      </c>
      <c r="AJ12">
        <v>319</v>
      </c>
      <c r="AK12">
        <v>285</v>
      </c>
      <c r="AL12">
        <v>307</v>
      </c>
      <c r="AM12" s="1">
        <f>+BK12-AL12-AK12-AJ12</f>
        <v>295</v>
      </c>
      <c r="AN12">
        <v>314</v>
      </c>
      <c r="AO12">
        <v>308</v>
      </c>
      <c r="AP12">
        <v>268</v>
      </c>
      <c r="AQ12" s="1">
        <f>+BL12-AP12-AO12-AN12</f>
        <v>270</v>
      </c>
      <c r="AR12">
        <v>305</v>
      </c>
      <c r="AS12" s="1">
        <f>+AR12*1.02</f>
        <v>311.10000000000002</v>
      </c>
      <c r="BC12" s="1">
        <v>862.64700000000005</v>
      </c>
      <c r="BD12" s="1">
        <v>924.42700000000002</v>
      </c>
      <c r="BE12" s="1">
        <v>907.702</v>
      </c>
      <c r="BF12" s="1">
        <v>1050.7159999999999</v>
      </c>
      <c r="BG12" s="1">
        <v>1111</v>
      </c>
      <c r="BH12" s="1">
        <v>1175</v>
      </c>
      <c r="BI12" s="1">
        <v>1213</v>
      </c>
      <c r="BJ12" s="1">
        <v>1160</v>
      </c>
      <c r="BK12" s="1">
        <v>1206</v>
      </c>
      <c r="BL12" s="1">
        <v>1160</v>
      </c>
      <c r="BM12" s="1">
        <f>+BL12*0.9</f>
        <v>1044</v>
      </c>
      <c r="BN12" s="1">
        <f>+BM12*0.94</f>
        <v>981.3599999999999</v>
      </c>
      <c r="BO12" s="1">
        <f t="shared" ref="BO12:BW12" si="35">+BN12*0.94</f>
        <v>922.47839999999985</v>
      </c>
      <c r="BP12" s="1">
        <f t="shared" si="35"/>
        <v>867.12969599999985</v>
      </c>
      <c r="BQ12" s="1">
        <f t="shared" si="35"/>
        <v>815.10191423999981</v>
      </c>
      <c r="BR12" s="1">
        <f t="shared" si="35"/>
        <v>766.1957993855998</v>
      </c>
      <c r="BS12" s="1">
        <f t="shared" si="35"/>
        <v>720.22405142246373</v>
      </c>
      <c r="BT12" s="1">
        <f t="shared" si="35"/>
        <v>677.01060833711585</v>
      </c>
      <c r="BU12" s="1">
        <f t="shared" si="35"/>
        <v>636.38997183688889</v>
      </c>
      <c r="BV12" s="1">
        <f t="shared" si="35"/>
        <v>598.20657352667547</v>
      </c>
      <c r="BW12" s="1">
        <f t="shared" si="35"/>
        <v>562.31417911507492</v>
      </c>
    </row>
    <row r="13" spans="1:78" x14ac:dyDescent="0.2">
      <c r="C13" t="s">
        <v>72</v>
      </c>
      <c r="AJ13">
        <v>9</v>
      </c>
      <c r="AK13">
        <v>8</v>
      </c>
      <c r="AL13">
        <v>8</v>
      </c>
      <c r="AM13" s="1">
        <f>+BK13-AL13-AK13-AJ13</f>
        <v>9</v>
      </c>
      <c r="AN13">
        <v>10</v>
      </c>
      <c r="AO13">
        <v>10</v>
      </c>
      <c r="AP13">
        <v>9</v>
      </c>
      <c r="AQ13" s="1">
        <f>+BL13-AP13-AO13-AN13</f>
        <v>10</v>
      </c>
      <c r="AR13">
        <v>8</v>
      </c>
      <c r="AS13" s="1">
        <f>+AR13*1.02</f>
        <v>8.16</v>
      </c>
      <c r="BC13" s="1">
        <v>27.645</v>
      </c>
      <c r="BD13" s="1">
        <v>31.954000000000001</v>
      </c>
      <c r="BE13" s="1">
        <v>29.68</v>
      </c>
      <c r="BF13" s="1">
        <v>38.530999999999999</v>
      </c>
      <c r="BG13" s="1">
        <v>43</v>
      </c>
      <c r="BH13" s="1">
        <v>43</v>
      </c>
      <c r="BI13" s="1">
        <v>34</v>
      </c>
      <c r="BJ13" s="1">
        <v>39</v>
      </c>
      <c r="BK13" s="1">
        <v>34</v>
      </c>
      <c r="BL13" s="1">
        <v>39</v>
      </c>
      <c r="BM13" s="1">
        <f>+BL13*1.01</f>
        <v>39.39</v>
      </c>
      <c r="BN13" s="1">
        <f t="shared" ref="BN13:BW13" si="36">+BM13*1.01</f>
        <v>39.783900000000003</v>
      </c>
      <c r="BO13" s="1">
        <f t="shared" si="36"/>
        <v>40.181739</v>
      </c>
      <c r="BP13" s="1">
        <f t="shared" si="36"/>
        <v>40.583556389999998</v>
      </c>
      <c r="BQ13" s="1">
        <f t="shared" si="36"/>
        <v>40.989391953899997</v>
      </c>
      <c r="BR13" s="1">
        <f t="shared" si="36"/>
        <v>41.399285873438998</v>
      </c>
      <c r="BS13" s="1">
        <f t="shared" si="36"/>
        <v>41.813278732173387</v>
      </c>
      <c r="BT13" s="1">
        <f t="shared" si="36"/>
        <v>42.231411519495119</v>
      </c>
      <c r="BU13" s="1">
        <f t="shared" si="36"/>
        <v>42.653725634690069</v>
      </c>
      <c r="BV13" s="1">
        <f t="shared" si="36"/>
        <v>43.080262891036973</v>
      </c>
      <c r="BW13" s="1">
        <f t="shared" si="36"/>
        <v>43.511065519947344</v>
      </c>
      <c r="BY13" t="s">
        <v>108</v>
      </c>
      <c r="BZ13" s="7">
        <v>-0.01</v>
      </c>
    </row>
    <row r="14" spans="1:78" x14ac:dyDescent="0.2">
      <c r="C14" t="s">
        <v>73</v>
      </c>
      <c r="AJ14">
        <f>45+8</f>
        <v>53</v>
      </c>
      <c r="AK14">
        <v>9</v>
      </c>
      <c r="AL14">
        <v>7</v>
      </c>
      <c r="AM14" s="1">
        <f>+BK14-AL14-AK14-AJ14</f>
        <v>21</v>
      </c>
      <c r="AN14">
        <f>6+127-15</f>
        <v>118</v>
      </c>
      <c r="AO14">
        <f>9+70+46-944</f>
        <v>-819</v>
      </c>
      <c r="AP14">
        <f>12+55+3</f>
        <v>70</v>
      </c>
      <c r="AQ14" s="1">
        <f>+BL14-AP14-AO14-AN14</f>
        <v>95</v>
      </c>
      <c r="AR14">
        <f>13+83</f>
        <v>96</v>
      </c>
      <c r="AS14" s="1">
        <f>+AR14*0.9</f>
        <v>86.4</v>
      </c>
      <c r="BC14" s="1">
        <f>24.449+33.066</f>
        <v>57.515000000000001</v>
      </c>
      <c r="BD14" s="1">
        <f>37.121+11.369</f>
        <v>48.49</v>
      </c>
      <c r="BE14" s="1">
        <f>35.524+160.395+2.112</f>
        <v>198.03100000000001</v>
      </c>
      <c r="BF14" s="1">
        <f>38.49+36.902</f>
        <v>75.391999999999996</v>
      </c>
      <c r="BG14" s="1">
        <f>32+26</f>
        <v>58</v>
      </c>
      <c r="BH14" s="1">
        <f>56+157</f>
        <v>213</v>
      </c>
      <c r="BI14" s="1">
        <f>47+10</f>
        <v>57</v>
      </c>
      <c r="BJ14" s="1">
        <f>40+70+296-942</f>
        <v>-536</v>
      </c>
      <c r="BK14" s="1">
        <f>33+57</f>
        <v>90</v>
      </c>
      <c r="BL14" s="1">
        <f>40+70+296-942</f>
        <v>-536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Y14" t="s">
        <v>109</v>
      </c>
      <c r="BZ14" s="7">
        <v>0.08</v>
      </c>
    </row>
    <row r="15" spans="1:78" x14ac:dyDescent="0.2">
      <c r="C15" t="s">
        <v>74</v>
      </c>
      <c r="AJ15">
        <f t="shared" ref="AJ15:AS15" si="37">+AJ12+AJ13+AJ14</f>
        <v>381</v>
      </c>
      <c r="AK15">
        <f t="shared" si="37"/>
        <v>302</v>
      </c>
      <c r="AL15">
        <f t="shared" si="37"/>
        <v>322</v>
      </c>
      <c r="AM15">
        <f t="shared" si="37"/>
        <v>325</v>
      </c>
      <c r="AN15">
        <f t="shared" si="37"/>
        <v>442</v>
      </c>
      <c r="AO15">
        <f t="shared" si="37"/>
        <v>-501</v>
      </c>
      <c r="AP15">
        <f t="shared" si="37"/>
        <v>347</v>
      </c>
      <c r="AQ15">
        <f t="shared" si="37"/>
        <v>375</v>
      </c>
      <c r="AR15">
        <f t="shared" si="37"/>
        <v>409</v>
      </c>
      <c r="AS15" s="1">
        <f t="shared" si="37"/>
        <v>405.66000000000008</v>
      </c>
      <c r="BC15" s="1">
        <f t="shared" ref="BC15:BL15" si="38">+BC12+BC13+BC14</f>
        <v>947.80700000000002</v>
      </c>
      <c r="BD15" s="1">
        <f t="shared" si="38"/>
        <v>1004.871</v>
      </c>
      <c r="BE15" s="1">
        <f t="shared" si="38"/>
        <v>1135.413</v>
      </c>
      <c r="BF15" s="1">
        <f t="shared" si="38"/>
        <v>1164.6389999999999</v>
      </c>
      <c r="BG15" s="1">
        <f t="shared" si="38"/>
        <v>1212</v>
      </c>
      <c r="BH15" s="1">
        <f t="shared" si="38"/>
        <v>1431</v>
      </c>
      <c r="BI15" s="1">
        <f t="shared" si="38"/>
        <v>1304</v>
      </c>
      <c r="BJ15" s="1">
        <f t="shared" si="38"/>
        <v>663</v>
      </c>
      <c r="BK15" s="1">
        <f t="shared" si="38"/>
        <v>1330</v>
      </c>
      <c r="BL15" s="1">
        <f t="shared" si="38"/>
        <v>663</v>
      </c>
      <c r="BM15" s="1">
        <f t="shared" ref="BM15:BW15" si="39">+BM12+BM13+BM14</f>
        <v>1083.3900000000001</v>
      </c>
      <c r="BN15" s="1">
        <f t="shared" si="39"/>
        <v>1021.1438999999999</v>
      </c>
      <c r="BO15" s="1">
        <f t="shared" si="39"/>
        <v>962.66013899999984</v>
      </c>
      <c r="BP15" s="1">
        <f t="shared" si="39"/>
        <v>907.71325238999987</v>
      </c>
      <c r="BQ15" s="1">
        <f t="shared" si="39"/>
        <v>856.09130619389975</v>
      </c>
      <c r="BR15" s="1">
        <f t="shared" si="39"/>
        <v>807.5950852590388</v>
      </c>
      <c r="BS15" s="1">
        <f t="shared" si="39"/>
        <v>762.03733015463717</v>
      </c>
      <c r="BT15" s="1">
        <f t="shared" si="39"/>
        <v>719.24201985661102</v>
      </c>
      <c r="BU15" s="1">
        <f t="shared" si="39"/>
        <v>679.04369747157898</v>
      </c>
      <c r="BV15" s="1">
        <f t="shared" si="39"/>
        <v>641.28683641771249</v>
      </c>
      <c r="BW15" s="1">
        <f t="shared" si="39"/>
        <v>605.82524463502227</v>
      </c>
      <c r="BY15" t="s">
        <v>110</v>
      </c>
      <c r="BZ15" s="12">
        <f>+NPV(BZ14,BL21:DE21)</f>
        <v>10331.850622340393</v>
      </c>
    </row>
    <row r="16" spans="1:78" x14ac:dyDescent="0.2">
      <c r="C16" t="s">
        <v>75</v>
      </c>
      <c r="AJ16">
        <f>+AJ11-AJ15</f>
        <v>362</v>
      </c>
      <c r="AK16">
        <f>+AK11-AK15</f>
        <v>359</v>
      </c>
      <c r="AL16">
        <f>+AL11-AL15</f>
        <v>375</v>
      </c>
      <c r="AM16">
        <f>+AM11-AM15</f>
        <v>441</v>
      </c>
      <c r="AN16">
        <v>303</v>
      </c>
      <c r="AO16">
        <f>+AO11-AO15</f>
        <v>1131</v>
      </c>
      <c r="AP16">
        <f>+AP11-AP15</f>
        <v>261</v>
      </c>
      <c r="AQ16">
        <f>+AQ11-AQ15</f>
        <v>288</v>
      </c>
      <c r="AR16">
        <f>+AR11-AR15</f>
        <v>197</v>
      </c>
      <c r="AS16" s="1">
        <f>+AS11-AS15</f>
        <v>243.97199999999953</v>
      </c>
      <c r="BC16" s="1">
        <f t="shared" ref="BC16:BL16" si="40">+BC11-BC15</f>
        <v>555.41100000000074</v>
      </c>
      <c r="BD16" s="1">
        <f t="shared" si="40"/>
        <v>522.83299999999792</v>
      </c>
      <c r="BE16" s="1">
        <f t="shared" si="40"/>
        <v>410.23</v>
      </c>
      <c r="BF16" s="1">
        <f t="shared" si="40"/>
        <v>542.15300000000138</v>
      </c>
      <c r="BG16" s="1">
        <f t="shared" si="40"/>
        <v>701</v>
      </c>
      <c r="BH16" s="1">
        <f t="shared" si="40"/>
        <v>500</v>
      </c>
      <c r="BI16" s="1">
        <f t="shared" si="40"/>
        <v>1055</v>
      </c>
      <c r="BJ16" s="1">
        <f t="shared" si="40"/>
        <v>2013</v>
      </c>
      <c r="BK16" s="1">
        <f t="shared" si="40"/>
        <v>1537</v>
      </c>
      <c r="BL16" s="1">
        <f t="shared" si="40"/>
        <v>2013</v>
      </c>
      <c r="BM16" s="1">
        <f t="shared" ref="BM16:BW16" si="41">+BM11-BM15</f>
        <v>1583.6259999999995</v>
      </c>
      <c r="BN16" s="1">
        <f t="shared" si="41"/>
        <v>1752.779419999998</v>
      </c>
      <c r="BO16" s="1">
        <f t="shared" si="41"/>
        <v>1755.7847145999983</v>
      </c>
      <c r="BP16" s="1">
        <f t="shared" si="41"/>
        <v>1756.3627041379987</v>
      </c>
      <c r="BQ16" s="1">
        <f t="shared" si="41"/>
        <v>1754.703131203539</v>
      </c>
      <c r="BR16" s="1">
        <f t="shared" si="41"/>
        <v>1750.9834633904509</v>
      </c>
      <c r="BS16" s="1">
        <f t="shared" si="41"/>
        <v>1540.6833636299032</v>
      </c>
      <c r="BT16" s="1">
        <f t="shared" si="41"/>
        <v>1353.2066045494753</v>
      </c>
      <c r="BU16" s="1">
        <f t="shared" si="41"/>
        <v>1186.1600644939012</v>
      </c>
      <c r="BV16" s="1">
        <f t="shared" si="41"/>
        <v>1037.3965493512183</v>
      </c>
      <c r="BW16" s="1">
        <f t="shared" si="41"/>
        <v>904.98980255701576</v>
      </c>
      <c r="BY16" t="s">
        <v>111</v>
      </c>
      <c r="BZ16" s="6">
        <f>+BZ15/main!J5</f>
        <v>94.632626904790968</v>
      </c>
    </row>
    <row r="17" spans="3:109" x14ac:dyDescent="0.2">
      <c r="C17" t="s">
        <v>76</v>
      </c>
      <c r="AJ17">
        <v>48</v>
      </c>
      <c r="AK17">
        <v>55</v>
      </c>
      <c r="AL17">
        <v>51</v>
      </c>
      <c r="AM17" s="1">
        <f>+BK17-AL17-AK17-AJ17</f>
        <v>52</v>
      </c>
      <c r="AN17">
        <v>47</v>
      </c>
      <c r="AO17">
        <v>47</v>
      </c>
      <c r="AP17">
        <v>38</v>
      </c>
      <c r="AQ17" s="1">
        <f>+BL17-AP17-AO17-AN17</f>
        <v>41</v>
      </c>
      <c r="AR17">
        <v>38</v>
      </c>
      <c r="AS17" s="1">
        <f>+AR17*1.05</f>
        <v>39.9</v>
      </c>
      <c r="BC17" s="1">
        <f>128.091-9.953</f>
        <v>118.13800000000001</v>
      </c>
      <c r="BD17" s="1">
        <f>136.536-9.128</f>
        <v>127.408</v>
      </c>
      <c r="BE17" s="1">
        <f>138.074-12.525</f>
        <v>125.54900000000001</v>
      </c>
      <c r="BF17" s="1">
        <f>149.002-17.813</f>
        <v>131.18900000000002</v>
      </c>
      <c r="BG17" s="1">
        <f>-21+188</f>
        <v>167</v>
      </c>
      <c r="BH17" s="1">
        <f>-15+174</f>
        <v>159</v>
      </c>
      <c r="BI17" s="1">
        <f>130-6</f>
        <v>124</v>
      </c>
      <c r="BJ17" s="1">
        <v>173</v>
      </c>
      <c r="BK17" s="1">
        <v>206</v>
      </c>
      <c r="BL17" s="1">
        <v>173</v>
      </c>
      <c r="BM17" s="1">
        <f>+BL17*1.03</f>
        <v>178.19</v>
      </c>
      <c r="BN17" s="1">
        <f t="shared" ref="BN17:BW17" si="42">+BM17*1.03</f>
        <v>183.53569999999999</v>
      </c>
      <c r="BO17" s="1">
        <f t="shared" si="42"/>
        <v>189.04177099999998</v>
      </c>
      <c r="BP17" s="1">
        <f t="shared" si="42"/>
        <v>194.71302412999998</v>
      </c>
      <c r="BQ17" s="1">
        <f t="shared" si="42"/>
        <v>200.55441485389997</v>
      </c>
      <c r="BR17" s="1">
        <f t="shared" si="42"/>
        <v>206.57104729951698</v>
      </c>
      <c r="BS17" s="1">
        <f t="shared" si="42"/>
        <v>212.7681787185025</v>
      </c>
      <c r="BT17" s="1">
        <f t="shared" si="42"/>
        <v>219.15122408005757</v>
      </c>
      <c r="BU17" s="1">
        <f t="shared" si="42"/>
        <v>225.72576080245932</v>
      </c>
      <c r="BV17" s="1">
        <f t="shared" si="42"/>
        <v>232.49753362653311</v>
      </c>
      <c r="BW17" s="1">
        <f t="shared" si="42"/>
        <v>239.4724596353291</v>
      </c>
      <c r="BY17" t="s">
        <v>112</v>
      </c>
      <c r="BZ17">
        <f>+main!J4</f>
        <v>162</v>
      </c>
    </row>
    <row r="18" spans="3:109" x14ac:dyDescent="0.2">
      <c r="C18" t="s">
        <v>63</v>
      </c>
      <c r="AJ18">
        <v>15</v>
      </c>
      <c r="AK18">
        <v>17</v>
      </c>
      <c r="AL18">
        <v>18</v>
      </c>
      <c r="AM18" s="1">
        <f>+BK18-AL18-AK18-AJ18</f>
        <v>19</v>
      </c>
      <c r="AN18">
        <v>21</v>
      </c>
      <c r="AO18">
        <v>22</v>
      </c>
      <c r="AP18">
        <v>22</v>
      </c>
      <c r="AQ18" s="1">
        <f>+BL18-AP18-AO18-AN18</f>
        <v>24</v>
      </c>
      <c r="AR18">
        <v>20</v>
      </c>
      <c r="AS18" s="1">
        <v>22</v>
      </c>
      <c r="BC18" s="1">
        <v>5.6269999999999998</v>
      </c>
      <c r="BD18" s="1">
        <v>8.3800000000000008</v>
      </c>
      <c r="BE18" s="1">
        <v>28.448</v>
      </c>
      <c r="BF18" s="1">
        <v>37.563000000000002</v>
      </c>
      <c r="BG18" s="1">
        <f>30+53</f>
        <v>83</v>
      </c>
      <c r="BH18" s="1">
        <f>49+31</f>
        <v>80</v>
      </c>
      <c r="BI18" s="1">
        <f>-2-11</f>
        <v>-13</v>
      </c>
      <c r="BJ18" s="1">
        <v>89</v>
      </c>
      <c r="BK18" s="1">
        <v>69</v>
      </c>
      <c r="BL18" s="1">
        <v>89</v>
      </c>
      <c r="BM18" s="1">
        <f>+BL18*0.9</f>
        <v>80.100000000000009</v>
      </c>
      <c r="BN18" s="1">
        <f t="shared" ref="BN18:BW18" si="43">+BM18*0.9</f>
        <v>72.09</v>
      </c>
      <c r="BO18" s="1">
        <f t="shared" si="43"/>
        <v>64.881</v>
      </c>
      <c r="BP18" s="1">
        <f t="shared" si="43"/>
        <v>58.392900000000004</v>
      </c>
      <c r="BQ18" s="1">
        <f t="shared" si="43"/>
        <v>52.553610000000006</v>
      </c>
      <c r="BR18" s="1">
        <f t="shared" si="43"/>
        <v>47.298249000000006</v>
      </c>
      <c r="BS18" s="1">
        <f t="shared" si="43"/>
        <v>42.568424100000009</v>
      </c>
      <c r="BT18" s="1">
        <f t="shared" si="43"/>
        <v>38.311581690000011</v>
      </c>
      <c r="BU18" s="1">
        <f t="shared" si="43"/>
        <v>34.480423521000013</v>
      </c>
      <c r="BV18" s="1">
        <f t="shared" si="43"/>
        <v>31.032381168900013</v>
      </c>
      <c r="BW18" s="1">
        <f t="shared" si="43"/>
        <v>27.929143052010012</v>
      </c>
      <c r="BY18" t="s">
        <v>113</v>
      </c>
      <c r="BZ18" s="7">
        <f>+BZ16/BZ17-1</f>
        <v>-0.4158479820691916</v>
      </c>
    </row>
    <row r="19" spans="3:109" x14ac:dyDescent="0.2">
      <c r="C19" t="s">
        <v>77</v>
      </c>
      <c r="AJ19">
        <f t="shared" ref="AJ19:AS19" si="44">+AJ16-AJ17-AJ18</f>
        <v>299</v>
      </c>
      <c r="AK19">
        <f t="shared" si="44"/>
        <v>287</v>
      </c>
      <c r="AL19">
        <f t="shared" si="44"/>
        <v>306</v>
      </c>
      <c r="AM19">
        <f t="shared" si="44"/>
        <v>370</v>
      </c>
      <c r="AN19">
        <f t="shared" si="44"/>
        <v>235</v>
      </c>
      <c r="AO19">
        <f t="shared" si="44"/>
        <v>1062</v>
      </c>
      <c r="AP19">
        <f t="shared" si="44"/>
        <v>201</v>
      </c>
      <c r="AQ19">
        <f t="shared" si="44"/>
        <v>223</v>
      </c>
      <c r="AR19">
        <f t="shared" si="44"/>
        <v>139</v>
      </c>
      <c r="AS19" s="1">
        <f t="shared" si="44"/>
        <v>182.07199999999952</v>
      </c>
      <c r="BC19" s="1">
        <f t="shared" ref="BC19:BL19" si="45">+BC16-BC17-BC18</f>
        <v>431.6460000000007</v>
      </c>
      <c r="BD19" s="1">
        <f t="shared" si="45"/>
        <v>387.04499999999791</v>
      </c>
      <c r="BE19" s="1">
        <f t="shared" si="45"/>
        <v>256.23300000000006</v>
      </c>
      <c r="BF19" s="1">
        <f t="shared" si="45"/>
        <v>373.40100000000137</v>
      </c>
      <c r="BG19" s="1">
        <f t="shared" si="45"/>
        <v>451</v>
      </c>
      <c r="BH19" s="1">
        <f t="shared" si="45"/>
        <v>261</v>
      </c>
      <c r="BI19" s="1">
        <f t="shared" si="45"/>
        <v>944</v>
      </c>
      <c r="BJ19" s="1">
        <f t="shared" si="45"/>
        <v>1751</v>
      </c>
      <c r="BK19" s="1">
        <f t="shared" si="45"/>
        <v>1262</v>
      </c>
      <c r="BL19" s="1">
        <f t="shared" si="45"/>
        <v>1751</v>
      </c>
      <c r="BM19" s="1">
        <f t="shared" ref="BM19:BW19" si="46">+BM16-BM17-BM18</f>
        <v>1325.3359999999996</v>
      </c>
      <c r="BN19" s="1">
        <f t="shared" si="46"/>
        <v>1497.1537199999982</v>
      </c>
      <c r="BO19" s="1">
        <f t="shared" si="46"/>
        <v>1501.8619435999983</v>
      </c>
      <c r="BP19" s="1">
        <f t="shared" si="46"/>
        <v>1503.2567800079987</v>
      </c>
      <c r="BQ19" s="1">
        <f t="shared" si="46"/>
        <v>1501.5951063496391</v>
      </c>
      <c r="BR19" s="1">
        <f t="shared" si="46"/>
        <v>1497.114167090934</v>
      </c>
      <c r="BS19" s="1">
        <f t="shared" si="46"/>
        <v>1285.3467608114008</v>
      </c>
      <c r="BT19" s="1">
        <f t="shared" si="46"/>
        <v>1095.7437987794178</v>
      </c>
      <c r="BU19" s="1">
        <f t="shared" si="46"/>
        <v>925.95388017044195</v>
      </c>
      <c r="BV19" s="1">
        <f t="shared" si="46"/>
        <v>773.86663455578514</v>
      </c>
      <c r="BW19" s="1">
        <f t="shared" si="46"/>
        <v>637.58819986967671</v>
      </c>
    </row>
    <row r="20" spans="3:109" x14ac:dyDescent="0.2">
      <c r="C20" t="s">
        <v>55</v>
      </c>
      <c r="AJ20">
        <v>76</v>
      </c>
      <c r="AK20">
        <v>80</v>
      </c>
      <c r="AL20">
        <v>73</v>
      </c>
      <c r="AM20" s="1">
        <f>+BK20-AL20-AK20-AJ20</f>
        <v>215</v>
      </c>
      <c r="AN20">
        <v>41</v>
      </c>
      <c r="AO20">
        <v>135</v>
      </c>
      <c r="AP20">
        <v>72</v>
      </c>
      <c r="AQ20" s="1">
        <f>+BL20-AP20-AO20-AN20</f>
        <v>115</v>
      </c>
      <c r="AR20">
        <v>39</v>
      </c>
      <c r="AS20" s="1">
        <f>+AS19*0.2</f>
        <v>36.414399999999908</v>
      </c>
      <c r="BC20" s="1">
        <v>137.64099999999999</v>
      </c>
      <c r="BD20" s="1">
        <v>132.149</v>
      </c>
      <c r="BE20" s="1">
        <v>129.066</v>
      </c>
      <c r="BF20" s="1">
        <v>285.86</v>
      </c>
      <c r="BG20" s="1">
        <v>162</v>
      </c>
      <c r="BH20" s="1">
        <v>204</v>
      </c>
      <c r="BI20" s="1">
        <v>246</v>
      </c>
      <c r="BJ20" s="1">
        <v>363</v>
      </c>
      <c r="BK20" s="1">
        <v>444</v>
      </c>
      <c r="BL20" s="1">
        <v>363</v>
      </c>
      <c r="BM20" s="1">
        <f>+BM19*0.19</f>
        <v>251.81383999999991</v>
      </c>
      <c r="BN20" s="1">
        <f t="shared" ref="BN20:BW20" si="47">+BN19*0.19</f>
        <v>284.45920679999966</v>
      </c>
      <c r="BO20" s="1">
        <f t="shared" si="47"/>
        <v>285.35376928399967</v>
      </c>
      <c r="BP20" s="1">
        <f t="shared" si="47"/>
        <v>285.61878820151975</v>
      </c>
      <c r="BQ20" s="1">
        <f t="shared" si="47"/>
        <v>285.30307020643141</v>
      </c>
      <c r="BR20" s="1">
        <f t="shared" si="47"/>
        <v>284.45169174727744</v>
      </c>
      <c r="BS20" s="1">
        <f t="shared" si="47"/>
        <v>244.21588455416617</v>
      </c>
      <c r="BT20" s="1">
        <f t="shared" si="47"/>
        <v>208.19132176808938</v>
      </c>
      <c r="BU20" s="1">
        <f t="shared" si="47"/>
        <v>175.93123723238398</v>
      </c>
      <c r="BV20" s="1">
        <f t="shared" si="47"/>
        <v>147.03466056559918</v>
      </c>
      <c r="BW20" s="1">
        <f t="shared" si="47"/>
        <v>121.14175797523858</v>
      </c>
    </row>
    <row r="21" spans="3:109" x14ac:dyDescent="0.2">
      <c r="C21" t="s">
        <v>79</v>
      </c>
      <c r="AJ21">
        <f t="shared" ref="AJ21:AS21" si="48">+AJ19-AJ20</f>
        <v>223</v>
      </c>
      <c r="AK21">
        <f t="shared" si="48"/>
        <v>207</v>
      </c>
      <c r="AL21">
        <f t="shared" si="48"/>
        <v>233</v>
      </c>
      <c r="AM21">
        <f t="shared" si="48"/>
        <v>155</v>
      </c>
      <c r="AN21">
        <f t="shared" si="48"/>
        <v>194</v>
      </c>
      <c r="AO21">
        <f t="shared" si="48"/>
        <v>927</v>
      </c>
      <c r="AP21">
        <f t="shared" si="48"/>
        <v>129</v>
      </c>
      <c r="AQ21">
        <f t="shared" si="48"/>
        <v>108</v>
      </c>
      <c r="AR21">
        <f t="shared" si="48"/>
        <v>100</v>
      </c>
      <c r="AS21" s="1">
        <f t="shared" si="48"/>
        <v>145.6575999999996</v>
      </c>
      <c r="BC21" s="1">
        <v>294.185</v>
      </c>
      <c r="BD21" s="1">
        <f t="shared" ref="BD21:BL21" si="49">+BD19-BD20</f>
        <v>254.89599999999791</v>
      </c>
      <c r="BE21" s="1">
        <f t="shared" si="49"/>
        <v>127.16700000000006</v>
      </c>
      <c r="BF21" s="1">
        <f t="shared" si="49"/>
        <v>87.541000000001361</v>
      </c>
      <c r="BG21" s="1">
        <f t="shared" si="49"/>
        <v>289</v>
      </c>
      <c r="BH21" s="1">
        <f t="shared" si="49"/>
        <v>57</v>
      </c>
      <c r="BI21" s="1">
        <f t="shared" si="49"/>
        <v>698</v>
      </c>
      <c r="BJ21" s="1">
        <f t="shared" si="49"/>
        <v>1388</v>
      </c>
      <c r="BK21" s="1">
        <f t="shared" si="49"/>
        <v>818</v>
      </c>
      <c r="BL21" s="1">
        <f t="shared" si="49"/>
        <v>1388</v>
      </c>
      <c r="BM21" s="1">
        <f t="shared" ref="BM21:BW21" si="50">+BM19-BM20</f>
        <v>1073.5221599999995</v>
      </c>
      <c r="BN21" s="1">
        <f t="shared" si="50"/>
        <v>1212.6945131999985</v>
      </c>
      <c r="BO21" s="1">
        <f t="shared" si="50"/>
        <v>1216.5081743159985</v>
      </c>
      <c r="BP21" s="1">
        <f t="shared" si="50"/>
        <v>1217.637991806479</v>
      </c>
      <c r="BQ21" s="1">
        <f t="shared" si="50"/>
        <v>1216.2920361432077</v>
      </c>
      <c r="BR21" s="1">
        <f t="shared" si="50"/>
        <v>1212.6624753436565</v>
      </c>
      <c r="BS21" s="1">
        <f t="shared" si="50"/>
        <v>1041.1308762572346</v>
      </c>
      <c r="BT21" s="1">
        <f t="shared" si="50"/>
        <v>887.55247701132839</v>
      </c>
      <c r="BU21" s="1">
        <f t="shared" si="50"/>
        <v>750.02264293805797</v>
      </c>
      <c r="BV21" s="1">
        <f t="shared" si="50"/>
        <v>626.83197399018593</v>
      </c>
      <c r="BW21" s="1">
        <f t="shared" si="50"/>
        <v>516.44644189443818</v>
      </c>
      <c r="BX21" s="1">
        <f>+BW21*(1+$BZ$13)</f>
        <v>511.28197747549382</v>
      </c>
      <c r="BY21" s="1">
        <f t="shared" ref="BY21:DE21" si="51">+BX21*(1+$BZ$13)</f>
        <v>506.16915770073888</v>
      </c>
      <c r="BZ21" s="1">
        <f t="shared" si="51"/>
        <v>501.10746612373151</v>
      </c>
      <c r="CA21" s="1">
        <f t="shared" si="51"/>
        <v>496.09639146249418</v>
      </c>
      <c r="CB21" s="1">
        <f t="shared" si="51"/>
        <v>491.13542754786926</v>
      </c>
      <c r="CC21" s="1">
        <f t="shared" si="51"/>
        <v>486.22407327239057</v>
      </c>
      <c r="CD21" s="1">
        <f t="shared" si="51"/>
        <v>481.36183253966664</v>
      </c>
      <c r="CE21" s="1">
        <f t="shared" si="51"/>
        <v>476.54821421426999</v>
      </c>
      <c r="CF21" s="1">
        <f t="shared" si="51"/>
        <v>471.78273207212726</v>
      </c>
      <c r="CG21" s="1">
        <f t="shared" si="51"/>
        <v>467.064904751406</v>
      </c>
      <c r="CH21" s="1">
        <f t="shared" si="51"/>
        <v>462.39425570389193</v>
      </c>
      <c r="CI21" s="1">
        <f t="shared" si="51"/>
        <v>457.77031314685303</v>
      </c>
      <c r="CJ21" s="1">
        <f t="shared" si="51"/>
        <v>453.1926100153845</v>
      </c>
      <c r="CK21" s="1">
        <f t="shared" si="51"/>
        <v>448.66068391523066</v>
      </c>
      <c r="CL21" s="1">
        <f t="shared" si="51"/>
        <v>444.17407707607833</v>
      </c>
      <c r="CM21" s="1">
        <f t="shared" si="51"/>
        <v>439.73233630531757</v>
      </c>
      <c r="CN21" s="1">
        <f t="shared" si="51"/>
        <v>435.33501294226437</v>
      </c>
      <c r="CO21" s="1">
        <f t="shared" si="51"/>
        <v>430.98166281284171</v>
      </c>
      <c r="CP21" s="1">
        <f t="shared" si="51"/>
        <v>426.67184618471327</v>
      </c>
      <c r="CQ21" s="1">
        <f t="shared" si="51"/>
        <v>422.40512772286615</v>
      </c>
      <c r="CR21" s="1">
        <f t="shared" si="51"/>
        <v>418.18107644563747</v>
      </c>
      <c r="CS21" s="1">
        <f t="shared" si="51"/>
        <v>413.9992656811811</v>
      </c>
      <c r="CT21" s="1">
        <f t="shared" si="51"/>
        <v>409.85927302436926</v>
      </c>
      <c r="CU21" s="1">
        <f t="shared" si="51"/>
        <v>405.76068029412556</v>
      </c>
      <c r="CV21" s="1">
        <f t="shared" si="51"/>
        <v>401.70307349118428</v>
      </c>
      <c r="CW21" s="1">
        <f t="shared" si="51"/>
        <v>397.68604275627246</v>
      </c>
      <c r="CX21" s="1">
        <f t="shared" si="51"/>
        <v>393.70918232870974</v>
      </c>
      <c r="CY21" s="1">
        <f t="shared" si="51"/>
        <v>389.77209050542263</v>
      </c>
      <c r="CZ21" s="1">
        <f t="shared" si="51"/>
        <v>385.87436960036837</v>
      </c>
      <c r="DA21" s="1">
        <f t="shared" si="51"/>
        <v>382.0156259043647</v>
      </c>
      <c r="DB21" s="1">
        <f t="shared" si="51"/>
        <v>378.19546964532105</v>
      </c>
      <c r="DC21" s="1">
        <f t="shared" si="51"/>
        <v>374.41351494886783</v>
      </c>
      <c r="DD21" s="1">
        <f t="shared" si="51"/>
        <v>370.66937979937916</v>
      </c>
      <c r="DE21" s="1">
        <f t="shared" si="51"/>
        <v>366.96268600138535</v>
      </c>
    </row>
    <row r="22" spans="3:109" s="6" customFormat="1" x14ac:dyDescent="0.2">
      <c r="C22" s="6" t="s">
        <v>95</v>
      </c>
      <c r="AJ22" s="6">
        <f t="shared" ref="AJ22:AS22" si="52">+AJ21/AJ23</f>
        <v>1.6159420289855073</v>
      </c>
      <c r="AK22" s="6">
        <f t="shared" si="52"/>
        <v>1.5187087307410123</v>
      </c>
      <c r="AL22" s="6">
        <f t="shared" si="52"/>
        <v>1.7246484085862326</v>
      </c>
      <c r="AM22" s="6">
        <f t="shared" si="52"/>
        <v>1.1358085002442599</v>
      </c>
      <c r="AN22" s="6">
        <f t="shared" si="52"/>
        <v>1.4685844057532174</v>
      </c>
      <c r="AO22" s="6">
        <f t="shared" si="52"/>
        <v>7.3049645390070923</v>
      </c>
      <c r="AP22" s="6">
        <f t="shared" si="52"/>
        <v>1.0599835661462613</v>
      </c>
      <c r="AQ22" s="6">
        <f t="shared" si="52"/>
        <v>0.85106382978723405</v>
      </c>
      <c r="AR22" s="6">
        <f t="shared" si="52"/>
        <v>0.8771929824561403</v>
      </c>
      <c r="AS22" s="6">
        <f t="shared" si="52"/>
        <v>1.1902561797752778</v>
      </c>
      <c r="BC22" s="6">
        <f t="shared" ref="BC22:BL22" si="53">+BC21/BC23</f>
        <v>1.5009055891431342</v>
      </c>
      <c r="BD22" s="6">
        <f t="shared" si="53"/>
        <v>1.3224176394293017</v>
      </c>
      <c r="BE22" s="6">
        <f t="shared" si="53"/>
        <v>0.68428954250476259</v>
      </c>
      <c r="BF22" s="6">
        <f t="shared" si="53"/>
        <v>0.50010854413748174</v>
      </c>
      <c r="BG22" s="6">
        <f t="shared" si="53"/>
        <v>1.8221941992433797</v>
      </c>
      <c r="BH22" s="6">
        <f t="shared" si="53"/>
        <v>0.36703155183515773</v>
      </c>
      <c r="BI22" s="6">
        <f t="shared" si="53"/>
        <v>4.5890861275476658</v>
      </c>
      <c r="BJ22" s="6">
        <f t="shared" si="53"/>
        <v>9.6121883656509688</v>
      </c>
      <c r="BK22" s="6">
        <f t="shared" si="53"/>
        <v>6.0191317144959529</v>
      </c>
      <c r="BL22" s="6">
        <f t="shared" si="53"/>
        <v>11.166532582461786</v>
      </c>
      <c r="BM22" s="6">
        <f t="shared" ref="BM22:BW22" si="54">+BM21/BM23</f>
        <v>8.4258945509487244</v>
      </c>
      <c r="BN22" s="6">
        <f t="shared" si="54"/>
        <v>9.2860828306332124</v>
      </c>
      <c r="BO22" s="6">
        <f t="shared" si="54"/>
        <v>9.0880834597658513</v>
      </c>
      <c r="BP22" s="6">
        <f t="shared" si="54"/>
        <v>8.8746574723230776</v>
      </c>
      <c r="BQ22" s="6">
        <f t="shared" si="54"/>
        <v>8.6486317870513592</v>
      </c>
      <c r="BR22" s="6">
        <f t="shared" si="54"/>
        <v>8.4125104743100767</v>
      </c>
      <c r="BS22" s="6">
        <f t="shared" si="54"/>
        <v>7.0463975170325721</v>
      </c>
      <c r="BT22" s="6">
        <f t="shared" si="54"/>
        <v>5.8604638127410569</v>
      </c>
      <c r="BU22" s="6">
        <f t="shared" si="54"/>
        <v>4.831572020670551</v>
      </c>
      <c r="BV22" s="6">
        <f t="shared" si="54"/>
        <v>3.9395023027491214</v>
      </c>
      <c r="BW22" s="6">
        <f t="shared" si="54"/>
        <v>3.1665885837558521</v>
      </c>
    </row>
    <row r="23" spans="3:109" s="1" customFormat="1" x14ac:dyDescent="0.2">
      <c r="C23" s="1" t="s">
        <v>1</v>
      </c>
      <c r="AJ23" s="1">
        <v>138</v>
      </c>
      <c r="AK23" s="1">
        <v>136.30000000000001</v>
      </c>
      <c r="AL23" s="1">
        <v>135.1</v>
      </c>
      <c r="AM23" s="1">
        <f>+AVERAGE(AJ23:AL23)</f>
        <v>136.46666666666667</v>
      </c>
      <c r="AN23" s="1">
        <v>132.1</v>
      </c>
      <c r="AO23" s="1">
        <v>126.9</v>
      </c>
      <c r="AP23" s="1">
        <v>121.7</v>
      </c>
      <c r="AQ23" s="1">
        <f>+AVERAGE(AN23:AP23)</f>
        <v>126.89999999999999</v>
      </c>
      <c r="AR23" s="1">
        <v>114</v>
      </c>
      <c r="AS23" s="1">
        <f>+AVERAGE(AO23:AR23)</f>
        <v>122.375</v>
      </c>
      <c r="BC23" s="1">
        <v>196.005</v>
      </c>
      <c r="BD23" s="1">
        <v>192.75</v>
      </c>
      <c r="BE23" s="1">
        <v>185.83799999999999</v>
      </c>
      <c r="BF23" s="1">
        <v>175.04400000000001</v>
      </c>
      <c r="BG23" s="1">
        <v>158.6</v>
      </c>
      <c r="BH23" s="1">
        <v>155.30000000000001</v>
      </c>
      <c r="BI23" s="1">
        <v>152.1</v>
      </c>
      <c r="BJ23" s="1">
        <v>144.4</v>
      </c>
      <c r="BK23" s="1">
        <v>135.9</v>
      </c>
      <c r="BL23" s="1">
        <v>124.3</v>
      </c>
      <c r="BM23" s="1">
        <f>+BL23*1.025</f>
        <v>127.40749999999998</v>
      </c>
      <c r="BN23" s="1">
        <f t="shared" ref="BN23:BW23" si="55">+BM23*1.025</f>
        <v>130.59268749999998</v>
      </c>
      <c r="BO23" s="1">
        <f t="shared" si="55"/>
        <v>133.85750468749998</v>
      </c>
      <c r="BP23" s="1">
        <f t="shared" si="55"/>
        <v>137.20394230468747</v>
      </c>
      <c r="BQ23" s="1">
        <f t="shared" si="55"/>
        <v>140.63404086230466</v>
      </c>
      <c r="BR23" s="1">
        <f t="shared" si="55"/>
        <v>144.14989188386227</v>
      </c>
      <c r="BS23" s="1">
        <f t="shared" si="55"/>
        <v>147.7536391809588</v>
      </c>
      <c r="BT23" s="1">
        <f t="shared" si="55"/>
        <v>151.44748016048277</v>
      </c>
      <c r="BU23" s="1">
        <f t="shared" si="55"/>
        <v>155.23366716449482</v>
      </c>
      <c r="BV23" s="1">
        <f t="shared" si="55"/>
        <v>159.11450884360718</v>
      </c>
      <c r="BW23" s="1">
        <f t="shared" si="55"/>
        <v>163.09237156469734</v>
      </c>
    </row>
    <row r="25" spans="3:109" s="7" customFormat="1" x14ac:dyDescent="0.2">
      <c r="C25" s="7" t="s">
        <v>96</v>
      </c>
      <c r="AN25" s="7">
        <f>+AN9/AJ9-1</f>
        <v>-0.12952776336273997</v>
      </c>
      <c r="AO25" s="7">
        <f>+AO9/AK9-1</f>
        <v>-0.16805999508237035</v>
      </c>
      <c r="AP25" s="7">
        <f>+AP9/AL9-1</f>
        <v>-0.2017699115044248</v>
      </c>
      <c r="AQ25" s="7">
        <f>+AQ9/AM9-1</f>
        <v>-0.17663750295578151</v>
      </c>
      <c r="AR25" s="7">
        <f>+AR9/AN9-1</f>
        <v>-0.16609037796589965</v>
      </c>
      <c r="AS25" s="7">
        <f>+AS9/AO9-1</f>
        <v>-4.0000000000000036E-2</v>
      </c>
      <c r="BE25" s="7">
        <f t="shared" ref="BE25:BL25" si="56">+BE9/BD9-1</f>
        <v>3.8687499203131193E-2</v>
      </c>
      <c r="BF25" s="7">
        <f t="shared" si="56"/>
        <v>0.15906603121283247</v>
      </c>
      <c r="BG25" s="7">
        <f t="shared" si="56"/>
        <v>0.14421923533822567</v>
      </c>
      <c r="BH25" s="7">
        <f t="shared" si="56"/>
        <v>7.8474804208527704E-2</v>
      </c>
      <c r="BI25" s="7">
        <f t="shared" si="56"/>
        <v>7.4048265238758848E-2</v>
      </c>
      <c r="BJ25" s="7">
        <f t="shared" si="56"/>
        <v>-1.372716407717256E-2</v>
      </c>
      <c r="BK25" s="7">
        <f t="shared" si="56"/>
        <v>0.20146799155212403</v>
      </c>
      <c r="BL25" s="7">
        <f t="shared" si="56"/>
        <v>-0.16768485966226732</v>
      </c>
      <c r="BM25" s="7">
        <f t="shared" ref="BM25" si="57">+BM9/BL9-1</f>
        <v>-7.6613925146279849E-2</v>
      </c>
    </row>
    <row r="26" spans="3:109" s="7" customFormat="1" x14ac:dyDescent="0.2">
      <c r="C26" s="7" t="s">
        <v>78</v>
      </c>
      <c r="AJ26" s="7">
        <f t="shared" ref="AJ26:AS26" si="58">+AJ11/AJ9</f>
        <v>7.7114686040477429E-2</v>
      </c>
      <c r="AK26" s="7">
        <f t="shared" si="58"/>
        <v>8.1263830833538234E-2</v>
      </c>
      <c r="AL26" s="7">
        <f t="shared" si="58"/>
        <v>8.2241887905604716E-2</v>
      </c>
      <c r="AM26" s="7">
        <f t="shared" si="58"/>
        <v>9.0565145424450225E-2</v>
      </c>
      <c r="AN26" s="7">
        <f t="shared" si="58"/>
        <v>9.240491236437344E-2</v>
      </c>
      <c r="AO26" s="7">
        <f t="shared" si="58"/>
        <v>9.3098862125018472E-2</v>
      </c>
      <c r="AP26" s="7">
        <f t="shared" si="58"/>
        <v>8.9874353288987435E-2</v>
      </c>
      <c r="AQ26" s="7">
        <f t="shared" si="58"/>
        <v>9.5203905801263644E-2</v>
      </c>
      <c r="AR26" s="7">
        <f t="shared" si="58"/>
        <v>8.6645696311123815E-2</v>
      </c>
      <c r="AS26" s="7">
        <f t="shared" si="58"/>
        <v>9.999999999999995E-2</v>
      </c>
      <c r="BC26" s="7">
        <f t="shared" ref="BC26:BL26" si="59">+BC11/BC9</f>
        <v>8.3982431389655762E-2</v>
      </c>
      <c r="BD26" s="7">
        <f t="shared" si="59"/>
        <v>8.3239625205265094E-2</v>
      </c>
      <c r="BE26" s="7">
        <f t="shared" si="59"/>
        <v>8.1080270119462602E-2</v>
      </c>
      <c r="BF26" s="7">
        <f t="shared" si="59"/>
        <v>7.7246429757194937E-2</v>
      </c>
      <c r="BG26" s="7">
        <f t="shared" si="59"/>
        <v>7.5666482082113753E-2</v>
      </c>
      <c r="BH26" s="7">
        <f t="shared" si="59"/>
        <v>7.0820802464607938E-2</v>
      </c>
      <c r="BI26" s="7">
        <f t="shared" si="59"/>
        <v>8.0553184224005467E-2</v>
      </c>
      <c r="BJ26" s="7">
        <f t="shared" si="59"/>
        <v>9.2649655506699444E-2</v>
      </c>
      <c r="BK26" s="7">
        <f t="shared" si="59"/>
        <v>8.2617716558123458E-2</v>
      </c>
      <c r="BL26" s="7">
        <f t="shared" si="59"/>
        <v>9.2649655506699444E-2</v>
      </c>
      <c r="BM26" s="7">
        <f t="shared" ref="BM26" si="60">+BM11/BM9</f>
        <v>9.9999999999999992E-2</v>
      </c>
    </row>
    <row r="27" spans="3:109" s="7" customFormat="1" x14ac:dyDescent="0.2">
      <c r="C27" s="7" t="s">
        <v>80</v>
      </c>
      <c r="AJ27" s="7">
        <f t="shared" ref="AJ27:AS27" si="61">+AJ20/AJ19</f>
        <v>0.25418060200668896</v>
      </c>
      <c r="AK27" s="7">
        <f t="shared" si="61"/>
        <v>0.27874564459930312</v>
      </c>
      <c r="AL27" s="7">
        <f t="shared" si="61"/>
        <v>0.23856209150326799</v>
      </c>
      <c r="AM27" s="7">
        <f t="shared" si="61"/>
        <v>0.58108108108108103</v>
      </c>
      <c r="AN27" s="7">
        <f t="shared" si="61"/>
        <v>0.17446808510638298</v>
      </c>
      <c r="AO27" s="7">
        <f t="shared" si="61"/>
        <v>0.1271186440677966</v>
      </c>
      <c r="AP27" s="7">
        <f t="shared" si="61"/>
        <v>0.35820895522388058</v>
      </c>
      <c r="AQ27" s="7">
        <f t="shared" si="61"/>
        <v>0.51569506726457404</v>
      </c>
      <c r="AR27" s="7">
        <f t="shared" si="61"/>
        <v>0.2805755395683453</v>
      </c>
      <c r="AS27" s="7">
        <f t="shared" si="61"/>
        <v>0.2</v>
      </c>
      <c r="BC27" s="7">
        <f t="shared" ref="BC27:BL27" si="62">+BC20/BC19</f>
        <v>0.31887472604865968</v>
      </c>
      <c r="BD27" s="7">
        <f t="shared" si="62"/>
        <v>0.34143058300714574</v>
      </c>
      <c r="BE27" s="7">
        <f t="shared" si="62"/>
        <v>0.50370561168936079</v>
      </c>
      <c r="BF27" s="7">
        <f t="shared" si="62"/>
        <v>0.76555767124351293</v>
      </c>
      <c r="BG27" s="7">
        <f t="shared" si="62"/>
        <v>0.35920177383592017</v>
      </c>
      <c r="BH27" s="7">
        <f t="shared" si="62"/>
        <v>0.7816091954022989</v>
      </c>
      <c r="BI27" s="7">
        <f t="shared" si="62"/>
        <v>0.26059322033898308</v>
      </c>
      <c r="BJ27" s="7">
        <f t="shared" si="62"/>
        <v>0.20731010850942319</v>
      </c>
      <c r="BK27" s="7">
        <f t="shared" si="62"/>
        <v>0.35182250396196513</v>
      </c>
      <c r="BL27" s="7">
        <f t="shared" si="62"/>
        <v>0.20731010850942319</v>
      </c>
      <c r="BM27" s="7">
        <f t="shared" ref="BM27" si="63">+BM20/BM19</f>
        <v>0.19</v>
      </c>
    </row>
    <row r="28" spans="3:109" s="7" customFormat="1" x14ac:dyDescent="0.2"/>
    <row r="29" spans="3:109" s="8" customFormat="1" x14ac:dyDescent="0.2">
      <c r="C29" s="8" t="s">
        <v>97</v>
      </c>
      <c r="BJ29" s="8">
        <v>1651</v>
      </c>
      <c r="BK29" s="8">
        <v>1734</v>
      </c>
      <c r="BL29" s="8">
        <v>1716</v>
      </c>
    </row>
    <row r="30" spans="3:109" s="1" customFormat="1" x14ac:dyDescent="0.2">
      <c r="C30" s="8" t="s">
        <v>98</v>
      </c>
      <c r="BJ30" s="1">
        <v>-858</v>
      </c>
      <c r="BK30" s="1">
        <v>-723</v>
      </c>
      <c r="BL30" s="1">
        <v>1351</v>
      </c>
    </row>
    <row r="31" spans="3:109" s="1" customFormat="1" x14ac:dyDescent="0.2">
      <c r="C31" s="8" t="s">
        <v>99</v>
      </c>
      <c r="BJ31" s="1">
        <v>-1385</v>
      </c>
      <c r="BK31" s="1">
        <v>-1030</v>
      </c>
      <c r="BL31" s="1">
        <v>-784</v>
      </c>
    </row>
    <row r="32" spans="3:109" s="9" customFormat="1" ht="15.75" x14ac:dyDescent="0.25">
      <c r="C32" s="10" t="s">
        <v>100</v>
      </c>
      <c r="BJ32" s="9">
        <f>+BJ29+BJ31</f>
        <v>266</v>
      </c>
      <c r="BK32" s="9">
        <f>+BK29+BK31</f>
        <v>704</v>
      </c>
      <c r="BL32" s="9">
        <f>+BL29+BL31</f>
        <v>932</v>
      </c>
    </row>
    <row r="33" spans="3:64" s="1" customFormat="1" x14ac:dyDescent="0.2">
      <c r="C33" s="8" t="s">
        <v>101</v>
      </c>
      <c r="BJ33" s="1">
        <v>-888</v>
      </c>
      <c r="BK33" s="1">
        <v>-680</v>
      </c>
      <c r="BL33" s="1">
        <v>-2668</v>
      </c>
    </row>
    <row r="34" spans="3:64" s="1" customFormat="1" x14ac:dyDescent="0.2">
      <c r="C34" s="8" t="s">
        <v>103</v>
      </c>
      <c r="BJ34" s="1">
        <v>6</v>
      </c>
      <c r="BK34" s="1">
        <v>-5</v>
      </c>
      <c r="BL34" s="1">
        <v>-2</v>
      </c>
    </row>
    <row r="35" spans="3:64" s="1" customFormat="1" x14ac:dyDescent="0.2">
      <c r="C35" s="8" t="s">
        <v>102</v>
      </c>
      <c r="BJ35" s="1">
        <f>+BJ29+BJ30+BJ33+BJ34</f>
        <v>-89</v>
      </c>
      <c r="BK35" s="1">
        <f>+BK29+BK30+BK33+BK34</f>
        <v>326</v>
      </c>
      <c r="BL35" s="1">
        <f>+BL29+BL30+BL33+BL34</f>
        <v>397</v>
      </c>
    </row>
    <row r="36" spans="3:64" x14ac:dyDescent="0.2">
      <c r="C36" s="7"/>
    </row>
    <row r="37" spans="3:64" x14ac:dyDescent="0.2">
      <c r="C37" s="7"/>
    </row>
    <row r="38" spans="3:64" x14ac:dyDescent="0.2">
      <c r="C38" t="s">
        <v>3</v>
      </c>
      <c r="BL38">
        <v>2201</v>
      </c>
    </row>
    <row r="39" spans="3:64" x14ac:dyDescent="0.2">
      <c r="C39" t="s">
        <v>52</v>
      </c>
      <c r="BL39">
        <f>3533+1071</f>
        <v>4604</v>
      </c>
    </row>
    <row r="40" spans="3:64" x14ac:dyDescent="0.2">
      <c r="C40" t="s">
        <v>53</v>
      </c>
      <c r="BL40">
        <v>4276</v>
      </c>
    </row>
    <row r="41" spans="3:64" x14ac:dyDescent="0.2">
      <c r="C41" t="s">
        <v>54</v>
      </c>
      <c r="BL41">
        <v>1710</v>
      </c>
    </row>
    <row r="42" spans="3:64" x14ac:dyDescent="0.2">
      <c r="C42" t="s">
        <v>55</v>
      </c>
      <c r="BL42">
        <v>96</v>
      </c>
    </row>
    <row r="43" spans="3:64" x14ac:dyDescent="0.2">
      <c r="C43" t="s">
        <v>56</v>
      </c>
      <c r="BL43">
        <v>3024</v>
      </c>
    </row>
    <row r="44" spans="3:64" x14ac:dyDescent="0.2">
      <c r="C44" t="s">
        <v>94</v>
      </c>
      <c r="BL44">
        <v>360</v>
      </c>
    </row>
    <row r="45" spans="3:64" x14ac:dyDescent="0.2">
      <c r="C45" t="s">
        <v>57</v>
      </c>
      <c r="BL45">
        <f>661+143</f>
        <v>804</v>
      </c>
    </row>
    <row r="46" spans="3:64" x14ac:dyDescent="0.2">
      <c r="C46" t="s">
        <v>58</v>
      </c>
      <c r="BL46">
        <v>276</v>
      </c>
    </row>
    <row r="47" spans="3:64" x14ac:dyDescent="0.2">
      <c r="C47" t="s">
        <v>59</v>
      </c>
      <c r="BL47">
        <f>+SUM(BL38:BL46)</f>
        <v>17351</v>
      </c>
    </row>
    <row r="50" spans="3:64" x14ac:dyDescent="0.2">
      <c r="C50" t="s">
        <v>4</v>
      </c>
      <c r="BL50">
        <v>2880</v>
      </c>
    </row>
    <row r="51" spans="3:64" x14ac:dyDescent="0.2">
      <c r="C51" t="s">
        <v>60</v>
      </c>
      <c r="BL51">
        <v>6190</v>
      </c>
    </row>
    <row r="52" spans="3:64" x14ac:dyDescent="0.2">
      <c r="C52" t="s">
        <v>61</v>
      </c>
      <c r="BL52">
        <v>5499</v>
      </c>
    </row>
    <row r="53" spans="3:64" x14ac:dyDescent="0.2">
      <c r="C53" t="s">
        <v>94</v>
      </c>
      <c r="BL53">
        <f>93+284</f>
        <v>377</v>
      </c>
    </row>
    <row r="54" spans="3:64" x14ac:dyDescent="0.2">
      <c r="C54" t="s">
        <v>62</v>
      </c>
      <c r="BL54">
        <f>143+109</f>
        <v>252</v>
      </c>
    </row>
    <row r="55" spans="3:64" x14ac:dyDescent="0.2">
      <c r="C55" t="s">
        <v>63</v>
      </c>
      <c r="BL55">
        <v>416</v>
      </c>
    </row>
    <row r="56" spans="3:64" x14ac:dyDescent="0.2">
      <c r="C56" t="s">
        <v>64</v>
      </c>
      <c r="BL56">
        <f>+SUM(BL50:BL55)</f>
        <v>15614</v>
      </c>
    </row>
    <row r="57" spans="3:64" x14ac:dyDescent="0.2">
      <c r="C57" t="s">
        <v>65</v>
      </c>
      <c r="BL57">
        <v>1737</v>
      </c>
    </row>
    <row r="58" spans="3:64" x14ac:dyDescent="0.2">
      <c r="C58" t="s">
        <v>66</v>
      </c>
      <c r="BL58">
        <f>+BL56+BL57</f>
        <v>17351</v>
      </c>
    </row>
    <row r="60" spans="3:64" s="11" customFormat="1" x14ac:dyDescent="0.2">
      <c r="C60" s="11" t="s">
        <v>67</v>
      </c>
      <c r="BL60" s="11">
        <v>933</v>
      </c>
    </row>
  </sheetData>
  <phoneticPr fontId="4" type="noConversion"/>
  <hyperlinks>
    <hyperlink ref="A1" location="main!A1" display="Main" xr:uid="{E47430B5-E876-4E5F-8FFA-BE38C8DE07B9}"/>
  </hyperlinks>
  <pageMargins left="0.7" right="0.7" top="0.75" bottom="0.75" header="0.3" footer="0.3"/>
  <ignoredErrors>
    <ignoredError sqref="BK14 BH14:BH18 BF14:BF17 AQ11 AQ19 AM19 AM1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 Braholli</dc:creator>
  <cp:lastModifiedBy>Geli Braholli</cp:lastModifiedBy>
  <dcterms:created xsi:type="dcterms:W3CDTF">2025-01-29T22:58:45Z</dcterms:created>
  <dcterms:modified xsi:type="dcterms:W3CDTF">2025-01-30T00:52:58Z</dcterms:modified>
</cp:coreProperties>
</file>