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odels\"/>
    </mc:Choice>
  </mc:AlternateContent>
  <xr:revisionPtr revIDLastSave="0" documentId="13_ncr:1_{F753EDC4-C345-4A1A-9D91-E7386CEB4BD8}" xr6:coauthVersionLast="47" xr6:coauthVersionMax="47" xr10:uidLastSave="{00000000-0000-0000-0000-000000000000}"/>
  <bookViews>
    <workbookView xWindow="-120" yWindow="-120" windowWidth="29040" windowHeight="15840" activeTab="1" xr2:uid="{34F83EC1-C562-40CA-AEA0-51C7F88219C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7" i="1"/>
  <c r="K6" i="1"/>
  <c r="G20" i="2"/>
  <c r="H20" i="2"/>
  <c r="I20" i="2"/>
  <c r="F17" i="2"/>
  <c r="F15" i="2"/>
  <c r="F11" i="2"/>
  <c r="F10" i="2"/>
  <c r="F9" i="2"/>
  <c r="F12" i="2" s="1"/>
  <c r="F6" i="2"/>
  <c r="E14" i="2"/>
  <c r="E7" i="2"/>
  <c r="E12" i="2"/>
  <c r="E8" i="2"/>
  <c r="E21" i="2" s="1"/>
  <c r="I14" i="2"/>
  <c r="I7" i="2"/>
  <c r="I12" i="2"/>
  <c r="I8" i="2"/>
  <c r="I21" i="2" s="1"/>
  <c r="D14" i="2"/>
  <c r="F14" i="2" s="1"/>
  <c r="D7" i="2"/>
  <c r="D8" i="2" s="1"/>
  <c r="D21" i="2" s="1"/>
  <c r="D12" i="2"/>
  <c r="H14" i="2"/>
  <c r="H7" i="2"/>
  <c r="H8" i="2" s="1"/>
  <c r="H21" i="2" s="1"/>
  <c r="H12" i="2"/>
  <c r="C14" i="2"/>
  <c r="C7" i="2"/>
  <c r="C12" i="2"/>
  <c r="C8" i="2"/>
  <c r="C21" i="2" s="1"/>
  <c r="G14" i="2"/>
  <c r="G12" i="2"/>
  <c r="G7" i="2"/>
  <c r="G8" i="2" s="1"/>
  <c r="G21" i="2" s="1"/>
  <c r="L29" i="2"/>
  <c r="M29" i="2"/>
  <c r="L26" i="2"/>
  <c r="M26" i="2"/>
  <c r="N29" i="2"/>
  <c r="N26" i="2"/>
  <c r="M20" i="2"/>
  <c r="N20" i="2"/>
  <c r="L14" i="2"/>
  <c r="L7" i="2"/>
  <c r="L8" i="2" s="1"/>
  <c r="L21" i="2" s="1"/>
  <c r="M14" i="2"/>
  <c r="M7" i="2"/>
  <c r="M8" i="2" s="1"/>
  <c r="M21" i="2" s="1"/>
  <c r="L12" i="2"/>
  <c r="M12" i="2"/>
  <c r="N14" i="2"/>
  <c r="N12" i="2"/>
  <c r="N7" i="2"/>
  <c r="N8" i="2" s="1"/>
  <c r="N44" i="2"/>
  <c r="N48" i="2" s="1"/>
  <c r="N37" i="2"/>
  <c r="N32" i="2"/>
  <c r="O5" i="2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G13" i="2" l="1"/>
  <c r="G16" i="2" s="1"/>
  <c r="G18" i="2" s="1"/>
  <c r="F7" i="2"/>
  <c r="F8" i="2" s="1"/>
  <c r="F21" i="2" s="1"/>
  <c r="E13" i="2"/>
  <c r="E16" i="2" s="1"/>
  <c r="E18" i="2" s="1"/>
  <c r="I13" i="2"/>
  <c r="I16" i="2" s="1"/>
  <c r="I18" i="2" s="1"/>
  <c r="D13" i="2"/>
  <c r="D16" i="2" s="1"/>
  <c r="D18" i="2" s="1"/>
  <c r="H13" i="2"/>
  <c r="H16" i="2" s="1"/>
  <c r="H18" i="2" s="1"/>
  <c r="C13" i="2"/>
  <c r="C16" i="2" s="1"/>
  <c r="C18" i="2" s="1"/>
  <c r="N40" i="2"/>
  <c r="N21" i="2"/>
  <c r="N13" i="2"/>
  <c r="N16" i="2" s="1"/>
  <c r="N18" i="2" s="1"/>
  <c r="L13" i="2"/>
  <c r="L16" i="2" s="1"/>
  <c r="L18" i="2" s="1"/>
  <c r="M13" i="2"/>
  <c r="M16" i="2" s="1"/>
  <c r="M18" i="2" s="1"/>
  <c r="N53" i="2"/>
  <c r="N31" i="2"/>
  <c r="N50" i="2"/>
  <c r="F13" i="2" l="1"/>
  <c r="F16" i="2" s="1"/>
  <c r="F18" i="2" s="1"/>
</calcChain>
</file>

<file path=xl/sharedStrings.xml><?xml version="1.0" encoding="utf-8"?>
<sst xmlns="http://schemas.openxmlformats.org/spreadsheetml/2006/main" count="84" uniqueCount="79">
  <si>
    <t>Main</t>
  </si>
  <si>
    <t xml:space="preserve">Price </t>
  </si>
  <si>
    <t>Shares</t>
  </si>
  <si>
    <t xml:space="preserve">MC </t>
  </si>
  <si>
    <t xml:space="preserve">Cash </t>
  </si>
  <si>
    <t xml:space="preserve">Debt </t>
  </si>
  <si>
    <t xml:space="preserve">EV </t>
  </si>
  <si>
    <t>Founded</t>
  </si>
  <si>
    <t xml:space="preserve">CEO </t>
  </si>
  <si>
    <t xml:space="preserve">Headcount </t>
  </si>
  <si>
    <t xml:space="preserve">Business model relies on AI prediction engine with purpose to connect advertisers </t>
  </si>
  <si>
    <t xml:space="preserve">and media owners with engaged audiences around the world </t>
  </si>
  <si>
    <t xml:space="preserve">73% revenue generated from mobile </t>
  </si>
  <si>
    <t xml:space="preserve">1)predicting consumer attention and engagement </t>
  </si>
  <si>
    <t xml:space="preserve">2)media partners </t>
  </si>
  <si>
    <t xml:space="preserve">3)advertisers </t>
  </si>
  <si>
    <t>Outbrain partners with top digital media brands, helping them monetize their content.</t>
  </si>
  <si>
    <t>Key long-term partners include CNN, The Washington Post, and Sky News, with top media partnerships averaging seven years.</t>
  </si>
  <si>
    <t>Since inception, it has generated about $5.2 billion in direct revenue for partners.</t>
  </si>
  <si>
    <t xml:space="preserve">Competition </t>
  </si>
  <si>
    <t xml:space="preserve">Criteo </t>
  </si>
  <si>
    <t>Taboola</t>
  </si>
  <si>
    <t xml:space="preserve">RevContent </t>
  </si>
  <si>
    <t xml:space="preserve">Magnite </t>
  </si>
  <si>
    <t xml:space="preserve">PubMatic </t>
  </si>
  <si>
    <t xml:space="preserve">Teads </t>
  </si>
  <si>
    <t xml:space="preserve">TripleLift </t>
  </si>
  <si>
    <t xml:space="preserve">Google </t>
  </si>
  <si>
    <t xml:space="preserve">Amazon </t>
  </si>
  <si>
    <t xml:space="preserve">Meta </t>
  </si>
  <si>
    <t xml:space="preserve">Tiktok </t>
  </si>
  <si>
    <t xml:space="preserve">X </t>
  </si>
  <si>
    <t xml:space="preserve">FUN FACTS for 2023: 610 billion spended WW in digital ads , 450 billion mobile ad + 160 billion other </t>
  </si>
  <si>
    <t xml:space="preserve">AR </t>
  </si>
  <si>
    <t>Prepaids</t>
  </si>
  <si>
    <t xml:space="preserve">PPE </t>
  </si>
  <si>
    <t xml:space="preserve">Goodwill </t>
  </si>
  <si>
    <t xml:space="preserve">Tax </t>
  </si>
  <si>
    <t xml:space="preserve">Other </t>
  </si>
  <si>
    <t xml:space="preserve">ASSETS </t>
  </si>
  <si>
    <t>Lease</t>
  </si>
  <si>
    <t xml:space="preserve">AP </t>
  </si>
  <si>
    <t xml:space="preserve">Accrued </t>
  </si>
  <si>
    <t xml:space="preserve">Deferred revenue </t>
  </si>
  <si>
    <t xml:space="preserve">Lease </t>
  </si>
  <si>
    <t xml:space="preserve">Liabilities </t>
  </si>
  <si>
    <t xml:space="preserve">SE </t>
  </si>
  <si>
    <t xml:space="preserve">L + SE </t>
  </si>
  <si>
    <t xml:space="preserve">Liquidation value </t>
  </si>
  <si>
    <t xml:space="preserve">Net cash </t>
  </si>
  <si>
    <t xml:space="preserve">Revenue </t>
  </si>
  <si>
    <t xml:space="preserve">COGS </t>
  </si>
  <si>
    <t xml:space="preserve">Gross </t>
  </si>
  <si>
    <t xml:space="preserve">RD </t>
  </si>
  <si>
    <t xml:space="preserve">SMA </t>
  </si>
  <si>
    <t>GA</t>
  </si>
  <si>
    <t xml:space="preserve">Operating expenses </t>
  </si>
  <si>
    <t xml:space="preserve">Operating income </t>
  </si>
  <si>
    <t xml:space="preserve">Interest </t>
  </si>
  <si>
    <t xml:space="preserve">Pretax </t>
  </si>
  <si>
    <t xml:space="preserve">Net income </t>
  </si>
  <si>
    <t xml:space="preserve">Revenue y/y </t>
  </si>
  <si>
    <t xml:space="preserve">Gross margin </t>
  </si>
  <si>
    <t>CFFO</t>
  </si>
  <si>
    <t xml:space="preserve">CFFI </t>
  </si>
  <si>
    <t xml:space="preserve">CapEX </t>
  </si>
  <si>
    <t xml:space="preserve">FCF </t>
  </si>
  <si>
    <t xml:space="preserve">CFFF </t>
  </si>
  <si>
    <t xml:space="preserve">FX </t>
  </si>
  <si>
    <t xml:space="preserve">Change </t>
  </si>
  <si>
    <t>Q123</t>
  </si>
  <si>
    <t>Q223</t>
  </si>
  <si>
    <t>Q323</t>
  </si>
  <si>
    <t>Q423</t>
  </si>
  <si>
    <t>Q124</t>
  </si>
  <si>
    <t>Q224</t>
  </si>
  <si>
    <t>Q324</t>
  </si>
  <si>
    <t>Q424</t>
  </si>
  <si>
    <t>David Kostman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</si>
</sst>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#,##0.000"/>
  </numFmts>
  <fonts count="4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2"/>
    <xf numFmtId="0" fontId="2" fillId="0" borderId="0" xfId="0" applyFont="1"/>
    <xf numFmtId="3" fontId="0" fillId="0" borderId="0" xfId="0" applyNumberFormat="1"/>
    <xf numFmtId="3" fontId="0" fillId="2" borderId="0" xfId="0" applyNumberFormat="1" applyFill="1"/>
    <xf numFmtId="9" fontId="0" fillId="0" borderId="0" xfId="1" applyFont="1"/>
    <xf numFmtId="3" fontId="0" fillId="0" borderId="0" xfId="1" applyNumberFormat="1" applyFont="1"/>
    <xf numFmtId="3" fontId="2" fillId="0" borderId="0" xfId="1" applyNumberFormat="1" applyFont="1"/>
    <xf numFmtId="3" fontId="2" fillId="0" borderId="0" xfId="0" applyNumberFormat="1" applyFont="1"/>
    <xf numFmtId="14" fontId="0" fillId="0" borderId="0" xfId="0" applyNumberFormat="1"/>
    <xf numFmtId="170" fontId="0" fillId="0" borderId="0" xfId="0" applyNumberFormat="1"/>
    <xf numFmtId="170" fontId="2" fillId="0" borderId="0" xfId="0" applyNumberFormat="1" applyFont="1"/>
    <xf numFmtId="0" fontId="0" fillId="0" borderId="0" xfId="0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36858</xdr:colOff>
      <xdr:row>34</xdr:row>
      <xdr:rowOff>184495</xdr:rowOff>
    </xdr:from>
    <xdr:to>
      <xdr:col>11</xdr:col>
      <xdr:colOff>740060</xdr:colOff>
      <xdr:row>66</xdr:row>
      <xdr:rowOff>136870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867F8C-FE5C-0B6E-D19D-50B1946A8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858" y="6669778"/>
          <a:ext cx="8960963" cy="6048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171450</xdr:rowOff>
    </xdr:from>
    <xdr:to>
      <xdr:col>9</xdr:col>
      <xdr:colOff>9525</xdr:colOff>
      <xdr:row>52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A59125B-332C-F5D2-274D-DA25803A7FC4}"/>
            </a:ext>
          </a:extLst>
        </xdr:cNvPr>
        <xdr:cNvCxnSpPr/>
      </xdr:nvCxnSpPr>
      <xdr:spPr>
        <a:xfrm>
          <a:off x="7277100" y="171450"/>
          <a:ext cx="0" cy="99441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0</xdr:row>
      <xdr:rowOff>171450</xdr:rowOff>
    </xdr:from>
    <xdr:to>
      <xdr:col>14</xdr:col>
      <xdr:colOff>28575</xdr:colOff>
      <xdr:row>52</xdr:row>
      <xdr:rowOff>180975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CF1CC91-4851-4E95-B824-0C8ADF27F1B1}"/>
            </a:ext>
          </a:extLst>
        </xdr:cNvPr>
        <xdr:cNvCxnSpPr/>
      </xdr:nvCxnSpPr>
      <xdr:spPr>
        <a:xfrm>
          <a:off x="11277600" y="171450"/>
          <a:ext cx="0" cy="99441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204E3-ABD9-4BD8-B70D-BDE573394CDF}">
  <dimension ref="B4:K34"/>
  <sheetViews>
    <sheetView zoomScale="115" zoomScaleNormal="115" workbookViewId="0">
      <selection activeCell="C7" sqref="C7"/>
    </sheetView>
  </sheetViews>
  <sheetFormatPr defaultRowHeight="15" x14ac:dyDescent="0.2"/>
  <cols>
    <col min="2" max="2" width="12.5546875" customWidth="1"/>
    <col min="3" max="3" width="12.6640625" customWidth="1"/>
  </cols>
  <sheetData>
    <row r="4" spans="2:11" x14ac:dyDescent="0.2">
      <c r="J4" t="s">
        <v>1</v>
      </c>
      <c r="K4">
        <v>6.9</v>
      </c>
    </row>
    <row r="5" spans="2:11" x14ac:dyDescent="0.2">
      <c r="B5" t="s">
        <v>7</v>
      </c>
      <c r="C5" s="12">
        <v>2006</v>
      </c>
      <c r="J5" t="s">
        <v>2</v>
      </c>
      <c r="K5" s="3">
        <v>49.649358999999997</v>
      </c>
    </row>
    <row r="6" spans="2:11" x14ac:dyDescent="0.2">
      <c r="B6" t="s">
        <v>8</v>
      </c>
      <c r="C6" t="s">
        <v>78</v>
      </c>
      <c r="J6" t="s">
        <v>3</v>
      </c>
      <c r="K6" s="3">
        <f>+K5*K4</f>
        <v>342.58057709999997</v>
      </c>
    </row>
    <row r="7" spans="2:11" x14ac:dyDescent="0.2">
      <c r="B7" t="s">
        <v>9</v>
      </c>
      <c r="C7" s="12">
        <v>850</v>
      </c>
      <c r="J7" t="s">
        <v>4</v>
      </c>
      <c r="K7" s="3">
        <f>57.061+73.467</f>
        <v>130.52799999999999</v>
      </c>
    </row>
    <row r="8" spans="2:11" x14ac:dyDescent="0.2">
      <c r="J8" t="s">
        <v>5</v>
      </c>
      <c r="K8" s="3">
        <v>0</v>
      </c>
    </row>
    <row r="9" spans="2:11" x14ac:dyDescent="0.2">
      <c r="J9" t="s">
        <v>6</v>
      </c>
      <c r="K9" s="3">
        <f>+K6-K7+K8</f>
        <v>212.05257709999998</v>
      </c>
    </row>
    <row r="12" spans="2:11" x14ac:dyDescent="0.2">
      <c r="B12" t="s">
        <v>10</v>
      </c>
    </row>
    <row r="13" spans="2:11" x14ac:dyDescent="0.2">
      <c r="B13" t="s">
        <v>11</v>
      </c>
    </row>
    <row r="15" spans="2:11" x14ac:dyDescent="0.2">
      <c r="B15" t="s">
        <v>12</v>
      </c>
    </row>
    <row r="17" spans="2:3" x14ac:dyDescent="0.2">
      <c r="B17" t="s">
        <v>13</v>
      </c>
    </row>
    <row r="18" spans="2:3" x14ac:dyDescent="0.2">
      <c r="B18" t="s">
        <v>14</v>
      </c>
    </row>
    <row r="19" spans="2:3" x14ac:dyDescent="0.2">
      <c r="B19" t="s">
        <v>15</v>
      </c>
    </row>
    <row r="21" spans="2:3" x14ac:dyDescent="0.2">
      <c r="B21" t="s">
        <v>16</v>
      </c>
    </row>
    <row r="22" spans="2:3" x14ac:dyDescent="0.2">
      <c r="B22" t="s">
        <v>18</v>
      </c>
    </row>
    <row r="23" spans="2:3" x14ac:dyDescent="0.2">
      <c r="B23" t="s">
        <v>17</v>
      </c>
    </row>
    <row r="25" spans="2:3" x14ac:dyDescent="0.2">
      <c r="B25" t="s">
        <v>32</v>
      </c>
    </row>
    <row r="27" spans="2:3" ht="15.75" x14ac:dyDescent="0.25">
      <c r="B27" s="2" t="s">
        <v>19</v>
      </c>
    </row>
    <row r="28" spans="2:3" x14ac:dyDescent="0.2">
      <c r="B28" t="s">
        <v>20</v>
      </c>
      <c r="C28" t="s">
        <v>27</v>
      </c>
    </row>
    <row r="29" spans="2:3" x14ac:dyDescent="0.2">
      <c r="B29" t="s">
        <v>21</v>
      </c>
      <c r="C29" t="s">
        <v>28</v>
      </c>
    </row>
    <row r="30" spans="2:3" x14ac:dyDescent="0.2">
      <c r="B30" t="s">
        <v>22</v>
      </c>
      <c r="C30" t="s">
        <v>29</v>
      </c>
    </row>
    <row r="31" spans="2:3" x14ac:dyDescent="0.2">
      <c r="B31" t="s">
        <v>23</v>
      </c>
      <c r="C31" t="s">
        <v>30</v>
      </c>
    </row>
    <row r="32" spans="2:3" x14ac:dyDescent="0.2">
      <c r="B32" t="s">
        <v>24</v>
      </c>
      <c r="C32" t="s">
        <v>31</v>
      </c>
    </row>
    <row r="33" spans="2:2" x14ac:dyDescent="0.2">
      <c r="B33" t="s">
        <v>25</v>
      </c>
    </row>
    <row r="34" spans="2:2" x14ac:dyDescent="0.2">
      <c r="B34" t="s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B1E78-7750-46C0-A7C1-D507ABCD1389}">
  <dimension ref="A1:AE53"/>
  <sheetViews>
    <sheetView tabSelected="1" workbookViewId="0">
      <pane xSplit="2" ySplit="5" topLeftCell="C6" activePane="bottomRight" state="frozen"/>
      <selection pane="topRight" activeCell="D1" sqref="D1"/>
      <selection pane="bottomLeft" activeCell="A6" sqref="A6"/>
      <selection pane="bottomRight" activeCell="O14" sqref="O14"/>
    </sheetView>
  </sheetViews>
  <sheetFormatPr defaultRowHeight="15" x14ac:dyDescent="0.2"/>
  <cols>
    <col min="1" max="1" width="4.77734375" bestFit="1" customWidth="1"/>
    <col min="2" max="2" width="16.77734375" customWidth="1"/>
    <col min="6" max="6" width="9.88671875" bestFit="1" customWidth="1"/>
    <col min="10" max="10" width="9.88671875" bestFit="1" customWidth="1"/>
    <col min="14" max="31" width="9.88671875" bestFit="1" customWidth="1"/>
  </cols>
  <sheetData>
    <row r="1" spans="1:31" x14ac:dyDescent="0.2">
      <c r="A1" s="1" t="s">
        <v>0</v>
      </c>
    </row>
    <row r="4" spans="1:31" x14ac:dyDescent="0.2">
      <c r="C4" s="9">
        <v>45354</v>
      </c>
      <c r="D4" s="9">
        <v>45446</v>
      </c>
      <c r="E4" s="9">
        <v>45172</v>
      </c>
      <c r="F4" s="9">
        <v>45291</v>
      </c>
      <c r="G4" s="9">
        <v>45354</v>
      </c>
      <c r="H4" s="9">
        <v>45446</v>
      </c>
      <c r="I4" s="9">
        <v>45538</v>
      </c>
      <c r="J4" s="9">
        <v>45657</v>
      </c>
      <c r="N4" s="9">
        <v>45291</v>
      </c>
      <c r="O4" s="9">
        <v>45657</v>
      </c>
      <c r="P4" s="9">
        <v>46022</v>
      </c>
      <c r="Q4" s="9">
        <v>46387</v>
      </c>
      <c r="R4" s="9">
        <v>46752</v>
      </c>
      <c r="S4" s="9">
        <v>47118</v>
      </c>
      <c r="T4" s="9">
        <v>47483</v>
      </c>
      <c r="U4" s="9">
        <v>47848</v>
      </c>
      <c r="V4" s="9">
        <v>48213</v>
      </c>
      <c r="W4" s="9">
        <v>48579</v>
      </c>
      <c r="X4" s="9">
        <v>48944</v>
      </c>
      <c r="Y4" s="9">
        <v>49309</v>
      </c>
      <c r="Z4" s="9">
        <v>49674</v>
      </c>
      <c r="AA4" s="9">
        <v>50040</v>
      </c>
      <c r="AB4" s="9">
        <v>50405</v>
      </c>
      <c r="AC4" s="9">
        <v>50770</v>
      </c>
      <c r="AD4" s="9">
        <v>51135</v>
      </c>
      <c r="AE4" s="9">
        <v>51501</v>
      </c>
    </row>
    <row r="5" spans="1:31" x14ac:dyDescent="0.2">
      <c r="C5" t="s">
        <v>70</v>
      </c>
      <c r="D5" t="s">
        <v>71</v>
      </c>
      <c r="E5" t="s">
        <v>72</v>
      </c>
      <c r="F5" t="s">
        <v>73</v>
      </c>
      <c r="G5" t="s">
        <v>74</v>
      </c>
      <c r="H5" t="s">
        <v>75</v>
      </c>
      <c r="I5" t="s">
        <v>76</v>
      </c>
      <c r="J5" t="s">
        <v>77</v>
      </c>
      <c r="L5">
        <v>2021</v>
      </c>
      <c r="M5">
        <v>2022</v>
      </c>
      <c r="N5">
        <v>2023</v>
      </c>
      <c r="O5">
        <f>+N5+1</f>
        <v>2024</v>
      </c>
      <c r="P5">
        <f>+O5+1</f>
        <v>2025</v>
      </c>
      <c r="Q5">
        <f>+P5+1</f>
        <v>2026</v>
      </c>
      <c r="R5">
        <f>+Q5+1</f>
        <v>2027</v>
      </c>
      <c r="S5">
        <f>+R5+1</f>
        <v>2028</v>
      </c>
      <c r="T5">
        <f>+S5+1</f>
        <v>2029</v>
      </c>
      <c r="U5">
        <f>+T5+1</f>
        <v>2030</v>
      </c>
      <c r="V5">
        <f>+U5+1</f>
        <v>2031</v>
      </c>
      <c r="W5">
        <f>+V5+1</f>
        <v>2032</v>
      </c>
      <c r="X5">
        <f>+W5+1</f>
        <v>2033</v>
      </c>
      <c r="Y5">
        <f>+X5+1</f>
        <v>2034</v>
      </c>
      <c r="Z5">
        <f>+Y5+1</f>
        <v>2035</v>
      </c>
      <c r="AA5">
        <f>+Z5+1</f>
        <v>2036</v>
      </c>
      <c r="AB5">
        <f>+AA5+1</f>
        <v>2037</v>
      </c>
      <c r="AC5">
        <f>+AB5+1</f>
        <v>2038</v>
      </c>
      <c r="AD5">
        <f>+AC5+1</f>
        <v>2039</v>
      </c>
      <c r="AE5">
        <f>+AD5+1</f>
        <v>2040</v>
      </c>
    </row>
    <row r="6" spans="1:31" s="8" customFormat="1" ht="15.75" x14ac:dyDescent="0.25">
      <c r="B6" s="8" t="s">
        <v>50</v>
      </c>
      <c r="C6" s="11">
        <v>231.774</v>
      </c>
      <c r="D6" s="11">
        <v>225.8</v>
      </c>
      <c r="E6" s="11">
        <v>230.01499999999999</v>
      </c>
      <c r="F6" s="11">
        <f>+N6-E6-D6-C6</f>
        <v>248.22899999999998</v>
      </c>
      <c r="G6" s="11">
        <v>216.964</v>
      </c>
      <c r="H6" s="11">
        <v>214.148</v>
      </c>
      <c r="I6" s="11">
        <v>224.17699999999999</v>
      </c>
      <c r="J6" s="11"/>
      <c r="L6" s="8">
        <v>1015.63</v>
      </c>
      <c r="M6" s="8">
        <v>992.08199999999999</v>
      </c>
      <c r="N6" s="8">
        <v>935.81799999999998</v>
      </c>
    </row>
    <row r="7" spans="1:31" s="3" customFormat="1" x14ac:dyDescent="0.2">
      <c r="B7" s="3" t="s">
        <v>51</v>
      </c>
      <c r="C7" s="10">
        <f>179.576+11.043</f>
        <v>190.619</v>
      </c>
      <c r="D7" s="10">
        <f>171.224+10.555</f>
        <v>181.779</v>
      </c>
      <c r="E7" s="10">
        <f>173.224+10.401</f>
        <v>183.625</v>
      </c>
      <c r="F7" s="10">
        <f>+N7-E7-D7-C7</f>
        <v>194.99699999999999</v>
      </c>
      <c r="G7" s="10">
        <f>164.81+10.559</f>
        <v>175.369</v>
      </c>
      <c r="H7" s="10">
        <f>158.191+10.381</f>
        <v>168.572</v>
      </c>
      <c r="I7" s="10">
        <f>164.483+10.825</f>
        <v>175.30799999999999</v>
      </c>
      <c r="J7" s="10"/>
      <c r="L7" s="3">
        <f>743.579+31.791</f>
        <v>775.37</v>
      </c>
      <c r="M7" s="3">
        <f>757.321+42.108</f>
        <v>799.42899999999997</v>
      </c>
      <c r="N7" s="3">
        <f>708.449+42.571</f>
        <v>751.02</v>
      </c>
    </row>
    <row r="8" spans="1:31" s="3" customFormat="1" x14ac:dyDescent="0.2">
      <c r="B8" s="3" t="s">
        <v>52</v>
      </c>
      <c r="C8" s="10">
        <f>+C6-C7</f>
        <v>41.155000000000001</v>
      </c>
      <c r="D8" s="10">
        <f>+D6-D7</f>
        <v>44.021000000000015</v>
      </c>
      <c r="E8" s="10">
        <f>+E6-E7</f>
        <v>46.389999999999986</v>
      </c>
      <c r="F8" s="10">
        <f>+F6-F7</f>
        <v>53.231999999999999</v>
      </c>
      <c r="G8" s="10">
        <f>+G6-G7</f>
        <v>41.594999999999999</v>
      </c>
      <c r="H8" s="10">
        <f>+H6-H7</f>
        <v>45.575999999999993</v>
      </c>
      <c r="I8" s="10">
        <f>+I6-I7</f>
        <v>48.869</v>
      </c>
      <c r="J8" s="10"/>
      <c r="L8" s="3">
        <f>+L6-L7</f>
        <v>240.26</v>
      </c>
      <c r="M8" s="3">
        <f>+M6-M7</f>
        <v>192.65300000000002</v>
      </c>
      <c r="N8" s="3">
        <f>+N6-N7</f>
        <v>184.798</v>
      </c>
    </row>
    <row r="9" spans="1:31" s="3" customFormat="1" x14ac:dyDescent="0.2">
      <c r="B9" s="3" t="s">
        <v>53</v>
      </c>
      <c r="C9" s="10">
        <v>9.3109999999999999</v>
      </c>
      <c r="D9" s="10">
        <v>10.041</v>
      </c>
      <c r="E9" s="10">
        <v>8.6809999999999992</v>
      </c>
      <c r="F9" s="10">
        <f>+N9-E9-D9-C9</f>
        <v>8.3690000000000033</v>
      </c>
      <c r="G9" s="10">
        <v>9.1929999999999996</v>
      </c>
      <c r="H9" s="10">
        <v>9.4</v>
      </c>
      <c r="I9" s="10">
        <v>9.0530000000000008</v>
      </c>
      <c r="J9" s="10"/>
      <c r="L9" s="3">
        <v>39.168999999999997</v>
      </c>
      <c r="M9" s="3">
        <v>40.32</v>
      </c>
      <c r="N9" s="3">
        <v>36.402000000000001</v>
      </c>
    </row>
    <row r="10" spans="1:31" s="3" customFormat="1" x14ac:dyDescent="0.2">
      <c r="B10" s="3" t="s">
        <v>54</v>
      </c>
      <c r="C10" s="10">
        <v>25.748000000000001</v>
      </c>
      <c r="D10" s="10">
        <v>25.896000000000001</v>
      </c>
      <c r="E10" s="10">
        <v>21.472000000000001</v>
      </c>
      <c r="F10" s="10">
        <f>+N10-E10-D10-C10</f>
        <v>25.253999999999994</v>
      </c>
      <c r="G10" s="10">
        <v>23.783999999999999</v>
      </c>
      <c r="H10" s="10">
        <v>24.777000000000001</v>
      </c>
      <c r="I10" s="10">
        <v>23.201000000000001</v>
      </c>
      <c r="J10" s="10"/>
      <c r="L10" s="3">
        <v>95.786000000000001</v>
      </c>
      <c r="M10" s="3">
        <v>108.816</v>
      </c>
      <c r="N10" s="3">
        <v>98.37</v>
      </c>
    </row>
    <row r="11" spans="1:31" s="3" customFormat="1" x14ac:dyDescent="0.2">
      <c r="B11" s="3" t="s">
        <v>55</v>
      </c>
      <c r="C11" s="10">
        <v>15.406000000000001</v>
      </c>
      <c r="D11" s="10">
        <v>15.743</v>
      </c>
      <c r="E11" s="10">
        <v>13.617000000000001</v>
      </c>
      <c r="F11" s="10">
        <f>+N11-E11-D11-C11</f>
        <v>13.898999999999999</v>
      </c>
      <c r="G11" s="10">
        <v>15.215</v>
      </c>
      <c r="H11" s="10">
        <v>17.026</v>
      </c>
      <c r="I11" s="10">
        <v>19.564</v>
      </c>
      <c r="J11" s="10"/>
      <c r="L11" s="3">
        <v>70.748999999999995</v>
      </c>
      <c r="M11" s="3">
        <v>57.064999999999998</v>
      </c>
      <c r="N11" s="3">
        <v>58.664999999999999</v>
      </c>
    </row>
    <row r="12" spans="1:31" s="3" customFormat="1" x14ac:dyDescent="0.2">
      <c r="B12" s="3" t="s">
        <v>56</v>
      </c>
      <c r="C12" s="10">
        <f>+C9+C10+C11</f>
        <v>50.464999999999996</v>
      </c>
      <c r="D12" s="10">
        <f>+D9+D10+D11</f>
        <v>51.68</v>
      </c>
      <c r="E12" s="10">
        <f>+E9+E10+E11</f>
        <v>43.769999999999996</v>
      </c>
      <c r="F12" s="10">
        <f>+F9+F10+F11</f>
        <v>47.521999999999998</v>
      </c>
      <c r="G12" s="10">
        <f>+G9+G10+G11</f>
        <v>48.191999999999993</v>
      </c>
      <c r="H12" s="10">
        <f>+H9+H10+H11</f>
        <v>51.203000000000003</v>
      </c>
      <c r="I12" s="10">
        <f>+I9+I10+I11</f>
        <v>51.818000000000005</v>
      </c>
      <c r="J12" s="10"/>
      <c r="L12" s="3">
        <f>+L9+L10+L11</f>
        <v>205.70399999999998</v>
      </c>
      <c r="M12" s="3">
        <f>+M9+M10+M11</f>
        <v>206.20099999999999</v>
      </c>
      <c r="N12" s="3">
        <f>+N9+N10+N11</f>
        <v>193.43699999999998</v>
      </c>
    </row>
    <row r="13" spans="1:31" s="3" customFormat="1" x14ac:dyDescent="0.2">
      <c r="B13" s="3" t="s">
        <v>57</v>
      </c>
      <c r="C13" s="10">
        <f>+C8-C12</f>
        <v>-9.3099999999999952</v>
      </c>
      <c r="D13" s="10">
        <f>+D8-D12</f>
        <v>-7.6589999999999847</v>
      </c>
      <c r="E13" s="10">
        <f>+E8-E12</f>
        <v>2.6199999999999903</v>
      </c>
      <c r="F13" s="10">
        <f>+F8-F12</f>
        <v>5.7100000000000009</v>
      </c>
      <c r="G13" s="10">
        <f>+G8-G12</f>
        <v>-6.5969999999999942</v>
      </c>
      <c r="H13" s="10">
        <f>+H8-H12</f>
        <v>-5.6270000000000095</v>
      </c>
      <c r="I13" s="10">
        <f>+I8-I12</f>
        <v>-2.9490000000000052</v>
      </c>
      <c r="J13" s="10"/>
      <c r="L13" s="3">
        <f>+L8-L12</f>
        <v>34.556000000000012</v>
      </c>
      <c r="M13" s="3">
        <f>+M8-M12</f>
        <v>-13.547999999999973</v>
      </c>
      <c r="N13" s="3">
        <f>+N8-N12</f>
        <v>-8.6389999999999816</v>
      </c>
    </row>
    <row r="14" spans="1:31" s="3" customFormat="1" x14ac:dyDescent="0.2">
      <c r="B14" s="3" t="s">
        <v>58</v>
      </c>
      <c r="C14" s="10">
        <f>3.86-1.867</f>
        <v>1.9929999999999999</v>
      </c>
      <c r="D14" s="10">
        <f>1.515-1.105</f>
        <v>0.40999999999999992</v>
      </c>
      <c r="E14" s="10">
        <f>0.358-1.456</f>
        <v>-1.0979999999999999</v>
      </c>
      <c r="F14" s="10">
        <f>+N14-E14-D14-C14</f>
        <v>1.0950000000000002</v>
      </c>
      <c r="G14" s="10">
        <f>1.405-0.937</f>
        <v>0.46799999999999997</v>
      </c>
      <c r="H14" s="10">
        <f>2.746-0.569</f>
        <v>2.177</v>
      </c>
      <c r="I14" s="10">
        <f>3.536-1.444</f>
        <v>2.0920000000000001</v>
      </c>
      <c r="J14" s="10"/>
      <c r="L14" s="3">
        <f>-3.078-3.964</f>
        <v>-7.0419999999999998</v>
      </c>
      <c r="M14" s="3">
        <f>2.6-7.625</f>
        <v>-5.0250000000000004</v>
      </c>
      <c r="N14" s="3">
        <f>7.793-5.393</f>
        <v>2.4000000000000004</v>
      </c>
    </row>
    <row r="15" spans="1:31" s="3" customFormat="1" x14ac:dyDescent="0.2">
      <c r="B15" s="3" t="s">
        <v>38</v>
      </c>
      <c r="C15" s="10">
        <v>0</v>
      </c>
      <c r="D15" s="10">
        <v>22.594000000000001</v>
      </c>
      <c r="E15" s="10">
        <v>0</v>
      </c>
      <c r="F15" s="10">
        <f>+N15-E15-D15-C15</f>
        <v>0</v>
      </c>
      <c r="G15" s="10">
        <v>0</v>
      </c>
      <c r="H15" s="10">
        <v>0</v>
      </c>
      <c r="I15" s="10">
        <v>8.782</v>
      </c>
      <c r="J15" s="10"/>
      <c r="L15" s="3">
        <v>-42.048999999999999</v>
      </c>
      <c r="M15" s="3">
        <v>0</v>
      </c>
      <c r="N15" s="3">
        <v>22.594000000000001</v>
      </c>
    </row>
    <row r="16" spans="1:31" s="3" customFormat="1" x14ac:dyDescent="0.2">
      <c r="B16" s="3" t="s">
        <v>59</v>
      </c>
      <c r="C16" s="10">
        <f>+C13+C14+C15</f>
        <v>-7.3169999999999948</v>
      </c>
      <c r="D16" s="10">
        <f>+D13+D14+D15</f>
        <v>15.345000000000017</v>
      </c>
      <c r="E16" s="10">
        <f>+E13+E14+E15</f>
        <v>1.5219999999999905</v>
      </c>
      <c r="F16" s="10">
        <f>+F13+F14+F15</f>
        <v>6.8050000000000015</v>
      </c>
      <c r="G16" s="10">
        <f>+G13+G14+G15</f>
        <v>-6.1289999999999942</v>
      </c>
      <c r="H16" s="10">
        <f>+H13+H14+H15</f>
        <v>-3.4500000000000095</v>
      </c>
      <c r="I16" s="10">
        <f>+I13+I14+I15</f>
        <v>7.9249999999999954</v>
      </c>
      <c r="J16" s="10"/>
      <c r="L16" s="3">
        <f>+L13+L14+L15</f>
        <v>-14.534999999999989</v>
      </c>
      <c r="M16" s="3">
        <f>+M13+M14+M15</f>
        <v>-18.572999999999972</v>
      </c>
      <c r="N16" s="3">
        <f>+N13+N14+N15</f>
        <v>16.355000000000018</v>
      </c>
    </row>
    <row r="17" spans="2:14" s="3" customFormat="1" x14ac:dyDescent="0.2">
      <c r="B17" s="3" t="s">
        <v>37</v>
      </c>
      <c r="C17" s="10">
        <v>-1.712</v>
      </c>
      <c r="D17" s="10">
        <v>4.0629999999999997</v>
      </c>
      <c r="E17" s="10">
        <v>1.014</v>
      </c>
      <c r="F17" s="10">
        <f>+N17-E17-D17-C17</f>
        <v>2.7480000000000002</v>
      </c>
      <c r="G17" s="10">
        <v>-1.0880000000000001</v>
      </c>
      <c r="H17" s="10">
        <v>-1.2509999999999999</v>
      </c>
      <c r="I17" s="10">
        <v>1.2290000000000001</v>
      </c>
      <c r="J17" s="10"/>
      <c r="L17" s="3">
        <v>-25.53</v>
      </c>
      <c r="M17" s="3">
        <v>6.008</v>
      </c>
      <c r="N17" s="3">
        <v>6.1130000000000004</v>
      </c>
    </row>
    <row r="18" spans="2:14" s="8" customFormat="1" ht="15.75" x14ac:dyDescent="0.25">
      <c r="B18" s="8" t="s">
        <v>60</v>
      </c>
      <c r="C18" s="11">
        <f>+C16-C17</f>
        <v>-5.6049999999999951</v>
      </c>
      <c r="D18" s="11">
        <f>+D16-D17</f>
        <v>11.282000000000018</v>
      </c>
      <c r="E18" s="11">
        <f>+E16-E17</f>
        <v>0.50799999999999046</v>
      </c>
      <c r="F18" s="11">
        <f>+F16-F17</f>
        <v>4.0570000000000013</v>
      </c>
      <c r="G18" s="11">
        <f>+G16-G17</f>
        <v>-5.0409999999999942</v>
      </c>
      <c r="H18" s="11">
        <f>+H16-H17</f>
        <v>-2.1990000000000096</v>
      </c>
      <c r="I18" s="11">
        <f>+I16-I17</f>
        <v>6.6959999999999953</v>
      </c>
      <c r="J18" s="11"/>
      <c r="L18" s="8">
        <f>+L16-L17</f>
        <v>10.995000000000012</v>
      </c>
      <c r="M18" s="8">
        <f>+M16-M17</f>
        <v>-24.580999999999971</v>
      </c>
      <c r="N18" s="8">
        <f>+N16-N17</f>
        <v>10.242000000000019</v>
      </c>
    </row>
    <row r="20" spans="2:14" s="5" customFormat="1" x14ac:dyDescent="0.2">
      <c r="B20" s="5" t="s">
        <v>61</v>
      </c>
      <c r="G20" s="5">
        <f>+G6/C6-1</f>
        <v>-6.3898452803161754E-2</v>
      </c>
      <c r="H20" s="5">
        <f>+H6/D6-1</f>
        <v>-5.1603188662533328E-2</v>
      </c>
      <c r="I20" s="5">
        <f>+I6/E6-1</f>
        <v>-2.5380953416081486E-2</v>
      </c>
      <c r="M20" s="5">
        <f>+M6/L6-1</f>
        <v>-2.3185608932386748E-2</v>
      </c>
      <c r="N20" s="5">
        <f>+N6/M6-1</f>
        <v>-5.6713053961265358E-2</v>
      </c>
    </row>
    <row r="21" spans="2:14" s="5" customFormat="1" x14ac:dyDescent="0.2">
      <c r="B21" s="5" t="s">
        <v>62</v>
      </c>
      <c r="C21" s="5">
        <f>+C8/C6</f>
        <v>0.17756521438987979</v>
      </c>
      <c r="D21" s="5">
        <f>+D8/D6</f>
        <v>0.19495571302037207</v>
      </c>
      <c r="E21" s="5">
        <f>+E8/E6</f>
        <v>0.2016824989674586</v>
      </c>
      <c r="F21" s="5">
        <f>+F8/F6</f>
        <v>0.21444714356501457</v>
      </c>
      <c r="G21" s="5">
        <f>+G8/G6</f>
        <v>0.19171383270957393</v>
      </c>
      <c r="H21" s="5">
        <f>+H8/H6</f>
        <v>0.21282477538898328</v>
      </c>
      <c r="I21" s="5">
        <f>+I8/I6</f>
        <v>0.21799292523318628</v>
      </c>
      <c r="L21" s="5">
        <f>+L8/L6</f>
        <v>0.23656252769217134</v>
      </c>
      <c r="M21" s="5">
        <f>+M8/M6</f>
        <v>0.19419060118014442</v>
      </c>
      <c r="N21" s="5">
        <f>+N8/N6</f>
        <v>0.19747215804782556</v>
      </c>
    </row>
    <row r="22" spans="2:14" s="5" customFormat="1" x14ac:dyDescent="0.2"/>
    <row r="23" spans="2:14" s="6" customFormat="1" x14ac:dyDescent="0.2">
      <c r="B23" s="6" t="s">
        <v>63</v>
      </c>
      <c r="L23" s="6">
        <v>56.762</v>
      </c>
      <c r="M23" s="6">
        <v>3.8130000000000002</v>
      </c>
      <c r="N23" s="6">
        <v>13.746</v>
      </c>
    </row>
    <row r="24" spans="2:14" s="6" customFormat="1" x14ac:dyDescent="0.2">
      <c r="B24" s="6" t="s">
        <v>64</v>
      </c>
      <c r="L24" s="6">
        <v>-20.100999999999999</v>
      </c>
      <c r="M24" s="6">
        <v>-317.89800000000002</v>
      </c>
      <c r="N24" s="6">
        <v>69.64</v>
      </c>
    </row>
    <row r="25" spans="2:14" s="6" customFormat="1" x14ac:dyDescent="0.2">
      <c r="B25" s="6" t="s">
        <v>65</v>
      </c>
      <c r="L25" s="6">
        <v>-9.7430000000000003</v>
      </c>
      <c r="M25" s="6">
        <v>-13.375</v>
      </c>
      <c r="N25" s="6">
        <v>-10.127000000000001</v>
      </c>
    </row>
    <row r="26" spans="2:14" s="7" customFormat="1" ht="15.75" x14ac:dyDescent="0.25">
      <c r="B26" s="7" t="s">
        <v>66</v>
      </c>
      <c r="L26" s="7">
        <f>+L23+L25</f>
        <v>47.018999999999998</v>
      </c>
      <c r="M26" s="7">
        <f>+M23+M25</f>
        <v>-9.5619999999999994</v>
      </c>
      <c r="N26" s="7">
        <f>+N23+N25</f>
        <v>3.6189999999999998</v>
      </c>
    </row>
    <row r="27" spans="2:14" s="6" customFormat="1" x14ac:dyDescent="0.2">
      <c r="B27" s="6" t="s">
        <v>67</v>
      </c>
      <c r="L27" s="6">
        <v>325.89400000000001</v>
      </c>
      <c r="M27" s="6">
        <v>-31.699000000000002</v>
      </c>
      <c r="N27" s="6">
        <v>-117.068</v>
      </c>
    </row>
    <row r="28" spans="2:14" s="6" customFormat="1" x14ac:dyDescent="0.2">
      <c r="B28" s="6" t="s">
        <v>68</v>
      </c>
      <c r="L28" s="6">
        <v>-1.03</v>
      </c>
      <c r="M28" s="6">
        <v>-4.0430000000000001</v>
      </c>
      <c r="N28" s="6">
        <v>-1.004</v>
      </c>
    </row>
    <row r="29" spans="2:14" s="6" customFormat="1" x14ac:dyDescent="0.2">
      <c r="B29" s="6" t="s">
        <v>69</v>
      </c>
      <c r="L29" s="6">
        <f>+L23+L24+L27+L28</f>
        <v>361.52500000000003</v>
      </c>
      <c r="M29" s="6">
        <f>+M23+M24+M27+M28</f>
        <v>-349.82700000000006</v>
      </c>
      <c r="N29" s="6">
        <f>+N23+N24+N27+N28</f>
        <v>-34.686</v>
      </c>
    </row>
    <row r="30" spans="2:14" s="5" customFormat="1" x14ac:dyDescent="0.2"/>
    <row r="31" spans="2:14" s="3" customFormat="1" x14ac:dyDescent="0.2">
      <c r="B31" s="3" t="s">
        <v>49</v>
      </c>
      <c r="N31" s="3">
        <f>+N32-N42</f>
        <v>112.96899999999999</v>
      </c>
    </row>
    <row r="32" spans="2:14" x14ac:dyDescent="0.2">
      <c r="B32" t="s">
        <v>4</v>
      </c>
      <c r="N32" s="3">
        <f>70.889+94.313+65.767</f>
        <v>230.96899999999999</v>
      </c>
    </row>
    <row r="33" spans="2:14" x14ac:dyDescent="0.2">
      <c r="B33" t="s">
        <v>33</v>
      </c>
      <c r="N33" s="3">
        <v>189.334</v>
      </c>
    </row>
    <row r="34" spans="2:14" x14ac:dyDescent="0.2">
      <c r="B34" t="s">
        <v>34</v>
      </c>
      <c r="N34" s="3">
        <v>47.24</v>
      </c>
    </row>
    <row r="35" spans="2:14" x14ac:dyDescent="0.2">
      <c r="B35" t="s">
        <v>35</v>
      </c>
      <c r="N35" s="3">
        <v>42.460999999999999</v>
      </c>
    </row>
    <row r="36" spans="2:14" x14ac:dyDescent="0.2">
      <c r="B36" t="s">
        <v>40</v>
      </c>
      <c r="N36" s="3">
        <v>12.145</v>
      </c>
    </row>
    <row r="37" spans="2:14" x14ac:dyDescent="0.2">
      <c r="B37" t="s">
        <v>36</v>
      </c>
      <c r="N37" s="3">
        <f>63.063+20.396</f>
        <v>83.459000000000003</v>
      </c>
    </row>
    <row r="38" spans="2:14" x14ac:dyDescent="0.2">
      <c r="B38" t="s">
        <v>37</v>
      </c>
      <c r="N38" s="3">
        <v>38.36</v>
      </c>
    </row>
    <row r="39" spans="2:14" x14ac:dyDescent="0.2">
      <c r="B39" t="s">
        <v>38</v>
      </c>
      <c r="N39" s="3">
        <v>20.669</v>
      </c>
    </row>
    <row r="40" spans="2:14" s="2" customFormat="1" ht="15.75" x14ac:dyDescent="0.25">
      <c r="B40" s="2" t="s">
        <v>39</v>
      </c>
      <c r="N40" s="8">
        <f>+SUM(N32:N39)</f>
        <v>664.63699999999994</v>
      </c>
    </row>
    <row r="42" spans="2:14" x14ac:dyDescent="0.2">
      <c r="B42" t="s">
        <v>5</v>
      </c>
      <c r="N42" s="3">
        <v>118</v>
      </c>
    </row>
    <row r="43" spans="2:14" x14ac:dyDescent="0.2">
      <c r="B43" t="s">
        <v>41</v>
      </c>
      <c r="N43" s="3">
        <v>150.81200000000001</v>
      </c>
    </row>
    <row r="44" spans="2:14" x14ac:dyDescent="0.2">
      <c r="B44" t="s">
        <v>42</v>
      </c>
      <c r="N44" s="3">
        <f>18.62+119.703</f>
        <v>138.32300000000001</v>
      </c>
    </row>
    <row r="45" spans="2:14" x14ac:dyDescent="0.2">
      <c r="B45" t="s">
        <v>43</v>
      </c>
      <c r="N45" s="3">
        <v>8.4860000000000007</v>
      </c>
    </row>
    <row r="46" spans="2:14" x14ac:dyDescent="0.2">
      <c r="B46" t="s">
        <v>44</v>
      </c>
      <c r="N46" s="3">
        <v>9.2170000000000005</v>
      </c>
    </row>
    <row r="47" spans="2:14" x14ac:dyDescent="0.2">
      <c r="B47" t="s">
        <v>38</v>
      </c>
      <c r="N47" s="3">
        <v>16.734999999999999</v>
      </c>
    </row>
    <row r="48" spans="2:14" x14ac:dyDescent="0.2">
      <c r="B48" t="s">
        <v>45</v>
      </c>
      <c r="N48" s="3">
        <f>+SUM(N42:N47)</f>
        <v>441.57299999999998</v>
      </c>
    </row>
    <row r="49" spans="2:14" x14ac:dyDescent="0.2">
      <c r="B49" t="s">
        <v>46</v>
      </c>
      <c r="N49" s="3">
        <v>223.06399999999999</v>
      </c>
    </row>
    <row r="50" spans="2:14" s="2" customFormat="1" ht="15.75" x14ac:dyDescent="0.25">
      <c r="B50" s="2" t="s">
        <v>47</v>
      </c>
      <c r="N50" s="8">
        <f>+N48+N49</f>
        <v>664.63699999999994</v>
      </c>
    </row>
    <row r="53" spans="2:14" s="4" customFormat="1" x14ac:dyDescent="0.2">
      <c r="B53" s="4" t="s">
        <v>48</v>
      </c>
      <c r="N53" s="4">
        <f>+N32+N33+N34+N35+N36+N38-N48</f>
        <v>118.93600000000004</v>
      </c>
    </row>
  </sheetData>
  <hyperlinks>
    <hyperlink ref="A1" location="main!A1" display="Main" xr:uid="{C125DC2D-04C0-4307-93EC-4CD40A630B4C}"/>
  </hyperlinks>
  <pageMargins left="0.7" right="0.7" top="0.75" bottom="0.75" header="0.3" footer="0.3"/>
  <ignoredErrors>
    <ignoredError sqref="M7 M14 F16 F8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Geli Braholli</dc:creator>
  <cp:lastModifiedBy>Geli Braholli</cp:lastModifiedBy>
  <dcterms:created xsi:type="dcterms:W3CDTF">2025-02-05T12:07:31Z</dcterms:created>
  <dcterms:modified xsi:type="dcterms:W3CDTF">2025-02-05T16:11:48Z</dcterms:modified>
</cp:coreProperties>
</file>