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4C65C5CB-329F-48A7-95D8-9BB74B2DD0C8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GLP-1s" sheetId="33" r:id="rId5"/>
    <sheet name="Obesity" sheetId="34" r:id="rId6"/>
    <sheet name="Omvoh" sheetId="37" r:id="rId7"/>
    <sheet name="Trulicity" sheetId="29" r:id="rId8"/>
    <sheet name="Mounjaro-Zepbound" sheetId="30" r:id="rId9"/>
    <sheet name="Kisunla" sheetId="35" r:id="rId10"/>
    <sheet name="insulin efsitora" sheetId="38" r:id="rId11"/>
    <sheet name="imlunestrant" sheetId="40" r:id="rId12"/>
    <sheet name="Ebglyss" sheetId="36" r:id="rId13"/>
    <sheet name="Jayprica" sheetId="28" r:id="rId14"/>
    <sheet name="Verzenio" sheetId="31" r:id="rId15"/>
    <sheet name="Alimta" sheetId="10" r:id="rId16"/>
    <sheet name="Cymbalta" sheetId="4" r:id="rId17"/>
    <sheet name="Jardiance" sheetId="32" r:id="rId18"/>
    <sheet name="Forteo" sheetId="6" r:id="rId19"/>
    <sheet name="Strattera" sheetId="5" r:id="rId20"/>
    <sheet name="Cialis" sheetId="9" r:id="rId21"/>
    <sheet name="Evista" sheetId="7" r:id="rId22"/>
    <sheet name="Gemzar" sheetId="23" r:id="rId23"/>
    <sheet name="Zyprexa" sheetId="3" r:id="rId24"/>
    <sheet name="Exenatide" sheetId="11" r:id="rId25"/>
    <sheet name="Effient" sheetId="14" r:id="rId26"/>
    <sheet name="Enzastaurin" sheetId="15" r:id="rId27"/>
    <sheet name="Arzoxifene" sheetId="16" r:id="rId28"/>
    <sheet name="LY2062430" sheetId="26" r:id="rId29"/>
    <sheet name="LY2140023" sheetId="24" r:id="rId30"/>
  </sheets>
  <calcPr calcId="191029"/>
</workbook>
</file>

<file path=xl/calcChain.xml><?xml version="1.0" encoding="utf-8"?>
<calcChain xmlns="http://schemas.openxmlformats.org/spreadsheetml/2006/main">
  <c r="FK67" i="2" l="1"/>
  <c r="FJ95" i="2"/>
  <c r="DQ20" i="2"/>
  <c r="DU20" i="2" s="1"/>
  <c r="DQ29" i="2"/>
  <c r="DU25" i="2"/>
  <c r="DQ110" i="2"/>
  <c r="DQ121" i="2" s="1"/>
  <c r="DQ97" i="2"/>
  <c r="DQ103" i="2"/>
  <c r="DQ108" i="2" s="1"/>
  <c r="DK67" i="2"/>
  <c r="DM68" i="2"/>
  <c r="DQ68" i="2"/>
  <c r="DR41" i="2"/>
  <c r="DS41" i="2" s="1"/>
  <c r="DT41" i="2" s="1"/>
  <c r="DU41" i="2" s="1"/>
  <c r="DV41" i="2" s="1"/>
  <c r="DR39" i="2"/>
  <c r="DS39" i="2" s="1"/>
  <c r="DT39" i="2" s="1"/>
  <c r="DU39" i="2" s="1"/>
  <c r="DV39" i="2" s="1"/>
  <c r="DR36" i="2"/>
  <c r="DS36" i="2" s="1"/>
  <c r="DT36" i="2" s="1"/>
  <c r="DU36" i="2" s="1"/>
  <c r="DV36" i="2" s="1"/>
  <c r="DR35" i="2"/>
  <c r="DS35" i="2" s="1"/>
  <c r="DT35" i="2" s="1"/>
  <c r="DU35" i="2" s="1"/>
  <c r="DV35" i="2" s="1"/>
  <c r="DR34" i="2"/>
  <c r="DS34" i="2" s="1"/>
  <c r="DT34" i="2" s="1"/>
  <c r="DU34" i="2" s="1"/>
  <c r="DV34" i="2" s="1"/>
  <c r="DS33" i="2"/>
  <c r="DT33" i="2" s="1"/>
  <c r="DU33" i="2" s="1"/>
  <c r="DV33" i="2" s="1"/>
  <c r="DS32" i="2"/>
  <c r="DT32" i="2" s="1"/>
  <c r="DU32" i="2" s="1"/>
  <c r="DV32" i="2" s="1"/>
  <c r="DR13" i="2"/>
  <c r="DS13" i="2" s="1"/>
  <c r="DT13" i="2" s="1"/>
  <c r="DU13" i="2" s="1"/>
  <c r="DV13" i="2" s="1"/>
  <c r="DR30" i="2"/>
  <c r="DS30" i="2" s="1"/>
  <c r="DT30" i="2" s="1"/>
  <c r="DU30" i="2" s="1"/>
  <c r="DV30" i="2" s="1"/>
  <c r="DU29" i="2"/>
  <c r="DT29" i="2"/>
  <c r="DS29" i="2"/>
  <c r="DU26" i="2"/>
  <c r="DT26" i="2"/>
  <c r="DS26" i="2"/>
  <c r="DU24" i="2"/>
  <c r="DT24" i="2"/>
  <c r="DU23" i="2"/>
  <c r="DT23" i="2"/>
  <c r="DU22" i="2"/>
  <c r="DT22" i="2"/>
  <c r="DU21" i="2"/>
  <c r="DT21" i="2"/>
  <c r="DT20" i="2"/>
  <c r="DU19" i="2"/>
  <c r="DT19" i="2"/>
  <c r="DU18" i="2"/>
  <c r="DT18" i="2"/>
  <c r="DS18" i="2"/>
  <c r="DS19" i="2"/>
  <c r="DS20" i="2"/>
  <c r="DS21" i="2"/>
  <c r="DS22" i="2"/>
  <c r="DS23" i="2"/>
  <c r="DS24" i="2"/>
  <c r="DU17" i="2"/>
  <c r="DT17" i="2"/>
  <c r="DS17" i="2"/>
  <c r="DU16" i="2"/>
  <c r="DT16" i="2"/>
  <c r="DS16" i="2"/>
  <c r="DU15" i="2"/>
  <c r="DT15" i="2"/>
  <c r="DS15" i="2"/>
  <c r="DU14" i="2"/>
  <c r="DT14" i="2"/>
  <c r="DS14" i="2"/>
  <c r="DU10" i="2"/>
  <c r="DT10" i="2"/>
  <c r="DS10" i="2"/>
  <c r="DU9" i="2"/>
  <c r="DT9" i="2"/>
  <c r="DS9" i="2"/>
  <c r="DQ67" i="2" l="1"/>
  <c r="DQ69" i="2" s="1"/>
  <c r="DR7" i="2"/>
  <c r="DS7" i="2" s="1"/>
  <c r="DT7" i="2" s="1"/>
  <c r="DU7" i="2" s="1"/>
  <c r="DV7" i="2" s="1"/>
  <c r="DV72" i="2"/>
  <c r="DV73" i="2" s="1"/>
  <c r="DU72" i="2"/>
  <c r="DU73" i="2" s="1"/>
  <c r="DT72" i="2"/>
  <c r="DT73" i="2" s="1"/>
  <c r="DS72" i="2"/>
  <c r="DS73" i="2" s="1"/>
  <c r="DV77" i="2"/>
  <c r="DV78" i="2" s="1"/>
  <c r="DU77" i="2"/>
  <c r="DU78" i="2" s="1"/>
  <c r="DT77" i="2"/>
  <c r="DT78" i="2" s="1"/>
  <c r="DS77" i="2"/>
  <c r="DS78" i="2" s="1"/>
  <c r="DP67" i="2"/>
  <c r="DO67" i="2"/>
  <c r="FK33" i="2"/>
  <c r="FK32" i="2"/>
  <c r="DR19" i="2"/>
  <c r="DV19" i="2" s="1"/>
  <c r="DR10" i="2"/>
  <c r="DV10" i="2" s="1"/>
  <c r="DR9" i="2"/>
  <c r="DV9" i="2" s="1"/>
  <c r="DR6" i="2"/>
  <c r="DS6" i="2" s="1"/>
  <c r="DT6" i="2" s="1"/>
  <c r="DU6" i="2" s="1"/>
  <c r="DV6" i="2" s="1"/>
  <c r="DR26" i="2"/>
  <c r="DV26" i="2" s="1"/>
  <c r="DR24" i="2"/>
  <c r="DV24" i="2" s="1"/>
  <c r="DR22" i="2"/>
  <c r="DV22" i="2" s="1"/>
  <c r="DR16" i="2"/>
  <c r="DV16" i="2" s="1"/>
  <c r="DR15" i="2"/>
  <c r="DV15" i="2" s="1"/>
  <c r="DP71" i="2"/>
  <c r="F50" i="2" l="1"/>
  <c r="F51" i="2"/>
  <c r="F41" i="2"/>
  <c r="F14" i="2"/>
  <c r="F52" i="2"/>
  <c r="F49" i="2"/>
  <c r="AR17" i="2"/>
  <c r="AS17" i="2" s="1"/>
  <c r="AT17" i="2" s="1"/>
  <c r="AU17" i="2" s="1"/>
  <c r="AV17" i="2" s="1"/>
  <c r="AW17" i="2" s="1"/>
  <c r="E67" i="2"/>
  <c r="D67" i="2"/>
  <c r="C67" i="2"/>
  <c r="J50" i="2"/>
  <c r="J57" i="2"/>
  <c r="J14" i="2"/>
  <c r="J46" i="2"/>
  <c r="J52" i="2"/>
  <c r="J49" i="2"/>
  <c r="I67" i="2"/>
  <c r="H67" i="2"/>
  <c r="G67" i="2"/>
  <c r="N52" i="2"/>
  <c r="N50" i="2"/>
  <c r="N14" i="2"/>
  <c r="N46" i="2"/>
  <c r="N57" i="2"/>
  <c r="N49" i="2"/>
  <c r="N25" i="2"/>
  <c r="M67" i="2"/>
  <c r="L67" i="2"/>
  <c r="R61" i="2"/>
  <c r="R46" i="2"/>
  <c r="R57" i="2"/>
  <c r="R12" i="2"/>
  <c r="R49" i="2"/>
  <c r="R25" i="2"/>
  <c r="O52" i="2"/>
  <c r="O67" i="2" s="1"/>
  <c r="Q14" i="2"/>
  <c r="P14" i="2"/>
  <c r="Q67" i="2"/>
  <c r="P67" i="2"/>
  <c r="V52" i="2"/>
  <c r="V61" i="2"/>
  <c r="V57" i="2"/>
  <c r="V49" i="2"/>
  <c r="V46" i="2"/>
  <c r="V12" i="2"/>
  <c r="V14" i="2"/>
  <c r="V25" i="2"/>
  <c r="U67" i="2"/>
  <c r="T67" i="2"/>
  <c r="S67" i="2"/>
  <c r="Z49" i="2"/>
  <c r="Z14" i="2"/>
  <c r="Z12" i="2"/>
  <c r="AH14" i="2"/>
  <c r="AH12" i="2"/>
  <c r="AH61" i="2"/>
  <c r="AH60" i="2"/>
  <c r="AH57" i="2"/>
  <c r="AH49" i="2"/>
  <c r="AH46" i="2"/>
  <c r="AH25" i="2"/>
  <c r="AD12" i="2"/>
  <c r="AD14" i="2"/>
  <c r="AD61" i="2"/>
  <c r="AD57" i="2"/>
  <c r="AD46" i="2"/>
  <c r="AD25" i="2"/>
  <c r="AA49" i="2"/>
  <c r="AA67" i="2" s="1"/>
  <c r="Z61" i="2"/>
  <c r="Z57" i="2"/>
  <c r="Z46" i="2"/>
  <c r="Z25" i="2"/>
  <c r="Y67" i="2"/>
  <c r="X67" i="2"/>
  <c r="W67" i="2"/>
  <c r="AC67" i="2"/>
  <c r="AB67" i="2"/>
  <c r="AG67" i="2"/>
  <c r="AF67" i="2"/>
  <c r="AE67" i="2"/>
  <c r="DB150" i="2"/>
  <c r="DC150" i="2"/>
  <c r="DD150" i="2"/>
  <c r="DE150" i="2"/>
  <c r="DF150" i="2"/>
  <c r="DG150" i="2"/>
  <c r="DH150" i="2"/>
  <c r="DI150" i="2"/>
  <c r="DJ150" i="2"/>
  <c r="DK150" i="2"/>
  <c r="DL150" i="2"/>
  <c r="DN150" i="2"/>
  <c r="DO150" i="2"/>
  <c r="DP150" i="2"/>
  <c r="FE25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EG81" i="2"/>
  <c r="EH81" i="2"/>
  <c r="EH50" i="2"/>
  <c r="EI81" i="2"/>
  <c r="EJ72" i="2"/>
  <c r="EJ69" i="2"/>
  <c r="EJ73" i="2" s="1"/>
  <c r="EJ75" i="2" s="1"/>
  <c r="EJ77" i="2" s="1"/>
  <c r="EJ78" i="2" s="1"/>
  <c r="F67" i="2" l="1"/>
  <c r="R14" i="2"/>
  <c r="J67" i="2"/>
  <c r="N67" i="2"/>
  <c r="R52" i="2"/>
  <c r="R67" i="2" s="1"/>
  <c r="K67" i="2"/>
  <c r="V67" i="2"/>
  <c r="AD49" i="2"/>
  <c r="AD67" i="2" s="1"/>
  <c r="Z67" i="2"/>
  <c r="AH67" i="2"/>
  <c r="EJ81" i="2"/>
  <c r="EK81" i="2"/>
  <c r="EN81" i="2"/>
  <c r="EM81" i="2"/>
  <c r="EL81" i="2"/>
  <c r="EM72" i="2"/>
  <c r="EL72" i="2"/>
  <c r="EK72" i="2"/>
  <c r="EN69" i="2"/>
  <c r="EM69" i="2"/>
  <c r="EM73" i="2" s="1"/>
  <c r="EM75" i="2" s="1"/>
  <c r="EM77" i="2" s="1"/>
  <c r="EM78" i="2" s="1"/>
  <c r="EL69" i="2"/>
  <c r="EL73" i="2" s="1"/>
  <c r="EL75" i="2" s="1"/>
  <c r="EL77" i="2" s="1"/>
  <c r="EL78" i="2" s="1"/>
  <c r="EK69" i="2"/>
  <c r="EK73" i="2" s="1"/>
  <c r="EK75" i="2" s="1"/>
  <c r="EK77" i="2" s="1"/>
  <c r="EK78" i="2" s="1"/>
  <c r="FC18" i="2"/>
  <c r="FC17" i="2"/>
  <c r="FC16" i="2"/>
  <c r="FC14" i="2"/>
  <c r="FC12" i="2"/>
  <c r="FB14" i="2"/>
  <c r="FB13" i="2"/>
  <c r="FB12" i="2"/>
  <c r="FA14" i="2"/>
  <c r="FA13" i="2"/>
  <c r="FA12" i="2"/>
  <c r="FA5" i="2"/>
  <c r="FA3" i="2" s="1"/>
  <c r="FB18" i="2"/>
  <c r="FB11" i="2"/>
  <c r="FC11" i="2"/>
  <c r="FC9" i="2"/>
  <c r="FC5" i="2"/>
  <c r="FC3" i="2" s="1"/>
  <c r="FB5" i="2"/>
  <c r="FD15" i="2"/>
  <c r="FD14" i="2"/>
  <c r="FD13" i="2"/>
  <c r="FD12" i="2"/>
  <c r="FD11" i="2"/>
  <c r="FD10" i="2"/>
  <c r="FE86" i="2" s="1"/>
  <c r="FD9" i="2"/>
  <c r="FE85" i="2" s="1"/>
  <c r="FF119" i="2"/>
  <c r="FF117" i="2"/>
  <c r="FF116" i="2"/>
  <c r="FF115" i="2"/>
  <c r="FF114" i="2"/>
  <c r="FF113" i="2"/>
  <c r="FF112" i="2"/>
  <c r="FF111" i="2"/>
  <c r="FF106" i="2"/>
  <c r="FF105" i="2"/>
  <c r="FF104" i="2"/>
  <c r="FF102" i="2"/>
  <c r="FF101" i="2"/>
  <c r="FF100" i="2"/>
  <c r="FF99" i="2"/>
  <c r="FF98" i="2"/>
  <c r="FG120" i="2"/>
  <c r="FG119" i="2"/>
  <c r="FG117" i="2"/>
  <c r="FG116" i="2"/>
  <c r="FG115" i="2"/>
  <c r="FG114" i="2"/>
  <c r="FG113" i="2"/>
  <c r="FG112" i="2"/>
  <c r="FG111" i="2"/>
  <c r="FG107" i="2"/>
  <c r="FG106" i="2"/>
  <c r="FG105" i="2"/>
  <c r="FG104" i="2"/>
  <c r="FG102" i="2"/>
  <c r="FG101" i="2"/>
  <c r="FG100" i="2"/>
  <c r="FG99" i="2"/>
  <c r="FG98" i="2"/>
  <c r="FF79" i="2"/>
  <c r="FF76" i="2"/>
  <c r="FF74" i="2"/>
  <c r="FF71" i="2"/>
  <c r="FF70" i="2"/>
  <c r="FF68" i="2"/>
  <c r="FF31" i="2"/>
  <c r="FF30" i="2"/>
  <c r="FF26" i="2"/>
  <c r="FF23" i="2"/>
  <c r="FF19" i="2"/>
  <c r="FF18" i="2"/>
  <c r="FF16" i="2"/>
  <c r="FF15" i="2"/>
  <c r="FF14" i="2"/>
  <c r="FF13" i="2"/>
  <c r="FF12" i="2"/>
  <c r="FF11" i="2"/>
  <c r="FF10" i="2"/>
  <c r="FF86" i="2" s="1"/>
  <c r="FF9" i="2"/>
  <c r="FF85" i="2" s="1"/>
  <c r="FF5" i="2"/>
  <c r="FF3" i="2" s="1"/>
  <c r="CX20" i="2"/>
  <c r="FF20" i="2" s="1"/>
  <c r="CX21" i="2"/>
  <c r="FF21" i="2" s="1"/>
  <c r="CX29" i="2"/>
  <c r="FF29" i="2" s="1"/>
  <c r="CX24" i="2"/>
  <c r="FF24" i="2" s="1"/>
  <c r="CX120" i="2"/>
  <c r="FF120" i="2" s="1"/>
  <c r="CX118" i="2"/>
  <c r="FF118" i="2" s="1"/>
  <c r="CX110" i="2"/>
  <c r="FF110" i="2" s="1"/>
  <c r="CX97" i="2"/>
  <c r="CX107" i="2"/>
  <c r="FF107" i="2" s="1"/>
  <c r="CX103" i="2"/>
  <c r="FF103" i="2" s="1"/>
  <c r="CX40" i="2"/>
  <c r="FF40" i="2" s="1"/>
  <c r="CX25" i="2"/>
  <c r="FF25" i="2" s="1"/>
  <c r="CX28" i="2"/>
  <c r="FF28" i="2" s="1"/>
  <c r="CX27" i="2"/>
  <c r="FF27" i="2" s="1"/>
  <c r="CX17" i="2"/>
  <c r="FF17" i="2" s="1"/>
  <c r="CW22" i="2"/>
  <c r="CW119" i="2"/>
  <c r="CW118" i="2"/>
  <c r="CW110" i="2"/>
  <c r="CW97" i="2"/>
  <c r="CW103" i="2"/>
  <c r="CV22" i="2"/>
  <c r="CV145" i="2"/>
  <c r="CV143" i="2"/>
  <c r="CV142" i="2"/>
  <c r="CV140" i="2"/>
  <c r="CW140" i="2" s="1"/>
  <c r="CV137" i="2"/>
  <c r="CW137" i="2" s="1"/>
  <c r="CX137" i="2" s="1"/>
  <c r="FF137" i="2" s="1"/>
  <c r="CV134" i="2"/>
  <c r="CW134" i="2" s="1"/>
  <c r="CX134" i="2" s="1"/>
  <c r="CV131" i="2"/>
  <c r="CW131" i="2" s="1"/>
  <c r="CX131" i="2" s="1"/>
  <c r="FF131" i="2" s="1"/>
  <c r="CV130" i="2"/>
  <c r="CW130" i="2" s="1"/>
  <c r="CV129" i="2"/>
  <c r="CW129" i="2" s="1"/>
  <c r="CX129" i="2" s="1"/>
  <c r="FF129" i="2" s="1"/>
  <c r="CV128" i="2"/>
  <c r="CW128" i="2" s="1"/>
  <c r="CX128" i="2" s="1"/>
  <c r="FF128" i="2" s="1"/>
  <c r="CV127" i="2"/>
  <c r="CV126" i="2"/>
  <c r="CV125" i="2"/>
  <c r="CV124" i="2"/>
  <c r="CW124" i="2" s="1"/>
  <c r="CX124" i="2" s="1"/>
  <c r="CV119" i="2"/>
  <c r="CV118" i="2"/>
  <c r="CV110" i="2"/>
  <c r="CV103" i="2"/>
  <c r="CV97" i="2"/>
  <c r="CQ22" i="2"/>
  <c r="CU22" i="2"/>
  <c r="CU141" i="2"/>
  <c r="CU136" i="2"/>
  <c r="CV136" i="2" s="1"/>
  <c r="CW136" i="2" s="1"/>
  <c r="CU135" i="2"/>
  <c r="CV135" i="2" s="1"/>
  <c r="CU132" i="2"/>
  <c r="CU119" i="2"/>
  <c r="CU118" i="2"/>
  <c r="CU110" i="2"/>
  <c r="CU103" i="2"/>
  <c r="CU97" i="2"/>
  <c r="DB118" i="2"/>
  <c r="DB110" i="2"/>
  <c r="FG110" i="2" s="1"/>
  <c r="DB103" i="2"/>
  <c r="FG103" i="2" s="1"/>
  <c r="DB97" i="2"/>
  <c r="FG97" i="2" s="1"/>
  <c r="FG79" i="2"/>
  <c r="FG76" i="2"/>
  <c r="FG74" i="2"/>
  <c r="DA118" i="2"/>
  <c r="DA110" i="2"/>
  <c r="DA103" i="2"/>
  <c r="DA97" i="2"/>
  <c r="CZ145" i="2"/>
  <c r="DA145" i="2" s="1"/>
  <c r="DB145" i="2" s="1"/>
  <c r="FG145" i="2" s="1"/>
  <c r="CZ143" i="2"/>
  <c r="DA143" i="2" s="1"/>
  <c r="DB143" i="2" s="1"/>
  <c r="CZ142" i="2"/>
  <c r="DA142" i="2" s="1"/>
  <c r="CZ140" i="2"/>
  <c r="DA140" i="2" s="1"/>
  <c r="DB140" i="2" s="1"/>
  <c r="CZ137" i="2"/>
  <c r="DA137" i="2" s="1"/>
  <c r="DB137" i="2" s="1"/>
  <c r="CZ134" i="2"/>
  <c r="DA134" i="2" s="1"/>
  <c r="CZ131" i="2"/>
  <c r="DA131" i="2" s="1"/>
  <c r="CZ130" i="2"/>
  <c r="DA130" i="2" s="1"/>
  <c r="DB130" i="2" s="1"/>
  <c r="CZ129" i="2"/>
  <c r="DA129" i="2" s="1"/>
  <c r="DB129" i="2" s="1"/>
  <c r="CZ128" i="2"/>
  <c r="DA128" i="2" s="1"/>
  <c r="CZ127" i="2"/>
  <c r="DA127" i="2" s="1"/>
  <c r="DB127" i="2" s="1"/>
  <c r="CZ126" i="2"/>
  <c r="DA126" i="2" s="1"/>
  <c r="DB126" i="2" s="1"/>
  <c r="CZ125" i="2"/>
  <c r="DA125" i="2" s="1"/>
  <c r="CZ124" i="2"/>
  <c r="DA124" i="2" s="1"/>
  <c r="DB124" i="2" s="1"/>
  <c r="FG124" i="2" s="1"/>
  <c r="CZ118" i="2"/>
  <c r="CZ110" i="2"/>
  <c r="CZ97" i="2"/>
  <c r="CZ103" i="2"/>
  <c r="CY141" i="2"/>
  <c r="CZ141" i="2" s="1"/>
  <c r="DA141" i="2" s="1"/>
  <c r="CY136" i="2"/>
  <c r="CZ136" i="2" s="1"/>
  <c r="DA136" i="2" s="1"/>
  <c r="DB136" i="2" s="1"/>
  <c r="CY135" i="2"/>
  <c r="CY132" i="2"/>
  <c r="CY118" i="2"/>
  <c r="CY110" i="2"/>
  <c r="CY97" i="2"/>
  <c r="CY103" i="2"/>
  <c r="FH120" i="2"/>
  <c r="FH119" i="2"/>
  <c r="FH117" i="2"/>
  <c r="FH116" i="2"/>
  <c r="FH115" i="2"/>
  <c r="FH114" i="2"/>
  <c r="FH113" i="2"/>
  <c r="FH112" i="2"/>
  <c r="FH111" i="2"/>
  <c r="FH107" i="2"/>
  <c r="FH106" i="2"/>
  <c r="FH104" i="2"/>
  <c r="FH101" i="2"/>
  <c r="FH100" i="2"/>
  <c r="FH99" i="2"/>
  <c r="FH98" i="2"/>
  <c r="FH76" i="2"/>
  <c r="FH74" i="2"/>
  <c r="FH71" i="2"/>
  <c r="FH70" i="2"/>
  <c r="FH68" i="2"/>
  <c r="FH41" i="2"/>
  <c r="FH40" i="2"/>
  <c r="FH39" i="2"/>
  <c r="FH38" i="2"/>
  <c r="FH31" i="2"/>
  <c r="FH30" i="2"/>
  <c r="FH29" i="2"/>
  <c r="FH28" i="2"/>
  <c r="FH26" i="2"/>
  <c r="FH24" i="2"/>
  <c r="FH23" i="2"/>
  <c r="FH22" i="2"/>
  <c r="FH20" i="2"/>
  <c r="FH19" i="2"/>
  <c r="FH18" i="2"/>
  <c r="FH16" i="2"/>
  <c r="FH15" i="2"/>
  <c r="FH13" i="2"/>
  <c r="FH11" i="2"/>
  <c r="FH10" i="2"/>
  <c r="FH9" i="2"/>
  <c r="FH8" i="2"/>
  <c r="DD145" i="2"/>
  <c r="DE145" i="2" s="1"/>
  <c r="DD143" i="2"/>
  <c r="DE143" i="2" s="1"/>
  <c r="DF143" i="2" s="1"/>
  <c r="DD142" i="2"/>
  <c r="DE142" i="2" s="1"/>
  <c r="DF142" i="2" s="1"/>
  <c r="DD141" i="2"/>
  <c r="DE141" i="2" s="1"/>
  <c r="DD140" i="2"/>
  <c r="DE140" i="2" s="1"/>
  <c r="DD137" i="2"/>
  <c r="DE137" i="2" s="1"/>
  <c r="DF137" i="2" s="1"/>
  <c r="DD134" i="2"/>
  <c r="DE134" i="2" s="1"/>
  <c r="DF134" i="2" s="1"/>
  <c r="DD131" i="2"/>
  <c r="DD130" i="2"/>
  <c r="DD129" i="2"/>
  <c r="DE129" i="2" s="1"/>
  <c r="DF129" i="2" s="1"/>
  <c r="DD128" i="2"/>
  <c r="DD127" i="2"/>
  <c r="DE127" i="2" s="1"/>
  <c r="DF127" i="2" s="1"/>
  <c r="DD126" i="2"/>
  <c r="DE126" i="2" s="1"/>
  <c r="DD125" i="2"/>
  <c r="DE125" i="2" s="1"/>
  <c r="DD124" i="2"/>
  <c r="DE124" i="2" s="1"/>
  <c r="FE83" i="2"/>
  <c r="FI120" i="2"/>
  <c r="FI119" i="2"/>
  <c r="FI117" i="2"/>
  <c r="FI116" i="2"/>
  <c r="FI115" i="2"/>
  <c r="FI114" i="2"/>
  <c r="FI113" i="2"/>
  <c r="FI112" i="2"/>
  <c r="FI111" i="2"/>
  <c r="FI107" i="2"/>
  <c r="FI106" i="2"/>
  <c r="FI105" i="2"/>
  <c r="FI104" i="2"/>
  <c r="FI102" i="2"/>
  <c r="FI101" i="2"/>
  <c r="FI100" i="2"/>
  <c r="FI99" i="2"/>
  <c r="FI98" i="2"/>
  <c r="FJ120" i="2"/>
  <c r="FJ119" i="2"/>
  <c r="FJ118" i="2"/>
  <c r="FJ117" i="2"/>
  <c r="FJ116" i="2"/>
  <c r="FJ115" i="2"/>
  <c r="FJ114" i="2"/>
  <c r="FJ113" i="2"/>
  <c r="FJ112" i="2"/>
  <c r="FJ111" i="2"/>
  <c r="FJ107" i="2"/>
  <c r="FJ106" i="2"/>
  <c r="FJ105" i="2"/>
  <c r="FJ104" i="2"/>
  <c r="FJ102" i="2"/>
  <c r="FJ101" i="2"/>
  <c r="FJ100" i="2"/>
  <c r="FJ99" i="2"/>
  <c r="FJ98" i="2"/>
  <c r="FI30" i="2"/>
  <c r="FI26" i="2"/>
  <c r="FI23" i="2"/>
  <c r="FI19" i="2"/>
  <c r="FI18" i="2"/>
  <c r="FI16" i="2"/>
  <c r="FI15" i="2"/>
  <c r="FI13" i="2"/>
  <c r="FI11" i="2"/>
  <c r="FI10" i="2"/>
  <c r="FI9" i="2"/>
  <c r="FI8" i="2"/>
  <c r="FI6" i="2"/>
  <c r="FI5" i="2"/>
  <c r="DJ24" i="2"/>
  <c r="FI24" i="2" s="1"/>
  <c r="DJ29" i="2"/>
  <c r="FI29" i="2" s="1"/>
  <c r="DJ37" i="2"/>
  <c r="FI37" i="2" s="1"/>
  <c r="DI20" i="2"/>
  <c r="DG20" i="2"/>
  <c r="DJ118" i="2"/>
  <c r="FI118" i="2" s="1"/>
  <c r="DJ110" i="2"/>
  <c r="FI110" i="2" s="1"/>
  <c r="DJ103" i="2"/>
  <c r="FI103" i="2" s="1"/>
  <c r="DJ97" i="2"/>
  <c r="FI97" i="2" s="1"/>
  <c r="DJ27" i="2"/>
  <c r="FI27" i="2" s="1"/>
  <c r="DJ25" i="2"/>
  <c r="FI25" i="2" s="1"/>
  <c r="DJ21" i="2"/>
  <c r="FI21" i="2" s="1"/>
  <c r="DJ17" i="2"/>
  <c r="FI17" i="2" s="1"/>
  <c r="DI22" i="2"/>
  <c r="DI118" i="2"/>
  <c r="DI110" i="2"/>
  <c r="DI103" i="2"/>
  <c r="DI97" i="2"/>
  <c r="DH145" i="2"/>
  <c r="DI145" i="2" s="1"/>
  <c r="DH143" i="2"/>
  <c r="DI143" i="2" s="1"/>
  <c r="DJ143" i="2" s="1"/>
  <c r="DH142" i="2"/>
  <c r="DI142" i="2" s="1"/>
  <c r="DJ142" i="2" s="1"/>
  <c r="DH140" i="2"/>
  <c r="DI140" i="2" s="1"/>
  <c r="DJ140" i="2" s="1"/>
  <c r="DH137" i="2"/>
  <c r="DI137" i="2" s="1"/>
  <c r="DJ137" i="2" s="1"/>
  <c r="DH136" i="2"/>
  <c r="DI136" i="2" s="1"/>
  <c r="DJ136" i="2" s="1"/>
  <c r="DH134" i="2"/>
  <c r="DI134" i="2" s="1"/>
  <c r="DH131" i="2"/>
  <c r="DI131" i="2" s="1"/>
  <c r="DJ131" i="2" s="1"/>
  <c r="DH130" i="2"/>
  <c r="DI130" i="2" s="1"/>
  <c r="DJ130" i="2" s="1"/>
  <c r="DH129" i="2"/>
  <c r="DH128" i="2"/>
  <c r="DI128" i="2" s="1"/>
  <c r="DJ128" i="2" s="1"/>
  <c r="DH127" i="2"/>
  <c r="DI127" i="2" s="1"/>
  <c r="DJ127" i="2" s="1"/>
  <c r="DH126" i="2"/>
  <c r="DI126" i="2" s="1"/>
  <c r="DJ126" i="2" s="1"/>
  <c r="DH125" i="2"/>
  <c r="DI125" i="2" s="1"/>
  <c r="DJ125" i="2" s="1"/>
  <c r="DH124" i="2"/>
  <c r="DI124" i="2" s="1"/>
  <c r="FJ30" i="2"/>
  <c r="FJ26" i="2"/>
  <c r="FJ24" i="2"/>
  <c r="FJ19" i="2"/>
  <c r="FJ16" i="2"/>
  <c r="FJ15" i="2"/>
  <c r="FJ13" i="2"/>
  <c r="FJ12" i="2"/>
  <c r="FJ11" i="2"/>
  <c r="FJ10" i="2"/>
  <c r="FJ9" i="2"/>
  <c r="FJ7" i="2"/>
  <c r="FJ6" i="2"/>
  <c r="FJ5" i="2"/>
  <c r="DM25" i="2"/>
  <c r="DL31" i="2"/>
  <c r="FJ31" i="2" s="1"/>
  <c r="DL29" i="2"/>
  <c r="DN23" i="2"/>
  <c r="DN21" i="2"/>
  <c r="DN18" i="2"/>
  <c r="DN17" i="2"/>
  <c r="DN14" i="2"/>
  <c r="DM22" i="2"/>
  <c r="DM110" i="2"/>
  <c r="DM121" i="2" s="1"/>
  <c r="DM103" i="2"/>
  <c r="DM97" i="2"/>
  <c r="DL22" i="2"/>
  <c r="DO76" i="2"/>
  <c r="DO68" i="2"/>
  <c r="DP76" i="2"/>
  <c r="DP87" i="2"/>
  <c r="DP86" i="2"/>
  <c r="DP85" i="2"/>
  <c r="DP84" i="2"/>
  <c r="DP83" i="2"/>
  <c r="DP68" i="2"/>
  <c r="DP145" i="2"/>
  <c r="DQ145" i="2" s="1"/>
  <c r="DP143" i="2"/>
  <c r="DQ143" i="2" s="1"/>
  <c r="DP142" i="2"/>
  <c r="DQ142" i="2" s="1"/>
  <c r="DP141" i="2"/>
  <c r="DQ141" i="2" s="1"/>
  <c r="DP140" i="2"/>
  <c r="DQ140" i="2" s="1"/>
  <c r="DP136" i="2"/>
  <c r="DQ136" i="2" s="1"/>
  <c r="DP137" i="2"/>
  <c r="DQ137" i="2" s="1"/>
  <c r="DP134" i="2"/>
  <c r="DQ134" i="2" s="1"/>
  <c r="DP131" i="2"/>
  <c r="DQ131" i="2" s="1"/>
  <c r="DP130" i="2"/>
  <c r="DQ130" i="2" s="1"/>
  <c r="DP129" i="2"/>
  <c r="DQ129" i="2" s="1"/>
  <c r="DP128" i="2"/>
  <c r="DQ128" i="2" s="1"/>
  <c r="DP127" i="2"/>
  <c r="DQ127" i="2" s="1"/>
  <c r="DP126" i="2"/>
  <c r="DQ126" i="2" s="1"/>
  <c r="DP125" i="2"/>
  <c r="DQ125" i="2" s="1"/>
  <c r="DP124" i="2"/>
  <c r="DQ124" i="2" s="1"/>
  <c r="DP110" i="2"/>
  <c r="DP121" i="2" s="1"/>
  <c r="DP97" i="2"/>
  <c r="DP103" i="2"/>
  <c r="DR95" i="2"/>
  <c r="DQ95" i="2"/>
  <c r="DL145" i="2"/>
  <c r="DM145" i="2" s="1"/>
  <c r="DL143" i="2"/>
  <c r="DM143" i="2" s="1"/>
  <c r="DN143" i="2" s="1"/>
  <c r="DL142" i="2"/>
  <c r="DM142" i="2" s="1"/>
  <c r="DN142" i="2" s="1"/>
  <c r="DL140" i="2"/>
  <c r="DM140" i="2" s="1"/>
  <c r="DL137" i="2"/>
  <c r="DM137" i="2" s="1"/>
  <c r="DN137" i="2" s="1"/>
  <c r="DL136" i="2"/>
  <c r="DM136" i="2" s="1"/>
  <c r="DN136" i="2" s="1"/>
  <c r="DL134" i="2"/>
  <c r="DM134" i="2" s="1"/>
  <c r="DL131" i="2"/>
  <c r="DM131" i="2" s="1"/>
  <c r="DL130" i="2"/>
  <c r="DM130" i="2" s="1"/>
  <c r="DN130" i="2" s="1"/>
  <c r="DL129" i="2"/>
  <c r="DM129" i="2" s="1"/>
  <c r="DN129" i="2" s="1"/>
  <c r="DL128" i="2"/>
  <c r="DM128" i="2" s="1"/>
  <c r="DN128" i="2" s="1"/>
  <c r="DL127" i="2"/>
  <c r="DM127" i="2" s="1"/>
  <c r="DN127" i="2" s="1"/>
  <c r="DL126" i="2"/>
  <c r="DM126" i="2" s="1"/>
  <c r="DN126" i="2" s="1"/>
  <c r="DL125" i="2"/>
  <c r="DM125" i="2" s="1"/>
  <c r="DL124" i="2"/>
  <c r="DM124" i="2" s="1"/>
  <c r="DL111" i="2"/>
  <c r="DL110" i="2"/>
  <c r="DL103" i="2"/>
  <c r="DL97" i="2"/>
  <c r="FJ37" i="2"/>
  <c r="DK141" i="2"/>
  <c r="DL141" i="2" s="1"/>
  <c r="DM141" i="2" s="1"/>
  <c r="DN141" i="2" s="1"/>
  <c r="DK135" i="2"/>
  <c r="DL135" i="2" s="1"/>
  <c r="DM135" i="2" s="1"/>
  <c r="DN135" i="2" s="1"/>
  <c r="DK132" i="2"/>
  <c r="DO144" i="2"/>
  <c r="DO135" i="2"/>
  <c r="DP135" i="2" s="1"/>
  <c r="DQ135" i="2" s="1"/>
  <c r="DO132" i="2"/>
  <c r="DO110" i="2"/>
  <c r="DO121" i="2" s="1"/>
  <c r="DO103" i="2"/>
  <c r="DO97" i="2"/>
  <c r="DO84" i="2"/>
  <c r="DO87" i="2"/>
  <c r="DO86" i="2"/>
  <c r="DO85" i="2"/>
  <c r="DO83" i="2"/>
  <c r="DO74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DQ144" i="2" l="1"/>
  <c r="DM67" i="2"/>
  <c r="DM69" i="2" s="1"/>
  <c r="DQ138" i="2"/>
  <c r="DQ132" i="2"/>
  <c r="FJ25" i="2"/>
  <c r="FJ17" i="2"/>
  <c r="DR17" i="2"/>
  <c r="DV17" i="2" s="1"/>
  <c r="FJ21" i="2"/>
  <c r="DR21" i="2"/>
  <c r="DV21" i="2" s="1"/>
  <c r="FJ23" i="2"/>
  <c r="DR23" i="2"/>
  <c r="DV23" i="2" s="1"/>
  <c r="FJ14" i="2"/>
  <c r="DR14" i="2"/>
  <c r="DV14" i="2" s="1"/>
  <c r="FJ18" i="2"/>
  <c r="DR18" i="2"/>
  <c r="DV18" i="2" s="1"/>
  <c r="CZ121" i="2"/>
  <c r="DL108" i="2"/>
  <c r="DM108" i="2"/>
  <c r="CV108" i="2"/>
  <c r="DN29" i="2"/>
  <c r="DI121" i="2"/>
  <c r="CW95" i="2"/>
  <c r="CY95" i="2"/>
  <c r="DB108" i="2"/>
  <c r="FG108" i="2" s="1"/>
  <c r="CW121" i="2"/>
  <c r="CZ95" i="2"/>
  <c r="FJ135" i="2"/>
  <c r="DP144" i="2"/>
  <c r="FC83" i="2"/>
  <c r="FJ130" i="2"/>
  <c r="CU95" i="2"/>
  <c r="CV121" i="2"/>
  <c r="CY144" i="2"/>
  <c r="FD83" i="2"/>
  <c r="CY121" i="2"/>
  <c r="DA121" i="2"/>
  <c r="FF83" i="2"/>
  <c r="CV95" i="2"/>
  <c r="DB121" i="2"/>
  <c r="FG121" i="2" s="1"/>
  <c r="FH127" i="2"/>
  <c r="FH134" i="2"/>
  <c r="CW145" i="2"/>
  <c r="CX145" i="2" s="1"/>
  <c r="FI131" i="2"/>
  <c r="FI136" i="2"/>
  <c r="FJ142" i="2"/>
  <c r="CX121" i="2"/>
  <c r="FF121" i="2" s="1"/>
  <c r="CZ135" i="2"/>
  <c r="DA135" i="2" s="1"/>
  <c r="DB135" i="2" s="1"/>
  <c r="CW126" i="2"/>
  <c r="CX126" i="2" s="1"/>
  <c r="FJ143" i="2"/>
  <c r="FB83" i="2"/>
  <c r="FI140" i="2"/>
  <c r="CW125" i="2"/>
  <c r="CX125" i="2" s="1"/>
  <c r="FJ83" i="2"/>
  <c r="CW127" i="2"/>
  <c r="CX127" i="2" s="1"/>
  <c r="FI125" i="2"/>
  <c r="DB125" i="2"/>
  <c r="FG125" i="2" s="1"/>
  <c r="CX130" i="2"/>
  <c r="FF130" i="2" s="1"/>
  <c r="CX22" i="2"/>
  <c r="FF22" i="2" s="1"/>
  <c r="FF67" i="2" s="1"/>
  <c r="FH142" i="2"/>
  <c r="FI142" i="2"/>
  <c r="FI86" i="2"/>
  <c r="FG127" i="2"/>
  <c r="CW108" i="2"/>
  <c r="CV141" i="2"/>
  <c r="CW141" i="2" s="1"/>
  <c r="CX141" i="2" s="1"/>
  <c r="FG126" i="2"/>
  <c r="CW143" i="2"/>
  <c r="CX143" i="2" s="1"/>
  <c r="DB142" i="2"/>
  <c r="FG142" i="2" s="1"/>
  <c r="DK144" i="2"/>
  <c r="FI143" i="2"/>
  <c r="DE131" i="2"/>
  <c r="DF131" i="2" s="1"/>
  <c r="FG118" i="2"/>
  <c r="DN131" i="2"/>
  <c r="FJ131" i="2" s="1"/>
  <c r="FF134" i="2"/>
  <c r="DF141" i="2"/>
  <c r="FH141" i="2" s="1"/>
  <c r="FG140" i="2"/>
  <c r="DB131" i="2"/>
  <c r="FG131" i="2" s="1"/>
  <c r="CX136" i="2"/>
  <c r="CW135" i="2"/>
  <c r="CX135" i="2" s="1"/>
  <c r="DA144" i="2"/>
  <c r="DB141" i="2"/>
  <c r="FG141" i="2" s="1"/>
  <c r="FG137" i="2"/>
  <c r="DF124" i="2"/>
  <c r="FH124" i="2"/>
  <c r="CX140" i="2"/>
  <c r="FF140" i="2" s="1"/>
  <c r="DF125" i="2"/>
  <c r="FH125" i="2" s="1"/>
  <c r="DB134" i="2"/>
  <c r="FH137" i="2"/>
  <c r="DF126" i="2"/>
  <c r="FH126" i="2" s="1"/>
  <c r="DA132" i="2"/>
  <c r="DB128" i="2"/>
  <c r="CX108" i="2"/>
  <c r="FF108" i="2" s="1"/>
  <c r="FF124" i="2"/>
  <c r="FB3" i="2"/>
  <c r="DN20" i="2"/>
  <c r="DI108" i="2"/>
  <c r="DD132" i="2"/>
  <c r="DA108" i="2"/>
  <c r="CV138" i="2"/>
  <c r="CW142" i="2"/>
  <c r="CX142" i="2" s="1"/>
  <c r="FI130" i="2"/>
  <c r="FF97" i="2"/>
  <c r="DI129" i="2"/>
  <c r="DJ129" i="2" s="1"/>
  <c r="CZ108" i="2"/>
  <c r="CU108" i="2"/>
  <c r="CU67" i="2"/>
  <c r="FI128" i="2"/>
  <c r="FJ136" i="2"/>
  <c r="CU138" i="2"/>
  <c r="FJ127" i="2"/>
  <c r="FG136" i="2"/>
  <c r="CU144" i="2"/>
  <c r="DE144" i="2"/>
  <c r="CY108" i="2"/>
  <c r="FJ86" i="2"/>
  <c r="FJ22" i="2"/>
  <c r="FJ137" i="2"/>
  <c r="FI127" i="2"/>
  <c r="FJ128" i="2"/>
  <c r="DE130" i="2"/>
  <c r="DF130" i="2" s="1"/>
  <c r="FJ141" i="2"/>
  <c r="FG129" i="2"/>
  <c r="DO95" i="2"/>
  <c r="FH72" i="2"/>
  <c r="CZ144" i="2"/>
  <c r="FI126" i="2"/>
  <c r="FG130" i="2"/>
  <c r="FG143" i="2"/>
  <c r="FH129" i="2"/>
  <c r="FI137" i="2"/>
  <c r="FJ85" i="2"/>
  <c r="CU121" i="2"/>
  <c r="FJ129" i="2"/>
  <c r="DI95" i="2"/>
  <c r="DF140" i="2"/>
  <c r="FH140" i="2" s="1"/>
  <c r="FJ126" i="2"/>
  <c r="FH143" i="2"/>
  <c r="CX95" i="2"/>
  <c r="FF95" i="2" s="1"/>
  <c r="CV132" i="2"/>
  <c r="DB95" i="2"/>
  <c r="FG95" i="2" s="1"/>
  <c r="DA95" i="2"/>
  <c r="CZ132" i="2"/>
  <c r="DJ145" i="2"/>
  <c r="FI145" i="2" s="1"/>
  <c r="DN125" i="2"/>
  <c r="FJ125" i="2" s="1"/>
  <c r="DJ124" i="2"/>
  <c r="FI124" i="2" s="1"/>
  <c r="DJ134" i="2"/>
  <c r="FI134" i="2" s="1"/>
  <c r="DF145" i="2"/>
  <c r="FH145" i="2" s="1"/>
  <c r="DJ108" i="2"/>
  <c r="FI108" i="2" s="1"/>
  <c r="DE128" i="2"/>
  <c r="DH132" i="2"/>
  <c r="DJ121" i="2"/>
  <c r="FI121" i="2" s="1"/>
  <c r="CY138" i="2"/>
  <c r="DD144" i="2"/>
  <c r="DJ95" i="2"/>
  <c r="FI95" i="2" s="1"/>
  <c r="FI85" i="2"/>
  <c r="DK138" i="2"/>
  <c r="DM138" i="2"/>
  <c r="DN134" i="2"/>
  <c r="DN138" i="2" s="1"/>
  <c r="DP132" i="2"/>
  <c r="DM132" i="2"/>
  <c r="DL121" i="2"/>
  <c r="DL132" i="2"/>
  <c r="DN145" i="2"/>
  <c r="FJ145" i="2" s="1"/>
  <c r="DM144" i="2"/>
  <c r="DN140" i="2"/>
  <c r="FJ140" i="2" s="1"/>
  <c r="DP108" i="2"/>
  <c r="DO108" i="2"/>
  <c r="DL138" i="2"/>
  <c r="DO138" i="2"/>
  <c r="DO146" i="2" s="1"/>
  <c r="DP138" i="2"/>
  <c r="DP95" i="2"/>
  <c r="DL144" i="2"/>
  <c r="DR5" i="2"/>
  <c r="DS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T5" i="2" l="1"/>
  <c r="DS3" i="2"/>
  <c r="DQ146" i="2"/>
  <c r="FJ29" i="2"/>
  <c r="DR29" i="2"/>
  <c r="DV29" i="2" s="1"/>
  <c r="FJ20" i="2"/>
  <c r="DR20" i="2"/>
  <c r="DV20" i="2" s="1"/>
  <c r="CY146" i="2"/>
  <c r="FF126" i="2"/>
  <c r="DI132" i="2"/>
  <c r="CX132" i="2"/>
  <c r="FH131" i="2"/>
  <c r="DA138" i="2"/>
  <c r="DA146" i="2" s="1"/>
  <c r="DB138" i="2"/>
  <c r="DF144" i="2"/>
  <c r="DB144" i="2"/>
  <c r="CW138" i="2"/>
  <c r="CZ138" i="2"/>
  <c r="CZ146" i="2" s="1"/>
  <c r="CU146" i="2"/>
  <c r="FF143" i="2"/>
  <c r="CX144" i="2"/>
  <c r="FG134" i="2"/>
  <c r="FF125" i="2"/>
  <c r="CX138" i="2"/>
  <c r="CW144" i="2"/>
  <c r="FF141" i="2"/>
  <c r="FF136" i="2"/>
  <c r="FF145" i="2"/>
  <c r="FG135" i="2"/>
  <c r="FF127" i="2"/>
  <c r="CV144" i="2"/>
  <c r="CV146" i="2" s="1"/>
  <c r="CW132" i="2"/>
  <c r="FF142" i="2"/>
  <c r="DB132" i="2"/>
  <c r="FF135" i="2"/>
  <c r="FF92" i="2"/>
  <c r="FF91" i="2"/>
  <c r="FJ134" i="2"/>
  <c r="FG128" i="2"/>
  <c r="FI129" i="2"/>
  <c r="DF128" i="2"/>
  <c r="DF132" i="2" s="1"/>
  <c r="FH130" i="2"/>
  <c r="DE132" i="2"/>
  <c r="DK146" i="2"/>
  <c r="FJ138" i="2"/>
  <c r="DJ132" i="2"/>
  <c r="FI132" i="2" s="1"/>
  <c r="DL146" i="2"/>
  <c r="DP146" i="2"/>
  <c r="DN144" i="2"/>
  <c r="FJ144" i="2" s="1"/>
  <c r="FJ146" i="2" s="1"/>
  <c r="DM146" i="2"/>
  <c r="BM3" i="33"/>
  <c r="BM22" i="33" s="1"/>
  <c r="BM24" i="33" s="1"/>
  <c r="BM25" i="33" s="1"/>
  <c r="BL10" i="33"/>
  <c r="L10" i="33"/>
  <c r="AK3" i="33"/>
  <c r="DU5" i="2" l="1"/>
  <c r="DT3" i="2"/>
  <c r="FH128" i="2"/>
  <c r="CX146" i="2"/>
  <c r="CW146" i="2"/>
  <c r="DB146" i="2"/>
  <c r="FG132" i="2"/>
  <c r="FH132" i="2"/>
  <c r="BL3" i="33"/>
  <c r="BL22" i="33" s="1"/>
  <c r="BL24" i="33" s="1"/>
  <c r="BL25" i="33" s="1"/>
  <c r="BK10" i="33"/>
  <c r="DV5" i="2" l="1"/>
  <c r="DU3" i="2"/>
  <c r="BK3" i="33"/>
  <c r="BK22" i="33" s="1"/>
  <c r="BK24" i="33" s="1"/>
  <c r="BK25" i="33" s="1"/>
  <c r="BJ10" i="33"/>
  <c r="DV3" i="2" l="1"/>
  <c r="BJ3" i="33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4" i="2"/>
  <c r="FJ124" i="2" s="1"/>
  <c r="DN110" i="2"/>
  <c r="DN103" i="2"/>
  <c r="FJ103" i="2" s="1"/>
  <c r="DN97" i="2"/>
  <c r="FJ97" i="2" s="1"/>
  <c r="DM95" i="2"/>
  <c r="DL95" i="2"/>
  <c r="DJ76" i="2"/>
  <c r="DN76" i="2"/>
  <c r="DJ74" i="2"/>
  <c r="DN74" i="2"/>
  <c r="FK31" i="2"/>
  <c r="FK29" i="2"/>
  <c r="FK28" i="2"/>
  <c r="FK25" i="2"/>
  <c r="FK24" i="2"/>
  <c r="FK23" i="2"/>
  <c r="FK22" i="2"/>
  <c r="FK21" i="2"/>
  <c r="FK20" i="2"/>
  <c r="FK18" i="2"/>
  <c r="FK17" i="2"/>
  <c r="FK14" i="2"/>
  <c r="DJ68" i="2"/>
  <c r="DN68" i="2"/>
  <c r="DR71" i="2"/>
  <c r="DR70" i="2"/>
  <c r="DO72" i="2"/>
  <c r="DL68" i="2"/>
  <c r="DK110" i="2"/>
  <c r="DK121" i="2" s="1"/>
  <c r="DK103" i="2"/>
  <c r="DK97" i="2"/>
  <c r="AL23" i="2"/>
  <c r="AL60" i="2"/>
  <c r="AL17" i="2"/>
  <c r="AL57" i="2"/>
  <c r="AL49" i="2"/>
  <c r="AL59" i="2"/>
  <c r="AL12" i="2"/>
  <c r="AL14" i="2"/>
  <c r="AI67" i="2"/>
  <c r="AJ67" i="2"/>
  <c r="AK67" i="2"/>
  <c r="AM67" i="2"/>
  <c r="AN67" i="2"/>
  <c r="AO67" i="2"/>
  <c r="BV64" i="2"/>
  <c r="BW74" i="2"/>
  <c r="BW64" i="2"/>
  <c r="BX64" i="2"/>
  <c r="BY64" i="2"/>
  <c r="BZ64" i="2"/>
  <c r="CA72" i="2"/>
  <c r="CA64" i="2"/>
  <c r="CE64" i="2"/>
  <c r="CE67" i="2" s="1"/>
  <c r="CB72" i="2"/>
  <c r="CB64" i="2"/>
  <c r="CF64" i="2"/>
  <c r="CF67" i="2" s="1"/>
  <c r="CC72" i="2"/>
  <c r="CC64" i="2"/>
  <c r="CG64" i="2"/>
  <c r="CG67" i="2" s="1"/>
  <c r="CH83" i="2"/>
  <c r="CM87" i="2"/>
  <c r="CL87" i="2"/>
  <c r="CK87" i="2"/>
  <c r="CJ87" i="2"/>
  <c r="CI87" i="2"/>
  <c r="CM83" i="2"/>
  <c r="CL83" i="2"/>
  <c r="CK83" i="2"/>
  <c r="CJ83" i="2"/>
  <c r="CI83" i="2"/>
  <c r="CD64" i="2"/>
  <c r="CD67" i="2" s="1"/>
  <c r="CD72" i="2"/>
  <c r="CH64" i="2"/>
  <c r="CH67" i="2" s="1"/>
  <c r="CE72" i="2"/>
  <c r="CI72" i="2"/>
  <c r="CI64" i="2"/>
  <c r="CI67" i="2" s="1"/>
  <c r="CN87" i="2"/>
  <c r="CN85" i="2"/>
  <c r="CN83" i="2"/>
  <c r="CF72" i="2"/>
  <c r="CJ72" i="2"/>
  <c r="CJ64" i="2"/>
  <c r="CJ67" i="2" s="1"/>
  <c r="CG72" i="2"/>
  <c r="CO87" i="2"/>
  <c r="CO85" i="2"/>
  <c r="CO83" i="2"/>
  <c r="CK72" i="2"/>
  <c r="CK64" i="2"/>
  <c r="CK67" i="2" s="1"/>
  <c r="CH72" i="2"/>
  <c r="CP87" i="2"/>
  <c r="CP85" i="2"/>
  <c r="CP83" i="2"/>
  <c r="CL72" i="2"/>
  <c r="CL64" i="2"/>
  <c r="CL67" i="2" s="1"/>
  <c r="CL69" i="2" s="1"/>
  <c r="CL90" i="2" s="1"/>
  <c r="CU87" i="2"/>
  <c r="CT87" i="2"/>
  <c r="CS87" i="2"/>
  <c r="CR87" i="2"/>
  <c r="CQ87" i="2"/>
  <c r="CU86" i="2"/>
  <c r="CT86" i="2"/>
  <c r="CU85" i="2"/>
  <c r="CT85" i="2"/>
  <c r="CS85" i="2"/>
  <c r="CR85" i="2"/>
  <c r="CQ85" i="2"/>
  <c r="CU83" i="2"/>
  <c r="CT83" i="2"/>
  <c r="CS83" i="2"/>
  <c r="CR83" i="2"/>
  <c r="CQ83" i="2"/>
  <c r="CM72" i="2"/>
  <c r="CQ72" i="2"/>
  <c r="CM64" i="2"/>
  <c r="CM67" i="2" s="1"/>
  <c r="CM91" i="2" s="1"/>
  <c r="CQ67" i="2"/>
  <c r="CQ92" i="2" s="1"/>
  <c r="CN72" i="2"/>
  <c r="CR72" i="2"/>
  <c r="CV87" i="2"/>
  <c r="CV86" i="2"/>
  <c r="CV85" i="2"/>
  <c r="CV83" i="2"/>
  <c r="CR64" i="2"/>
  <c r="CR67" i="2" s="1"/>
  <c r="CR69" i="2" s="1"/>
  <c r="CR90" i="2" s="1"/>
  <c r="CS64" i="2"/>
  <c r="CS67" i="2" s="1"/>
  <c r="CS92" i="2" s="1"/>
  <c r="CN64" i="2"/>
  <c r="CN67" i="2" s="1"/>
  <c r="CW87" i="2"/>
  <c r="CW86" i="2"/>
  <c r="CW85" i="2"/>
  <c r="CW83" i="2"/>
  <c r="CO74" i="2"/>
  <c r="CO72" i="2"/>
  <c r="CS74" i="2"/>
  <c r="CS72" i="2"/>
  <c r="CO64" i="2"/>
  <c r="CO67" i="2" s="1"/>
  <c r="CO92" i="2" s="1"/>
  <c r="CP64" i="2"/>
  <c r="CP67" i="2" s="1"/>
  <c r="CP92" i="2" s="1"/>
  <c r="CP74" i="2"/>
  <c r="CP72" i="2"/>
  <c r="CT74" i="2"/>
  <c r="CT72" i="2"/>
  <c r="CX87" i="2"/>
  <c r="CX86" i="2"/>
  <c r="CX85" i="2"/>
  <c r="CX83" i="2"/>
  <c r="CY67" i="2"/>
  <c r="CX67" i="2"/>
  <c r="CW67" i="2"/>
  <c r="CV67" i="2"/>
  <c r="CT64" i="2"/>
  <c r="CT67" i="2" s="1"/>
  <c r="DK68" i="2"/>
  <c r="DK74" i="2"/>
  <c r="EZ24" i="2"/>
  <c r="FA67" i="2"/>
  <c r="FB24" i="2"/>
  <c r="FB67" i="2" s="1"/>
  <c r="FC67" i="2"/>
  <c r="DH74" i="2"/>
  <c r="DH22" i="2"/>
  <c r="DH118" i="2"/>
  <c r="DH110" i="2"/>
  <c r="DH103" i="2"/>
  <c r="DH97" i="2"/>
  <c r="FD40" i="2"/>
  <c r="FE24" i="2"/>
  <c r="FD24" i="2"/>
  <c r="FE29" i="2"/>
  <c r="FD29" i="2"/>
  <c r="FD22" i="2"/>
  <c r="FD20" i="2"/>
  <c r="FH79" i="2"/>
  <c r="FG71" i="2"/>
  <c r="FG70" i="2"/>
  <c r="FG68" i="2"/>
  <c r="FG41" i="2"/>
  <c r="FG40" i="2"/>
  <c r="FG39" i="2"/>
  <c r="FG38" i="2"/>
  <c r="FG37" i="2"/>
  <c r="FG31" i="2"/>
  <c r="FG30" i="2"/>
  <c r="FG29" i="2"/>
  <c r="FG28" i="2"/>
  <c r="FG26" i="2"/>
  <c r="FG24" i="2"/>
  <c r="FG23" i="2"/>
  <c r="FG22" i="2"/>
  <c r="FG20" i="2"/>
  <c r="FG19" i="2"/>
  <c r="FG18" i="2"/>
  <c r="FG16" i="2"/>
  <c r="FG15" i="2"/>
  <c r="FG14" i="2"/>
  <c r="FG13" i="2"/>
  <c r="FG11" i="2"/>
  <c r="FG10" i="2"/>
  <c r="FG9" i="2"/>
  <c r="FG12" i="2"/>
  <c r="FG8" i="2"/>
  <c r="FG5" i="2"/>
  <c r="DM79" i="2"/>
  <c r="DM150" i="2" s="1"/>
  <c r="DM71" i="2"/>
  <c r="DM70" i="2"/>
  <c r="FJ70" i="2" s="1"/>
  <c r="DH72" i="2"/>
  <c r="DH31" i="2"/>
  <c r="DA67" i="2"/>
  <c r="CZ67" i="2"/>
  <c r="FJ79" i="2" l="1"/>
  <c r="FG86" i="2"/>
  <c r="FH86" i="2"/>
  <c r="FJ74" i="2"/>
  <c r="FG3" i="2"/>
  <c r="FG83" i="2"/>
  <c r="FG85" i="2"/>
  <c r="FH85" i="2"/>
  <c r="DN121" i="2"/>
  <c r="FJ121" i="2" s="1"/>
  <c r="FJ110" i="2"/>
  <c r="DN132" i="2"/>
  <c r="DJ31" i="2"/>
  <c r="FI31" i="2" s="1"/>
  <c r="DH20" i="2"/>
  <c r="FK71" i="2"/>
  <c r="FJ71" i="2"/>
  <c r="DP3" i="2"/>
  <c r="FI74" i="2"/>
  <c r="DK108" i="2"/>
  <c r="DN108" i="2"/>
  <c r="FJ108" i="2" s="1"/>
  <c r="DR72" i="2"/>
  <c r="FK19" i="2"/>
  <c r="FK16" i="2"/>
  <c r="DP72" i="2"/>
  <c r="FI70" i="2"/>
  <c r="FK15" i="2"/>
  <c r="FI71" i="2"/>
  <c r="DN95" i="2"/>
  <c r="FK26" i="2"/>
  <c r="FK7" i="2"/>
  <c r="DR12" i="2"/>
  <c r="DS12" i="2" s="1"/>
  <c r="DT12" i="2" s="1"/>
  <c r="DU12" i="2" s="1"/>
  <c r="DV12" i="2" s="1"/>
  <c r="DQ84" i="2"/>
  <c r="DH95" i="2"/>
  <c r="DK95" i="2"/>
  <c r="AL67" i="2"/>
  <c r="CY81" i="2"/>
  <c r="CL81" i="2"/>
  <c r="CL91" i="2"/>
  <c r="CL92" i="2"/>
  <c r="CM92" i="2"/>
  <c r="DM72" i="2"/>
  <c r="CJ91" i="2"/>
  <c r="CJ69" i="2"/>
  <c r="CJ73" i="2" s="1"/>
  <c r="CJ75" i="2" s="1"/>
  <c r="CJ77" i="2" s="1"/>
  <c r="CJ78" i="2" s="1"/>
  <c r="CJ92" i="2"/>
  <c r="CN81" i="2"/>
  <c r="CM81" i="2"/>
  <c r="CI92" i="2"/>
  <c r="CI69" i="2"/>
  <c r="CI90" i="2" s="1"/>
  <c r="CI91" i="2"/>
  <c r="CJ81" i="2"/>
  <c r="CV81" i="2"/>
  <c r="CT81" i="2"/>
  <c r="CP81" i="2"/>
  <c r="CP91" i="2"/>
  <c r="CK81" i="2"/>
  <c r="DH121" i="2"/>
  <c r="CI81" i="2"/>
  <c r="CE91" i="2"/>
  <c r="CE69" i="2"/>
  <c r="CE90" i="2" s="1"/>
  <c r="CE92" i="2"/>
  <c r="CF92" i="2"/>
  <c r="CU81" i="2"/>
  <c r="CH81" i="2"/>
  <c r="CD91" i="2"/>
  <c r="CD92" i="2"/>
  <c r="CG92" i="2"/>
  <c r="CG69" i="2"/>
  <c r="CG90" i="2" s="1"/>
  <c r="CF69" i="2"/>
  <c r="CF90" i="2" s="1"/>
  <c r="CF91" i="2"/>
  <c r="CO81" i="2"/>
  <c r="CK92" i="2"/>
  <c r="CK91" i="2"/>
  <c r="CK69" i="2"/>
  <c r="CK90" i="2" s="1"/>
  <c r="CG91" i="2"/>
  <c r="CH69" i="2"/>
  <c r="CH90" i="2" s="1"/>
  <c r="CH92" i="2"/>
  <c r="CH91" i="2"/>
  <c r="CL73" i="2"/>
  <c r="CL75" i="2" s="1"/>
  <c r="CQ69" i="2"/>
  <c r="CM69" i="2"/>
  <c r="CM90" i="2" s="1"/>
  <c r="CS91" i="2"/>
  <c r="CQ81" i="2"/>
  <c r="CR92" i="2"/>
  <c r="CQ91" i="2"/>
  <c r="DN72" i="2"/>
  <c r="CR81" i="2"/>
  <c r="CR91" i="2"/>
  <c r="CW81" i="2"/>
  <c r="CS81" i="2"/>
  <c r="CN91" i="2"/>
  <c r="CN69" i="2"/>
  <c r="CN90" i="2" s="1"/>
  <c r="CN92" i="2"/>
  <c r="CR73" i="2"/>
  <c r="CR75" i="2" s="1"/>
  <c r="CT91" i="2"/>
  <c r="CT69" i="2"/>
  <c r="CX81" i="2"/>
  <c r="CT92" i="2"/>
  <c r="CS69" i="2"/>
  <c r="CO69" i="2"/>
  <c r="CO90" i="2" s="1"/>
  <c r="CO91" i="2"/>
  <c r="CP69" i="2"/>
  <c r="CP90" i="2" s="1"/>
  <c r="DH108" i="2"/>
  <c r="FE67" i="2"/>
  <c r="FL23" i="2"/>
  <c r="FM23" i="2" s="1"/>
  <c r="FN23" i="2" s="1"/>
  <c r="FO23" i="2" s="1"/>
  <c r="FP23" i="2" s="1"/>
  <c r="FQ23" i="2" s="1"/>
  <c r="DL72" i="2"/>
  <c r="FI79" i="2"/>
  <c r="FG72" i="2"/>
  <c r="FL21" i="2"/>
  <c r="FM21" i="2" s="1"/>
  <c r="FN21" i="2" s="1"/>
  <c r="FO21" i="2" s="1"/>
  <c r="FP21" i="2" s="1"/>
  <c r="FQ21" i="2" s="1"/>
  <c r="DK72" i="2"/>
  <c r="FL24" i="2"/>
  <c r="FM24" i="2" s="1"/>
  <c r="FN24" i="2" s="1"/>
  <c r="FO24" i="2" s="1"/>
  <c r="FP24" i="2" s="1"/>
  <c r="FQ24" i="2" s="1"/>
  <c r="DI72" i="2"/>
  <c r="FL20" i="2"/>
  <c r="FM20" i="2" s="1"/>
  <c r="FN20" i="2" s="1"/>
  <c r="FO20" i="2" s="1"/>
  <c r="FP20" i="2" s="1"/>
  <c r="FQ20" i="2" s="1"/>
  <c r="DJ72" i="2"/>
  <c r="DE67" i="2"/>
  <c r="DD67" i="2"/>
  <c r="DB27" i="2"/>
  <c r="FG27" i="2" s="1"/>
  <c r="DB25" i="2"/>
  <c r="FG25" i="2" s="1"/>
  <c r="DB21" i="2"/>
  <c r="FG21" i="2" s="1"/>
  <c r="DB17" i="2"/>
  <c r="DC144" i="2"/>
  <c r="DC136" i="2"/>
  <c r="DC135" i="2"/>
  <c r="DC132" i="2"/>
  <c r="DC118" i="2"/>
  <c r="DC110" i="2"/>
  <c r="DC103" i="2"/>
  <c r="DC97" i="2"/>
  <c r="DD118" i="2"/>
  <c r="DD110" i="2"/>
  <c r="DD103" i="2"/>
  <c r="DD97" i="2"/>
  <c r="DE118" i="2"/>
  <c r="DE110" i="2"/>
  <c r="DE103" i="2"/>
  <c r="DE97" i="2"/>
  <c r="DG22" i="2"/>
  <c r="DJ22" i="2" s="1"/>
  <c r="DF37" i="2"/>
  <c r="FH37" i="2" s="1"/>
  <c r="DF118" i="2"/>
  <c r="FH118" i="2" s="1"/>
  <c r="DF110" i="2"/>
  <c r="FH110" i="2" s="1"/>
  <c r="DF103" i="2"/>
  <c r="FH103" i="2" s="1"/>
  <c r="DF97" i="2"/>
  <c r="FH97" i="2" s="1"/>
  <c r="DF27" i="2"/>
  <c r="FH27" i="2" s="1"/>
  <c r="DF25" i="2"/>
  <c r="FH25" i="2" s="1"/>
  <c r="DF21" i="2"/>
  <c r="FH21" i="2" s="1"/>
  <c r="DF17" i="2"/>
  <c r="FH17" i="2" s="1"/>
  <c r="FH5" i="2"/>
  <c r="DN87" i="2"/>
  <c r="DI87" i="2"/>
  <c r="DK87" i="2"/>
  <c r="DN86" i="2"/>
  <c r="DM86" i="2"/>
  <c r="DG87" i="2"/>
  <c r="DF87" i="2"/>
  <c r="DE87" i="2"/>
  <c r="DD87" i="2"/>
  <c r="DC87" i="2"/>
  <c r="DB87" i="2"/>
  <c r="DA87" i="2"/>
  <c r="CZ87" i="2"/>
  <c r="CY87" i="2"/>
  <c r="DG86" i="2"/>
  <c r="DF86" i="2"/>
  <c r="DE86" i="2"/>
  <c r="DD86" i="2"/>
  <c r="DC86" i="2"/>
  <c r="DB86" i="2"/>
  <c r="DA86" i="2"/>
  <c r="CZ86" i="2"/>
  <c r="CY86" i="2"/>
  <c r="DN85" i="2"/>
  <c r="DM85" i="2"/>
  <c r="DF85" i="2"/>
  <c r="DE85" i="2"/>
  <c r="DD85" i="2"/>
  <c r="DC85" i="2"/>
  <c r="DB85" i="2"/>
  <c r="DA85" i="2"/>
  <c r="CZ85" i="2"/>
  <c r="CY85" i="2"/>
  <c r="DG85" i="2"/>
  <c r="DR79" i="2" l="1"/>
  <c r="DQ150" i="2"/>
  <c r="DQ72" i="2"/>
  <c r="CN73" i="2"/>
  <c r="CN75" i="2" s="1"/>
  <c r="DD136" i="2"/>
  <c r="DE136" i="2" s="1"/>
  <c r="DF136" i="2" s="1"/>
  <c r="FH136" i="2" s="1"/>
  <c r="FE69" i="2"/>
  <c r="FF69" i="2"/>
  <c r="FF90" i="2" s="1"/>
  <c r="FF81" i="2"/>
  <c r="FJ72" i="2"/>
  <c r="DJ20" i="2"/>
  <c r="FI20" i="2" s="1"/>
  <c r="DN146" i="2"/>
  <c r="FJ132" i="2"/>
  <c r="FH3" i="2"/>
  <c r="FH83" i="2"/>
  <c r="FI83" i="2"/>
  <c r="DC138" i="2"/>
  <c r="DC146" i="2" s="1"/>
  <c r="DD135" i="2"/>
  <c r="FK70" i="2"/>
  <c r="FK72" i="2" s="1"/>
  <c r="FI22" i="2"/>
  <c r="DL67" i="2"/>
  <c r="DQ3" i="2"/>
  <c r="FK5" i="2"/>
  <c r="DR3" i="2"/>
  <c r="CP73" i="2"/>
  <c r="CP75" i="2" s="1"/>
  <c r="CP93" i="2" s="1"/>
  <c r="FK79" i="2"/>
  <c r="FL79" i="2" s="1"/>
  <c r="FM79" i="2" s="1"/>
  <c r="FN79" i="2" s="1"/>
  <c r="FO79" i="2" s="1"/>
  <c r="FP79" i="2" s="1"/>
  <c r="FQ79" i="2" s="1"/>
  <c r="FI72" i="2"/>
  <c r="FK30" i="2"/>
  <c r="FL7" i="2"/>
  <c r="FM7" i="2" s="1"/>
  <c r="FN7" i="2" s="1"/>
  <c r="FO7" i="2" s="1"/>
  <c r="FP7" i="2" s="1"/>
  <c r="FQ7" i="2" s="1"/>
  <c r="FK13" i="2"/>
  <c r="DQ83" i="2"/>
  <c r="DR86" i="2"/>
  <c r="DQ86" i="2"/>
  <c r="FK12" i="2"/>
  <c r="CJ93" i="2"/>
  <c r="CJ90" i="2"/>
  <c r="CM73" i="2"/>
  <c r="CM75" i="2" s="1"/>
  <c r="CM93" i="2" s="1"/>
  <c r="CI73" i="2"/>
  <c r="CI75" i="2" s="1"/>
  <c r="CI93" i="2" s="1"/>
  <c r="CE73" i="2"/>
  <c r="CE75" i="2" s="1"/>
  <c r="CE77" i="2" s="1"/>
  <c r="CE78" i="2" s="1"/>
  <c r="DD121" i="2"/>
  <c r="CL77" i="2"/>
  <c r="CL78" i="2" s="1"/>
  <c r="CL93" i="2"/>
  <c r="CK73" i="2"/>
  <c r="CK75" i="2" s="1"/>
  <c r="CK77" i="2" s="1"/>
  <c r="CK78" i="2" s="1"/>
  <c r="CG73" i="2"/>
  <c r="CG75" i="2" s="1"/>
  <c r="CG77" i="2" s="1"/>
  <c r="CG78" i="2" s="1"/>
  <c r="CF73" i="2"/>
  <c r="CF75" i="2" s="1"/>
  <c r="CF77" i="2" s="1"/>
  <c r="CF78" i="2" s="1"/>
  <c r="CJ88" i="2" s="1"/>
  <c r="CH73" i="2"/>
  <c r="CH75" i="2" s="1"/>
  <c r="CH93" i="2" s="1"/>
  <c r="CS73" i="2"/>
  <c r="CS75" i="2" s="1"/>
  <c r="CS90" i="2"/>
  <c r="CR77" i="2"/>
  <c r="CR78" i="2" s="1"/>
  <c r="CR93" i="2"/>
  <c r="CQ73" i="2"/>
  <c r="CQ75" i="2" s="1"/>
  <c r="CQ90" i="2"/>
  <c r="CN77" i="2"/>
  <c r="CN78" i="2" s="1"/>
  <c r="CN88" i="2" s="1"/>
  <c r="CN93" i="2"/>
  <c r="CO73" i="2"/>
  <c r="CO75" i="2" s="1"/>
  <c r="CO77" i="2" s="1"/>
  <c r="CO78" i="2" s="1"/>
  <c r="CT73" i="2"/>
  <c r="CT75" i="2" s="1"/>
  <c r="CT90" i="2"/>
  <c r="FL28" i="2"/>
  <c r="FM28" i="2" s="1"/>
  <c r="FN28" i="2" s="1"/>
  <c r="FO28" i="2" s="1"/>
  <c r="FP28" i="2" s="1"/>
  <c r="FQ28" i="2" s="1"/>
  <c r="FL25" i="2"/>
  <c r="FM25" i="2" s="1"/>
  <c r="FN25" i="2" s="1"/>
  <c r="FO25" i="2" s="1"/>
  <c r="FP25" i="2" s="1"/>
  <c r="FQ25" i="2" s="1"/>
  <c r="FL19" i="2"/>
  <c r="FM19" i="2" s="1"/>
  <c r="FN19" i="2" s="1"/>
  <c r="FO19" i="2" s="1"/>
  <c r="FP19" i="2" s="1"/>
  <c r="FQ19" i="2" s="1"/>
  <c r="DF67" i="2"/>
  <c r="DL85" i="2"/>
  <c r="DK85" i="2"/>
  <c r="DH86" i="2"/>
  <c r="DL87" i="2"/>
  <c r="DE95" i="2"/>
  <c r="DB67" i="2"/>
  <c r="FG17" i="2"/>
  <c r="DK86" i="2"/>
  <c r="FL15" i="2"/>
  <c r="FM15" i="2" s="1"/>
  <c r="FN15" i="2" s="1"/>
  <c r="FO15" i="2" s="1"/>
  <c r="FP15" i="2" s="1"/>
  <c r="FQ15" i="2" s="1"/>
  <c r="DD95" i="2"/>
  <c r="FL16" i="2"/>
  <c r="FM16" i="2" s="1"/>
  <c r="FN16" i="2" s="1"/>
  <c r="FO16" i="2" s="1"/>
  <c r="FP16" i="2" s="1"/>
  <c r="FQ16" i="2" s="1"/>
  <c r="FL18" i="2"/>
  <c r="FM18" i="2" s="1"/>
  <c r="FN18" i="2" s="1"/>
  <c r="FO18" i="2" s="1"/>
  <c r="FP18" i="2" s="1"/>
  <c r="FQ18" i="2" s="1"/>
  <c r="DF95" i="2"/>
  <c r="FH95" i="2" s="1"/>
  <c r="DJ87" i="2"/>
  <c r="DF108" i="2"/>
  <c r="FH108" i="2" s="1"/>
  <c r="DF121" i="2"/>
  <c r="FH121" i="2" s="1"/>
  <c r="DE108" i="2"/>
  <c r="DJ86" i="2"/>
  <c r="DD108" i="2"/>
  <c r="DH87" i="2"/>
  <c r="DM87" i="2"/>
  <c r="DE121" i="2"/>
  <c r="DI85" i="2"/>
  <c r="DI86" i="2"/>
  <c r="DC121" i="2"/>
  <c r="DC95" i="2"/>
  <c r="DC108" i="2"/>
  <c r="DL86" i="2"/>
  <c r="DH85" i="2"/>
  <c r="DJ85" i="2"/>
  <c r="FK10" i="2" l="1"/>
  <c r="FL10" i="2" s="1"/>
  <c r="FM10" i="2" s="1"/>
  <c r="FN10" i="2" s="1"/>
  <c r="FO10" i="2" s="1"/>
  <c r="FP10" i="2" s="1"/>
  <c r="FQ10" i="2" s="1"/>
  <c r="DE135" i="2"/>
  <c r="DD138" i="2"/>
  <c r="DD146" i="2" s="1"/>
  <c r="CM77" i="2"/>
  <c r="CM78" i="2" s="1"/>
  <c r="FJ27" i="2"/>
  <c r="FJ67" i="2" s="1"/>
  <c r="CH77" i="2"/>
  <c r="CH78" i="2" s="1"/>
  <c r="CL88" i="2" s="1"/>
  <c r="CP77" i="2"/>
  <c r="CP78" i="2" s="1"/>
  <c r="CP88" i="2" s="1"/>
  <c r="FK6" i="2"/>
  <c r="FL6" i="2" s="1"/>
  <c r="FM6" i="2" s="1"/>
  <c r="FN6" i="2" s="1"/>
  <c r="FO6" i="2" s="1"/>
  <c r="FP6" i="2" s="1"/>
  <c r="FQ6" i="2" s="1"/>
  <c r="DR84" i="2"/>
  <c r="FL5" i="2"/>
  <c r="FL30" i="2"/>
  <c r="FM30" i="2" s="1"/>
  <c r="FN30" i="2" s="1"/>
  <c r="FO30" i="2" s="1"/>
  <c r="FP30" i="2" s="1"/>
  <c r="FQ30" i="2" s="1"/>
  <c r="FK37" i="2"/>
  <c r="FL37" i="2" s="1"/>
  <c r="FM37" i="2" s="1"/>
  <c r="FN37" i="2" s="1"/>
  <c r="FO37" i="2" s="1"/>
  <c r="FP37" i="2" s="1"/>
  <c r="FQ37" i="2" s="1"/>
  <c r="DR11" i="2"/>
  <c r="DS11" i="2" s="1"/>
  <c r="DQ87" i="2"/>
  <c r="CE93" i="2"/>
  <c r="DR83" i="2"/>
  <c r="CI77" i="2"/>
  <c r="CI78" i="2" s="1"/>
  <c r="FK9" i="2"/>
  <c r="DQ85" i="2"/>
  <c r="CO93" i="2"/>
  <c r="CG93" i="2"/>
  <c r="CK93" i="2"/>
  <c r="CF93" i="2"/>
  <c r="CK88" i="2"/>
  <c r="CO88" i="2"/>
  <c r="FL26" i="2"/>
  <c r="FM26" i="2" s="1"/>
  <c r="FN26" i="2" s="1"/>
  <c r="FO26" i="2" s="1"/>
  <c r="FP26" i="2" s="1"/>
  <c r="FQ26" i="2" s="1"/>
  <c r="CQ77" i="2"/>
  <c r="CQ78" i="2" s="1"/>
  <c r="CQ93" i="2"/>
  <c r="CR88" i="2"/>
  <c r="CS77" i="2"/>
  <c r="CS78" i="2" s="1"/>
  <c r="CS88" i="2" s="1"/>
  <c r="CS93" i="2"/>
  <c r="CT77" i="2"/>
  <c r="CT78" i="2" s="1"/>
  <c r="CT93" i="2"/>
  <c r="FL29" i="2"/>
  <c r="FM29" i="2" s="1"/>
  <c r="FN29" i="2" s="1"/>
  <c r="FO29" i="2" s="1"/>
  <c r="FP29" i="2" s="1"/>
  <c r="FQ29" i="2" s="1"/>
  <c r="FG67" i="2"/>
  <c r="FL22" i="2"/>
  <c r="FM22" i="2" s="1"/>
  <c r="FN22" i="2" s="1"/>
  <c r="FO22" i="2" s="1"/>
  <c r="FP22" i="2" s="1"/>
  <c r="FQ22" i="2" s="1"/>
  <c r="FI3" i="2"/>
  <c r="DG141" i="2"/>
  <c r="DG135" i="2"/>
  <c r="DG132" i="2"/>
  <c r="FF132" i="2" s="1"/>
  <c r="DG118" i="2"/>
  <c r="DG110" i="2"/>
  <c r="DG103" i="2"/>
  <c r="DG97" i="2"/>
  <c r="DF83" i="2"/>
  <c r="DE83" i="2"/>
  <c r="DD83" i="2"/>
  <c r="DC83" i="2"/>
  <c r="DB83" i="2"/>
  <c r="DA83" i="2"/>
  <c r="CZ83" i="2"/>
  <c r="CY83" i="2"/>
  <c r="DG83" i="2"/>
  <c r="CU72" i="2"/>
  <c r="CV72" i="2"/>
  <c r="CW72" i="2"/>
  <c r="CX72" i="2"/>
  <c r="CY72" i="2"/>
  <c r="DT11" i="2" l="1"/>
  <c r="DS67" i="2"/>
  <c r="DS81" i="2" s="1"/>
  <c r="CM88" i="2"/>
  <c r="CT88" i="2"/>
  <c r="CQ88" i="2"/>
  <c r="FJ92" i="2"/>
  <c r="FG69" i="2"/>
  <c r="FG73" i="2" s="1"/>
  <c r="FG92" i="2"/>
  <c r="FG81" i="2"/>
  <c r="DG138" i="2"/>
  <c r="DH135" i="2"/>
  <c r="DG144" i="2"/>
  <c r="DH141" i="2"/>
  <c r="DF135" i="2"/>
  <c r="FH135" i="2" s="1"/>
  <c r="DE138" i="2"/>
  <c r="DE146" i="2" s="1"/>
  <c r="FK3" i="2"/>
  <c r="FM5" i="2"/>
  <c r="FM3" i="2" s="1"/>
  <c r="FL3" i="2"/>
  <c r="DQ73" i="2"/>
  <c r="DQ75" i="2" s="1"/>
  <c r="DQ90" i="2"/>
  <c r="DQ92" i="2"/>
  <c r="DQ91" i="2"/>
  <c r="DR87" i="2"/>
  <c r="FK11" i="2"/>
  <c r="FL11" i="2" s="1"/>
  <c r="FM11" i="2" s="1"/>
  <c r="FN11" i="2" s="1"/>
  <c r="FO11" i="2" s="1"/>
  <c r="FP11" i="2" s="1"/>
  <c r="FQ11" i="2" s="1"/>
  <c r="CI88" i="2"/>
  <c r="DR85" i="2"/>
  <c r="FL9" i="2"/>
  <c r="FM9" i="2" s="1"/>
  <c r="FN9" i="2" s="1"/>
  <c r="FO9" i="2" s="1"/>
  <c r="FP9" i="2" s="1"/>
  <c r="FQ9" i="2" s="1"/>
  <c r="DR67" i="2"/>
  <c r="DG95" i="2"/>
  <c r="FL13" i="2"/>
  <c r="FM13" i="2" s="1"/>
  <c r="FN13" i="2" s="1"/>
  <c r="FO13" i="2" s="1"/>
  <c r="FP13" i="2" s="1"/>
  <c r="FQ13" i="2" s="1"/>
  <c r="DH67" i="2"/>
  <c r="DH69" i="2" s="1"/>
  <c r="DG108" i="2"/>
  <c r="DJ67" i="2"/>
  <c r="DJ69" i="2" s="1"/>
  <c r="DI67" i="2"/>
  <c r="DI69" i="2" s="1"/>
  <c r="DI73" i="2" s="1"/>
  <c r="DK83" i="2"/>
  <c r="DI83" i="2"/>
  <c r="DH83" i="2"/>
  <c r="DJ83" i="2"/>
  <c r="DG121" i="2"/>
  <c r="CZ72" i="2"/>
  <c r="DD72" i="2"/>
  <c r="DE91" i="2"/>
  <c r="DD91" i="2"/>
  <c r="CD69" i="2"/>
  <c r="CC67" i="2"/>
  <c r="CB67" i="2"/>
  <c r="CA67" i="2"/>
  <c r="BO66" i="2"/>
  <c r="BO67" i="2" s="1"/>
  <c r="BJ66" i="2"/>
  <c r="BJ67" i="2" s="1"/>
  <c r="BK66" i="2"/>
  <c r="BK67" i="2" s="1"/>
  <c r="BF66" i="2"/>
  <c r="BF67" i="2" s="1"/>
  <c r="DA72" i="2"/>
  <c r="DE72" i="2"/>
  <c r="DB72" i="2"/>
  <c r="DF72" i="2"/>
  <c r="DC72" i="2"/>
  <c r="DG72" i="2"/>
  <c r="DF91" i="2"/>
  <c r="DC12" i="2"/>
  <c r="FH12" i="2" s="1"/>
  <c r="DG12" i="2"/>
  <c r="FI12" i="2" s="1"/>
  <c r="DC14" i="2"/>
  <c r="FH14" i="2" s="1"/>
  <c r="DG14" i="2"/>
  <c r="FI14" i="2" s="1"/>
  <c r="DU11" i="2" l="1"/>
  <c r="DT67" i="2"/>
  <c r="DT81" i="2" s="1"/>
  <c r="DG146" i="2"/>
  <c r="FG90" i="2"/>
  <c r="FH67" i="2"/>
  <c r="DI135" i="2"/>
  <c r="DH138" i="2"/>
  <c r="DF138" i="2"/>
  <c r="DH144" i="2"/>
  <c r="DI141" i="2"/>
  <c r="FK27" i="2"/>
  <c r="DN67" i="2"/>
  <c r="DN69" i="2" s="1"/>
  <c r="DQ93" i="2"/>
  <c r="DR69" i="2"/>
  <c r="DR73" i="2" s="1"/>
  <c r="DR75" i="2" s="1"/>
  <c r="DR92" i="2"/>
  <c r="DR91" i="2"/>
  <c r="CB92" i="2"/>
  <c r="CB69" i="2"/>
  <c r="CB91" i="2"/>
  <c r="CF81" i="2"/>
  <c r="CC92" i="2"/>
  <c r="CC91" i="2"/>
  <c r="CC69" i="2"/>
  <c r="CG81" i="2"/>
  <c r="CA91" i="2"/>
  <c r="CA69" i="2"/>
  <c r="CA92" i="2"/>
  <c r="CE81" i="2"/>
  <c r="CD73" i="2"/>
  <c r="CD75" i="2" s="1"/>
  <c r="CD90" i="2"/>
  <c r="FJ3" i="2"/>
  <c r="FL17" i="2"/>
  <c r="FM17" i="2" s="1"/>
  <c r="FN17" i="2" s="1"/>
  <c r="FO17" i="2" s="1"/>
  <c r="FP17" i="2" s="1"/>
  <c r="FQ17" i="2" s="1"/>
  <c r="FL14" i="2"/>
  <c r="FM14" i="2" s="1"/>
  <c r="FN14" i="2" s="1"/>
  <c r="FO14" i="2" s="1"/>
  <c r="FP14" i="2" s="1"/>
  <c r="FQ14" i="2" s="1"/>
  <c r="FI67" i="2"/>
  <c r="FJ81" i="2" s="1"/>
  <c r="FI68" i="2"/>
  <c r="DI92" i="2"/>
  <c r="DI91" i="2"/>
  <c r="DH92" i="2"/>
  <c r="DH91" i="2"/>
  <c r="DC67" i="2"/>
  <c r="DJ92" i="2"/>
  <c r="DJ91" i="2"/>
  <c r="DN83" i="2"/>
  <c r="DL83" i="2"/>
  <c r="DJ81" i="2"/>
  <c r="DH81" i="2"/>
  <c r="DI81" i="2"/>
  <c r="DQ81" i="2"/>
  <c r="DM83" i="2"/>
  <c r="DG67" i="2"/>
  <c r="CW92" i="2"/>
  <c r="CW91" i="2"/>
  <c r="CW69" i="2"/>
  <c r="DF92" i="2"/>
  <c r="CZ69" i="2"/>
  <c r="CZ90" i="2" s="1"/>
  <c r="CZ81" i="2"/>
  <c r="CU92" i="2"/>
  <c r="CU69" i="2"/>
  <c r="CU91" i="2"/>
  <c r="CV92" i="2"/>
  <c r="CV91" i="2"/>
  <c r="CV69" i="2"/>
  <c r="DA69" i="2"/>
  <c r="DA73" i="2" s="1"/>
  <c r="DA75" i="2" s="1"/>
  <c r="DA77" i="2" s="1"/>
  <c r="DA81" i="2"/>
  <c r="CZ92" i="2"/>
  <c r="CY91" i="2"/>
  <c r="CY69" i="2"/>
  <c r="CY92" i="2"/>
  <c r="DD81" i="2"/>
  <c r="CZ91" i="2"/>
  <c r="DB81" i="2"/>
  <c r="DE81" i="2"/>
  <c r="DE92" i="2"/>
  <c r="DF81" i="2"/>
  <c r="DB69" i="2"/>
  <c r="DB90" i="2" s="1"/>
  <c r="DA91" i="2"/>
  <c r="CX69" i="2"/>
  <c r="CX92" i="2"/>
  <c r="CX91" i="2"/>
  <c r="DA92" i="2"/>
  <c r="DB92" i="2"/>
  <c r="DD92" i="2"/>
  <c r="DB91" i="2"/>
  <c r="DF69" i="2"/>
  <c r="DF90" i="2" s="1"/>
  <c r="DE69" i="2"/>
  <c r="DE90" i="2" s="1"/>
  <c r="DD69" i="2"/>
  <c r="DD90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79" i="2"/>
  <c r="EW76" i="2"/>
  <c r="EW71" i="2"/>
  <c r="EW70" i="2"/>
  <c r="EW68" i="2"/>
  <c r="EX68" i="2"/>
  <c r="EX76" i="2"/>
  <c r="EV76" i="2"/>
  <c r="EU76" i="2"/>
  <c r="EX71" i="2"/>
  <c r="EX70" i="2"/>
  <c r="EY71" i="2"/>
  <c r="BR67" i="2"/>
  <c r="BR92" i="2" s="1"/>
  <c r="EY79" i="2"/>
  <c r="EX21" i="2"/>
  <c r="EW21" i="2"/>
  <c r="EY48" i="2"/>
  <c r="EX46" i="2"/>
  <c r="EX48" i="2"/>
  <c r="EX45" i="2"/>
  <c r="EX44" i="2"/>
  <c r="EX23" i="2"/>
  <c r="EX40" i="2"/>
  <c r="EX13" i="2"/>
  <c r="EX14" i="2"/>
  <c r="EX61" i="2"/>
  <c r="EX17" i="2"/>
  <c r="EX12" i="2"/>
  <c r="EX25" i="2"/>
  <c r="EX27" i="2"/>
  <c r="EY17" i="2"/>
  <c r="BP132" i="2"/>
  <c r="BQ132" i="2" s="1"/>
  <c r="BR132" i="2" s="1"/>
  <c r="BP110" i="2"/>
  <c r="BP121" i="2" s="1"/>
  <c r="BP97" i="2"/>
  <c r="BP72" i="2"/>
  <c r="BP67" i="2"/>
  <c r="BP69" i="2" s="1"/>
  <c r="BQ110" i="2"/>
  <c r="BQ121" i="2" s="1"/>
  <c r="BQ97" i="2"/>
  <c r="BQ108" i="2" s="1"/>
  <c r="BR110" i="2"/>
  <c r="BR121" i="2" s="1"/>
  <c r="BR97" i="2"/>
  <c r="BR108" i="2" s="1"/>
  <c r="BR72" i="2"/>
  <c r="BT67" i="2"/>
  <c r="BT69" i="2" s="1"/>
  <c r="BT90" i="2" s="1"/>
  <c r="BS67" i="2"/>
  <c r="BS91" i="2" s="1"/>
  <c r="BS110" i="2"/>
  <c r="BS121" i="2" s="1"/>
  <c r="BS97" i="2"/>
  <c r="BS108" i="2" s="1"/>
  <c r="BT132" i="2"/>
  <c r="BU132" i="2" s="1"/>
  <c r="BT110" i="2"/>
  <c r="BT121" i="2" s="1"/>
  <c r="BT97" i="2"/>
  <c r="BT108" i="2" s="1"/>
  <c r="BU110" i="2"/>
  <c r="BU121" i="2" s="1"/>
  <c r="BU97" i="2"/>
  <c r="BS74" i="2"/>
  <c r="BS72" i="2"/>
  <c r="BT74" i="2"/>
  <c r="BT72" i="2"/>
  <c r="BQ74" i="2"/>
  <c r="EX74" i="2" s="1"/>
  <c r="BQ72" i="2"/>
  <c r="AZ67" i="2"/>
  <c r="BN67" i="2"/>
  <c r="BU74" i="2"/>
  <c r="BU72" i="2"/>
  <c r="BU24" i="2"/>
  <c r="BU67" i="2" s="1"/>
  <c r="DV11" i="2" l="1"/>
  <c r="DV67" i="2" s="1"/>
  <c r="DV81" i="2" s="1"/>
  <c r="DU67" i="2"/>
  <c r="DU81" i="2" s="1"/>
  <c r="FL27" i="2"/>
  <c r="FM27" i="2" s="1"/>
  <c r="FN27" i="2" s="1"/>
  <c r="FO27" i="2" s="1"/>
  <c r="FP27" i="2" s="1"/>
  <c r="FQ27" i="2" s="1"/>
  <c r="FK81" i="2"/>
  <c r="DR90" i="2"/>
  <c r="DH146" i="2"/>
  <c r="FH81" i="2"/>
  <c r="FI81" i="2"/>
  <c r="DA78" i="2"/>
  <c r="DA123" i="2"/>
  <c r="FF123" i="2" s="1"/>
  <c r="FI92" i="2"/>
  <c r="DF146" i="2"/>
  <c r="DJ135" i="2"/>
  <c r="FI135" i="2" s="1"/>
  <c r="DI138" i="2"/>
  <c r="DJ141" i="2"/>
  <c r="FI141" i="2" s="1"/>
  <c r="DI144" i="2"/>
  <c r="FH92" i="2"/>
  <c r="FH69" i="2"/>
  <c r="FH73" i="2" s="1"/>
  <c r="FH75" i="2" s="1"/>
  <c r="FH93" i="2" s="1"/>
  <c r="DR81" i="2"/>
  <c r="DO91" i="2"/>
  <c r="DO69" i="2"/>
  <c r="DO92" i="2"/>
  <c r="DP69" i="2"/>
  <c r="DP81" i="2"/>
  <c r="DP91" i="2"/>
  <c r="DP92" i="2"/>
  <c r="DR68" i="2"/>
  <c r="FK68" i="2" s="1"/>
  <c r="DQ77" i="2"/>
  <c r="DR76" i="2"/>
  <c r="DR93" i="2" s="1"/>
  <c r="DL69" i="2"/>
  <c r="CB73" i="2"/>
  <c r="CB75" i="2" s="1"/>
  <c r="CB90" i="2"/>
  <c r="CA90" i="2"/>
  <c r="CA73" i="2"/>
  <c r="CA75" i="2" s="1"/>
  <c r="CC73" i="2"/>
  <c r="CC75" i="2" s="1"/>
  <c r="CC90" i="2"/>
  <c r="CD77" i="2"/>
  <c r="CD78" i="2" s="1"/>
  <c r="CH88" i="2" s="1"/>
  <c r="CD93" i="2"/>
  <c r="EY12" i="2"/>
  <c r="FH91" i="2"/>
  <c r="FI91" i="2"/>
  <c r="DN81" i="2"/>
  <c r="DN92" i="2"/>
  <c r="DN91" i="2"/>
  <c r="DL81" i="2"/>
  <c r="DL92" i="2"/>
  <c r="DL91" i="2"/>
  <c r="DJ90" i="2"/>
  <c r="DJ73" i="2"/>
  <c r="DJ75" i="2" s="1"/>
  <c r="FI69" i="2"/>
  <c r="FI73" i="2" s="1"/>
  <c r="DO81" i="2"/>
  <c r="DI90" i="2"/>
  <c r="DI75" i="2"/>
  <c r="DM81" i="2"/>
  <c r="DM92" i="2"/>
  <c r="FJ68" i="2"/>
  <c r="FJ69" i="2" s="1"/>
  <c r="FJ73" i="2" s="1"/>
  <c r="FJ75" i="2" s="1"/>
  <c r="DM91" i="2"/>
  <c r="DH90" i="2"/>
  <c r="DH73" i="2"/>
  <c r="DH75" i="2" s="1"/>
  <c r="DE73" i="2"/>
  <c r="DE75" i="2" s="1"/>
  <c r="DE77" i="2" s="1"/>
  <c r="DD73" i="2"/>
  <c r="DD75" i="2" s="1"/>
  <c r="DD77" i="2" s="1"/>
  <c r="CZ73" i="2"/>
  <c r="CZ75" i="2" s="1"/>
  <c r="CZ93" i="2" s="1"/>
  <c r="DA93" i="2"/>
  <c r="CV90" i="2"/>
  <c r="CV73" i="2"/>
  <c r="CV75" i="2" s="1"/>
  <c r="CU90" i="2"/>
  <c r="CU73" i="2"/>
  <c r="CU75" i="2" s="1"/>
  <c r="CW90" i="2"/>
  <c r="CW73" i="2"/>
  <c r="CW75" i="2" s="1"/>
  <c r="DA90" i="2"/>
  <c r="DF73" i="2"/>
  <c r="DF75" i="2" s="1"/>
  <c r="DF77" i="2" s="1"/>
  <c r="CX90" i="2"/>
  <c r="CX73" i="2"/>
  <c r="CX75" i="2" s="1"/>
  <c r="DB73" i="2"/>
  <c r="DB75" i="2" s="1"/>
  <c r="DG92" i="2"/>
  <c r="DG91" i="2"/>
  <c r="CY90" i="2"/>
  <c r="CY73" i="2"/>
  <c r="CY75" i="2" s="1"/>
  <c r="DC69" i="2"/>
  <c r="DC81" i="2"/>
  <c r="DC91" i="2"/>
  <c r="DC92" i="2"/>
  <c r="DG69" i="2"/>
  <c r="DG81" i="2"/>
  <c r="EW72" i="2"/>
  <c r="BX72" i="2"/>
  <c r="EX72" i="2"/>
  <c r="EY70" i="2"/>
  <c r="EY72" i="2" s="1"/>
  <c r="EY74" i="2"/>
  <c r="EY25" i="2"/>
  <c r="EY21" i="2"/>
  <c r="BT95" i="2"/>
  <c r="BR69" i="2"/>
  <c r="BR73" i="2" s="1"/>
  <c r="BZ67" i="2"/>
  <c r="CD81" i="2" s="1"/>
  <c r="EY61" i="2"/>
  <c r="EY44" i="2"/>
  <c r="BU95" i="2"/>
  <c r="EY27" i="2"/>
  <c r="EY13" i="2"/>
  <c r="EY45" i="2"/>
  <c r="BV72" i="2"/>
  <c r="BW72" i="2"/>
  <c r="EY40" i="2"/>
  <c r="EY24" i="2"/>
  <c r="EY14" i="2"/>
  <c r="BP95" i="2"/>
  <c r="EY23" i="2"/>
  <c r="BV67" i="2"/>
  <c r="EY68" i="2"/>
  <c r="BY72" i="2"/>
  <c r="EY46" i="2"/>
  <c r="BR91" i="2"/>
  <c r="BR81" i="2"/>
  <c r="BP91" i="2"/>
  <c r="BT91" i="2"/>
  <c r="BP90" i="2"/>
  <c r="BP73" i="2"/>
  <c r="BP75" i="2" s="1"/>
  <c r="BU91" i="2"/>
  <c r="BU92" i="2"/>
  <c r="BS92" i="2"/>
  <c r="BR95" i="2"/>
  <c r="BP92" i="2"/>
  <c r="BT92" i="2"/>
  <c r="BU108" i="2"/>
  <c r="BP108" i="2"/>
  <c r="BQ95" i="2"/>
  <c r="BS95" i="2"/>
  <c r="BS69" i="2"/>
  <c r="BS90" i="2" s="1"/>
  <c r="BT73" i="2"/>
  <c r="BT75" i="2" s="1"/>
  <c r="BT93" i="2" s="1"/>
  <c r="BO110" i="2"/>
  <c r="BO121" i="2" s="1"/>
  <c r="BO97" i="2"/>
  <c r="BO108" i="2" s="1"/>
  <c r="BO72" i="2"/>
  <c r="DQ78" i="2" l="1"/>
  <c r="DQ123" i="2"/>
  <c r="FK69" i="2"/>
  <c r="FK73" i="2" s="1"/>
  <c r="FK75" i="2" s="1"/>
  <c r="FK76" i="2" s="1"/>
  <c r="FK77" i="2" s="1"/>
  <c r="FK78" i="2" s="1"/>
  <c r="DI146" i="2"/>
  <c r="DF78" i="2"/>
  <c r="DF123" i="2"/>
  <c r="FH123" i="2" s="1"/>
  <c r="DJ144" i="2"/>
  <c r="DE78" i="2"/>
  <c r="DE88" i="2" s="1"/>
  <c r="DE123" i="2"/>
  <c r="DD78" i="2"/>
  <c r="DD123" i="2"/>
  <c r="DJ138" i="2"/>
  <c r="DP73" i="2"/>
  <c r="DP75" i="2" s="1"/>
  <c r="DP90" i="2"/>
  <c r="DO73" i="2"/>
  <c r="DO75" i="2" s="1"/>
  <c r="DO90" i="2"/>
  <c r="DR77" i="2"/>
  <c r="DR78" i="2" s="1"/>
  <c r="DK69" i="2"/>
  <c r="CC77" i="2"/>
  <c r="CC78" i="2" s="1"/>
  <c r="CC93" i="2"/>
  <c r="CA77" i="2"/>
  <c r="CA78" i="2" s="1"/>
  <c r="CE88" i="2" s="1"/>
  <c r="CA93" i="2"/>
  <c r="CB77" i="2"/>
  <c r="CB78" i="2" s="1"/>
  <c r="CF88" i="2" s="1"/>
  <c r="CB93" i="2"/>
  <c r="BV69" i="2"/>
  <c r="BV90" i="2" s="1"/>
  <c r="FI75" i="2"/>
  <c r="FI90" i="2"/>
  <c r="FN5" i="2"/>
  <c r="FN3" i="2" s="1"/>
  <c r="FI76" i="2"/>
  <c r="DK91" i="2"/>
  <c r="DK92" i="2"/>
  <c r="DJ93" i="2"/>
  <c r="DE93" i="2"/>
  <c r="DN90" i="2"/>
  <c r="DN73" i="2"/>
  <c r="DN75" i="2" s="1"/>
  <c r="DM90" i="2"/>
  <c r="DM73" i="2"/>
  <c r="DM75" i="2" s="1"/>
  <c r="DL90" i="2"/>
  <c r="DL73" i="2"/>
  <c r="DL75" i="2" s="1"/>
  <c r="DK81" i="2"/>
  <c r="DH93" i="2"/>
  <c r="DF93" i="2"/>
  <c r="CZ77" i="2"/>
  <c r="DD93" i="2"/>
  <c r="CV77" i="2"/>
  <c r="CV93" i="2"/>
  <c r="CW93" i="2"/>
  <c r="CW77" i="2"/>
  <c r="CU77" i="2"/>
  <c r="CU93" i="2"/>
  <c r="DC90" i="2"/>
  <c r="DC73" i="2"/>
  <c r="DC75" i="2" s="1"/>
  <c r="CY93" i="2"/>
  <c r="CY77" i="2"/>
  <c r="DB77" i="2"/>
  <c r="DB93" i="2"/>
  <c r="CX93" i="2"/>
  <c r="CX77" i="2"/>
  <c r="DG73" i="2"/>
  <c r="DG75" i="2" s="1"/>
  <c r="DG90" i="2"/>
  <c r="BW67" i="2"/>
  <c r="BY67" i="2"/>
  <c r="BR90" i="2"/>
  <c r="BZ91" i="2"/>
  <c r="BZ69" i="2"/>
  <c r="BZ90" i="2" s="1"/>
  <c r="BX67" i="2"/>
  <c r="BZ81" i="2"/>
  <c r="BV91" i="2"/>
  <c r="BV92" i="2"/>
  <c r="BV81" i="2"/>
  <c r="BZ72" i="2"/>
  <c r="BZ92" i="2"/>
  <c r="BP77" i="2"/>
  <c r="BP78" i="2" s="1"/>
  <c r="BP93" i="2"/>
  <c r="BS73" i="2"/>
  <c r="BS75" i="2" s="1"/>
  <c r="BS93" i="2" s="1"/>
  <c r="BT77" i="2"/>
  <c r="BT78" i="2" s="1"/>
  <c r="BO95" i="2"/>
  <c r="EW45" i="2"/>
  <c r="EV45" i="2"/>
  <c r="FI138" i="2" l="1"/>
  <c r="FF138" i="2"/>
  <c r="FH138" i="2"/>
  <c r="FI144" i="2"/>
  <c r="FI146" i="2" s="1"/>
  <c r="FF144" i="2"/>
  <c r="FF146" i="2" s="1"/>
  <c r="FG144" i="2"/>
  <c r="FG146" i="2" s="1"/>
  <c r="FH144" i="2"/>
  <c r="FH146" i="2" s="1"/>
  <c r="FG138" i="2"/>
  <c r="CX78" i="2"/>
  <c r="CX88" i="2" s="1"/>
  <c r="CX123" i="2"/>
  <c r="CW78" i="2"/>
  <c r="DA88" i="2" s="1"/>
  <c r="CW123" i="2"/>
  <c r="CV78" i="2"/>
  <c r="CV88" i="2" s="1"/>
  <c r="CV123" i="2"/>
  <c r="CU78" i="2"/>
  <c r="CU88" i="2" s="1"/>
  <c r="CU123" i="2"/>
  <c r="DB78" i="2"/>
  <c r="DF88" i="2" s="1"/>
  <c r="DB123" i="2"/>
  <c r="FG123" i="2" s="1"/>
  <c r="CZ78" i="2"/>
  <c r="DD88" i="2" s="1"/>
  <c r="CZ123" i="2"/>
  <c r="CY78" i="2"/>
  <c r="CY88" i="2" s="1"/>
  <c r="CY123" i="2"/>
  <c r="DJ146" i="2"/>
  <c r="DO93" i="2"/>
  <c r="DO77" i="2"/>
  <c r="DP93" i="2"/>
  <c r="DP77" i="2"/>
  <c r="DP78" i="2" s="1"/>
  <c r="FH90" i="2"/>
  <c r="BV73" i="2"/>
  <c r="BV75" i="2" s="1"/>
  <c r="BV77" i="2" s="1"/>
  <c r="BX69" i="2"/>
  <c r="BX90" i="2" s="1"/>
  <c r="CB81" i="2"/>
  <c r="BY69" i="2"/>
  <c r="BY90" i="2" s="1"/>
  <c r="CC81" i="2"/>
  <c r="CG88" i="2"/>
  <c r="BW81" i="2"/>
  <c r="CA81" i="2"/>
  <c r="DI93" i="2"/>
  <c r="FI93" i="2"/>
  <c r="DH77" i="2"/>
  <c r="FO5" i="2"/>
  <c r="FO3" i="2" s="1"/>
  <c r="FL12" i="2"/>
  <c r="FL67" i="2" s="1"/>
  <c r="FL81" i="2" s="1"/>
  <c r="FJ91" i="2"/>
  <c r="DM76" i="2"/>
  <c r="FJ76" i="2" s="1"/>
  <c r="FJ77" i="2" s="1"/>
  <c r="FJ78" i="2" s="1"/>
  <c r="DN93" i="2"/>
  <c r="DK90" i="2"/>
  <c r="DK73" i="2"/>
  <c r="DK75" i="2" s="1"/>
  <c r="DL93" i="2"/>
  <c r="DJ77" i="2"/>
  <c r="DI77" i="2"/>
  <c r="DG77" i="2"/>
  <c r="DG93" i="2"/>
  <c r="DC77" i="2"/>
  <c r="DC93" i="2"/>
  <c r="BW92" i="2"/>
  <c r="BW91" i="2"/>
  <c r="BW69" i="2"/>
  <c r="BW73" i="2" s="1"/>
  <c r="BW75" i="2" s="1"/>
  <c r="BZ73" i="2"/>
  <c r="BY91" i="2"/>
  <c r="BY92" i="2"/>
  <c r="BY81" i="2"/>
  <c r="BX81" i="2"/>
  <c r="BX91" i="2"/>
  <c r="BX92" i="2"/>
  <c r="BS77" i="2"/>
  <c r="BS78" i="2" s="1"/>
  <c r="EN91" i="2"/>
  <c r="DB88" i="2" l="1"/>
  <c r="CW88" i="2"/>
  <c r="CZ88" i="2"/>
  <c r="BY73" i="2"/>
  <c r="BY75" i="2" s="1"/>
  <c r="BY93" i="2" s="1"/>
  <c r="DH78" i="2"/>
  <c r="DH88" i="2" s="1"/>
  <c r="DH123" i="2"/>
  <c r="DJ78" i="2"/>
  <c r="DJ88" i="2" s="1"/>
  <c r="DJ123" i="2"/>
  <c r="FI123" i="2" s="1"/>
  <c r="DI78" i="2"/>
  <c r="DI88" i="2" s="1"/>
  <c r="DI123" i="2"/>
  <c r="DP123" i="2"/>
  <c r="BX73" i="2"/>
  <c r="BX75" i="2" s="1"/>
  <c r="BX93" i="2" s="1"/>
  <c r="DO78" i="2"/>
  <c r="DO123" i="2"/>
  <c r="BZ75" i="2"/>
  <c r="BZ77" i="2" s="1"/>
  <c r="BZ78" i="2" s="1"/>
  <c r="CD88" i="2" s="1"/>
  <c r="DN77" i="2"/>
  <c r="DM93" i="2"/>
  <c r="FK90" i="2"/>
  <c r="FJ90" i="2"/>
  <c r="FI77" i="2"/>
  <c r="FI78" i="2" s="1"/>
  <c r="FM12" i="2"/>
  <c r="FP5" i="2"/>
  <c r="FP3" i="2" s="1"/>
  <c r="BW90" i="2"/>
  <c r="DK93" i="2"/>
  <c r="DL77" i="2"/>
  <c r="DM77" i="2"/>
  <c r="DC78" i="2"/>
  <c r="DC88" i="2" s="1"/>
  <c r="DC123" i="2"/>
  <c r="DG78" i="2"/>
  <c r="DG123" i="2"/>
  <c r="BW93" i="2"/>
  <c r="BV78" i="2"/>
  <c r="BV93" i="2"/>
  <c r="EY76" i="2"/>
  <c r="EU79" i="2"/>
  <c r="EU74" i="2"/>
  <c r="EU71" i="2"/>
  <c r="EU70" i="2"/>
  <c r="EV79" i="2"/>
  <c r="BN110" i="2"/>
  <c r="BN121" i="2" s="1"/>
  <c r="BN97" i="2"/>
  <c r="BN108" i="2" s="1"/>
  <c r="EW27" i="2"/>
  <c r="BN69" i="2"/>
  <c r="BN72" i="2"/>
  <c r="EW48" i="2"/>
  <c r="EZ70" i="2"/>
  <c r="EZ72" i="2" s="1"/>
  <c r="EW44" i="2"/>
  <c r="EW23" i="2"/>
  <c r="EW40" i="2"/>
  <c r="EW13" i="2"/>
  <c r="EW14" i="2"/>
  <c r="EW61" i="2"/>
  <c r="EW17" i="2"/>
  <c r="EW12" i="2"/>
  <c r="EW46" i="2"/>
  <c r="EW25" i="2"/>
  <c r="BM74" i="2"/>
  <c r="BM72" i="2"/>
  <c r="BL74" i="2"/>
  <c r="BL72" i="2"/>
  <c r="BJ95" i="2"/>
  <c r="ET24" i="2"/>
  <c r="ES24" i="2"/>
  <c r="ER24" i="2"/>
  <c r="ER67" i="2" s="1"/>
  <c r="EQ24" i="2"/>
  <c r="EP24" i="2"/>
  <c r="EP67" i="2" s="1"/>
  <c r="EO24" i="2"/>
  <c r="BJ72" i="2"/>
  <c r="ES72" i="2"/>
  <c r="ER72" i="2"/>
  <c r="EQ72" i="2"/>
  <c r="EP72" i="2"/>
  <c r="EO72" i="2"/>
  <c r="EN72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48" i="2"/>
  <c r="EU48" i="2"/>
  <c r="EV71" i="2"/>
  <c r="EV70" i="2"/>
  <c r="EV21" i="2"/>
  <c r="EV44" i="2"/>
  <c r="EV23" i="2"/>
  <c r="EV40" i="2"/>
  <c r="EV13" i="2"/>
  <c r="EV14" i="2"/>
  <c r="EV61" i="2"/>
  <c r="EV17" i="2"/>
  <c r="EV12" i="2"/>
  <c r="EV46" i="2"/>
  <c r="EV27" i="2"/>
  <c r="BI74" i="2"/>
  <c r="EV74" i="2" s="1"/>
  <c r="BI72" i="2"/>
  <c r="BH72" i="2"/>
  <c r="EV25" i="2"/>
  <c r="EU13" i="2"/>
  <c r="ET13" i="2"/>
  <c r="EU44" i="2"/>
  <c r="EU23" i="2"/>
  <c r="EU59" i="2"/>
  <c r="EU40" i="2"/>
  <c r="EU14" i="2"/>
  <c r="EU61" i="2"/>
  <c r="EU17" i="2"/>
  <c r="EU12" i="2"/>
  <c r="ET59" i="2"/>
  <c r="ET40" i="2"/>
  <c r="ET14" i="2"/>
  <c r="ET61" i="2"/>
  <c r="ET17" i="2"/>
  <c r="ES61" i="2"/>
  <c r="ES12" i="2"/>
  <c r="ES46" i="2"/>
  <c r="ET12" i="2"/>
  <c r="EU46" i="2"/>
  <c r="EU27" i="2"/>
  <c r="ET46" i="2"/>
  <c r="ES25" i="2"/>
  <c r="ET25" i="2"/>
  <c r="EU25" i="2"/>
  <c r="BF72" i="2"/>
  <c r="BG72" i="2"/>
  <c r="ET27" i="2"/>
  <c r="ET23" i="2"/>
  <c r="ET44" i="2"/>
  <c r="ET49" i="2"/>
  <c r="ET50" i="2"/>
  <c r="EU50" i="2" s="1"/>
  <c r="ET41" i="2"/>
  <c r="EU41" i="2" s="1"/>
  <c r="EV41" i="2" s="1"/>
  <c r="ET48" i="2"/>
  <c r="ET57" i="2"/>
  <c r="EU57" i="2" s="1"/>
  <c r="EV57" i="2" s="1"/>
  <c r="ET70" i="2"/>
  <c r="ET71" i="2"/>
  <c r="ET53" i="2"/>
  <c r="EU53" i="2" s="1"/>
  <c r="ET55" i="2"/>
  <c r="EU55" i="2" s="1"/>
  <c r="EV55" i="2" s="1"/>
  <c r="ET60" i="2"/>
  <c r="EU60" i="2" s="1"/>
  <c r="EV60" i="2" s="1"/>
  <c r="AY49" i="2"/>
  <c r="AZ69" i="2"/>
  <c r="AZ73" i="2" s="1"/>
  <c r="AZ75" i="2" s="1"/>
  <c r="AZ93" i="2" s="1"/>
  <c r="AX59" i="2"/>
  <c r="AX48" i="2"/>
  <c r="AZ92" i="2"/>
  <c r="AZ91" i="2"/>
  <c r="ES27" i="2"/>
  <c r="J4" i="1"/>
  <c r="J7" i="1" s="1"/>
  <c r="C23" i="3"/>
  <c r="C22" i="3"/>
  <c r="C26" i="5"/>
  <c r="AZ79" i="2"/>
  <c r="ET79" i="2" s="1"/>
  <c r="EN73" i="2"/>
  <c r="EN75" i="2" s="1"/>
  <c r="EN77" i="2" s="1"/>
  <c r="EN78" i="2" s="1"/>
  <c r="AQ44" i="2"/>
  <c r="AS12" i="2"/>
  <c r="AS59" i="2"/>
  <c r="BK72" i="2"/>
  <c r="BY77" i="2" l="1"/>
  <c r="BY78" i="2" s="1"/>
  <c r="CC88" i="2" s="1"/>
  <c r="DM78" i="2"/>
  <c r="DM88" i="2" s="1"/>
  <c r="DM123" i="2"/>
  <c r="DL78" i="2"/>
  <c r="DP88" i="2" s="1"/>
  <c r="DL123" i="2"/>
  <c r="DN78" i="2"/>
  <c r="DR88" i="2" s="1"/>
  <c r="DN123" i="2"/>
  <c r="DL88" i="2"/>
  <c r="DN88" i="2"/>
  <c r="BZ88" i="2"/>
  <c r="BZ93" i="2"/>
  <c r="FJ93" i="2"/>
  <c r="FL69" i="2"/>
  <c r="FL68" i="2" s="1"/>
  <c r="FQ5" i="2"/>
  <c r="FQ3" i="2" s="1"/>
  <c r="FN12" i="2"/>
  <c r="FM67" i="2"/>
  <c r="FK91" i="2"/>
  <c r="FL70" i="2"/>
  <c r="DK77" i="2"/>
  <c r="DG88" i="2"/>
  <c r="BW77" i="2"/>
  <c r="BW78" i="2" s="1"/>
  <c r="ET72" i="2"/>
  <c r="EW74" i="2"/>
  <c r="BX77" i="2"/>
  <c r="BX78" i="2" s="1"/>
  <c r="EV67" i="2"/>
  <c r="EV91" i="2" s="1"/>
  <c r="ET67" i="2"/>
  <c r="ET91" i="2" s="1"/>
  <c r="EQ67" i="2"/>
  <c r="EO67" i="2"/>
  <c r="ES67" i="2"/>
  <c r="EU67" i="2"/>
  <c r="BQ67" i="2"/>
  <c r="AY67" i="2"/>
  <c r="AY92" i="2" s="1"/>
  <c r="EV72" i="2"/>
  <c r="BN90" i="2"/>
  <c r="BN73" i="2"/>
  <c r="BN75" i="2" s="1"/>
  <c r="AZ90" i="2"/>
  <c r="EP91" i="2"/>
  <c r="EP69" i="2"/>
  <c r="EP73" i="2" s="1"/>
  <c r="EP75" i="2" s="1"/>
  <c r="EP77" i="2" s="1"/>
  <c r="EP78" i="2" s="1"/>
  <c r="AZ77" i="2"/>
  <c r="AZ78" i="2" s="1"/>
  <c r="ER91" i="2"/>
  <c r="ER69" i="2"/>
  <c r="BN92" i="2"/>
  <c r="BN91" i="2"/>
  <c r="FA70" i="2"/>
  <c r="EU72" i="2"/>
  <c r="EX79" i="2"/>
  <c r="EQ91" i="2" l="1"/>
  <c r="EQ81" i="2"/>
  <c r="EO91" i="2"/>
  <c r="EO81" i="2"/>
  <c r="EP81" i="2"/>
  <c r="DQ88" i="2"/>
  <c r="DK78" i="2"/>
  <c r="DO88" i="2" s="1"/>
  <c r="DK123" i="2"/>
  <c r="FJ123" i="2" s="1"/>
  <c r="BW88" i="2"/>
  <c r="CA88" i="2"/>
  <c r="BX88" i="2"/>
  <c r="CB88" i="2"/>
  <c r="FM69" i="2"/>
  <c r="FM68" i="2" s="1"/>
  <c r="FL90" i="2"/>
  <c r="FO12" i="2"/>
  <c r="FN67" i="2"/>
  <c r="FL72" i="2"/>
  <c r="FL73" i="2" s="1"/>
  <c r="FL91" i="2"/>
  <c r="FM70" i="2"/>
  <c r="FM81" i="2"/>
  <c r="EO69" i="2"/>
  <c r="EO73" i="2" s="1"/>
  <c r="EO75" i="2" s="1"/>
  <c r="EO77" i="2" s="1"/>
  <c r="EO78" i="2" s="1"/>
  <c r="EO88" i="2" s="1"/>
  <c r="ER81" i="2"/>
  <c r="EQ69" i="2"/>
  <c r="EQ73" i="2" s="1"/>
  <c r="EQ75" i="2" s="1"/>
  <c r="EQ77" i="2" s="1"/>
  <c r="EQ78" i="2" s="1"/>
  <c r="EQ88" i="2" s="1"/>
  <c r="EZ79" i="2"/>
  <c r="FA79" i="2" s="1"/>
  <c r="FB79" i="2" s="1"/>
  <c r="FC79" i="2" s="1"/>
  <c r="EZ67" i="2"/>
  <c r="EZ91" i="2" s="1"/>
  <c r="EY67" i="2"/>
  <c r="EY69" i="2" s="1"/>
  <c r="EV81" i="2"/>
  <c r="BQ92" i="2"/>
  <c r="BQ69" i="2"/>
  <c r="BQ90" i="2" s="1"/>
  <c r="BQ91" i="2"/>
  <c r="AY69" i="2"/>
  <c r="AY73" i="2" s="1"/>
  <c r="AY75" i="2" s="1"/>
  <c r="BR75" i="2"/>
  <c r="BR93" i="2" s="1"/>
  <c r="AY91" i="2"/>
  <c r="BT81" i="2"/>
  <c r="ES91" i="2"/>
  <c r="ES81" i="2"/>
  <c r="ES69" i="2"/>
  <c r="BN93" i="2"/>
  <c r="BN77" i="2"/>
  <c r="BN78" i="2" s="1"/>
  <c r="ET81" i="2"/>
  <c r="FA72" i="2"/>
  <c r="ER90" i="2"/>
  <c r="ER73" i="2"/>
  <c r="ER75" i="2" s="1"/>
  <c r="ER77" i="2" s="1"/>
  <c r="ER78" i="2" s="1"/>
  <c r="EU91" i="2"/>
  <c r="ET69" i="2"/>
  <c r="EU81" i="2"/>
  <c r="DK88" i="2" l="1"/>
  <c r="FN69" i="2"/>
  <c r="FN68" i="2" s="1"/>
  <c r="FM91" i="2"/>
  <c r="FM72" i="2"/>
  <c r="FM73" i="2" s="1"/>
  <c r="FP12" i="2"/>
  <c r="FP67" i="2" s="1"/>
  <c r="FP69" i="2" s="1"/>
  <c r="FO67" i="2"/>
  <c r="FM90" i="2"/>
  <c r="FN70" i="2"/>
  <c r="FN81" i="2"/>
  <c r="ER88" i="2"/>
  <c r="EP88" i="2"/>
  <c r="EY90" i="2"/>
  <c r="EY73" i="2"/>
  <c r="EY75" i="2" s="1"/>
  <c r="BQ73" i="2"/>
  <c r="BQ75" i="2" s="1"/>
  <c r="AY90" i="2"/>
  <c r="AY77" i="2"/>
  <c r="AY78" i="2" s="1"/>
  <c r="AY93" i="2"/>
  <c r="FB72" i="2"/>
  <c r="ES73" i="2"/>
  <c r="ES75" i="2" s="1"/>
  <c r="ES77" i="2" s="1"/>
  <c r="ES78" i="2" s="1"/>
  <c r="ES88" i="2" s="1"/>
  <c r="ES90" i="2"/>
  <c r="EY91" i="2"/>
  <c r="ET73" i="2"/>
  <c r="ET75" i="2" s="1"/>
  <c r="ET76" i="2" s="1"/>
  <c r="ET77" i="2" s="1"/>
  <c r="ET78" i="2" s="1"/>
  <c r="ET68" i="2"/>
  <c r="BR77" i="2"/>
  <c r="BR78" i="2" s="1"/>
  <c r="EZ81" i="2"/>
  <c r="FO69" i="2" l="1"/>
  <c r="FO68" i="2" s="1"/>
  <c r="FK93" i="2"/>
  <c r="FN90" i="2"/>
  <c r="FN72" i="2"/>
  <c r="FN73" i="2" s="1"/>
  <c r="FN91" i="2"/>
  <c r="FO70" i="2"/>
  <c r="FO81" i="2"/>
  <c r="FQ12" i="2"/>
  <c r="FQ67" i="2" s="1"/>
  <c r="BR88" i="2"/>
  <c r="BV88" i="2"/>
  <c r="FA91" i="2"/>
  <c r="BQ93" i="2"/>
  <c r="BQ77" i="2"/>
  <c r="BQ78" i="2" s="1"/>
  <c r="EY77" i="2"/>
  <c r="ET88" i="2"/>
  <c r="FQ69" i="2" l="1"/>
  <c r="FQ68" i="2" s="1"/>
  <c r="FQ70" i="2"/>
  <c r="FQ72" i="2" s="1"/>
  <c r="FP68" i="2"/>
  <c r="FP70" i="2"/>
  <c r="FP72" i="2" s="1"/>
  <c r="FP73" i="2" s="1"/>
  <c r="FP81" i="2"/>
  <c r="FQ81" i="2"/>
  <c r="FO90" i="2"/>
  <c r="FO72" i="2"/>
  <c r="FO73" i="2" s="1"/>
  <c r="FO91" i="2"/>
  <c r="FD72" i="2"/>
  <c r="FA69" i="2"/>
  <c r="FA73" i="2" s="1"/>
  <c r="FA75" i="2" s="1"/>
  <c r="FA81" i="2"/>
  <c r="FB91" i="2"/>
  <c r="BT88" i="2"/>
  <c r="EY78" i="2"/>
  <c r="FQ73" i="2" l="1"/>
  <c r="FK95" i="2"/>
  <c r="FL74" i="2" s="1"/>
  <c r="FL75" i="2" s="1"/>
  <c r="FL76" i="2" s="1"/>
  <c r="FQ90" i="2"/>
  <c r="FQ91" i="2"/>
  <c r="FP90" i="2"/>
  <c r="FP91" i="2"/>
  <c r="FE72" i="2"/>
  <c r="FE73" i="2" s="1"/>
  <c r="FA68" i="2"/>
  <c r="FB73" i="2"/>
  <c r="FB75" i="2" s="1"/>
  <c r="FD67" i="2"/>
  <c r="FC91" i="2"/>
  <c r="FB81" i="2"/>
  <c r="FD69" i="2" l="1"/>
  <c r="FD73" i="2" s="1"/>
  <c r="FE81" i="2"/>
  <c r="FL93" i="2"/>
  <c r="FL77" i="2"/>
  <c r="FD91" i="2"/>
  <c r="FF72" i="2"/>
  <c r="FF73" i="2" s="1"/>
  <c r="FC75" i="2"/>
  <c r="FC81" i="2"/>
  <c r="FA76" i="2"/>
  <c r="FA77" i="2" s="1"/>
  <c r="FL78" i="2" l="1"/>
  <c r="FL95" i="2"/>
  <c r="FD81" i="2"/>
  <c r="FA78" i="2"/>
  <c r="FM74" i="2" l="1"/>
  <c r="FM75" i="2" s="1"/>
  <c r="FM76" i="2" s="1"/>
  <c r="FD75" i="2"/>
  <c r="FE75" i="2"/>
  <c r="FE91" i="2"/>
  <c r="FB76" i="2"/>
  <c r="FB77" i="2" s="1"/>
  <c r="FM93" i="2" l="1"/>
  <c r="FM77" i="2"/>
  <c r="FE77" i="2"/>
  <c r="FE78" i="2" s="1"/>
  <c r="FF75" i="2"/>
  <c r="FB78" i="2"/>
  <c r="FB88" i="2" s="1"/>
  <c r="FF77" i="2" l="1"/>
  <c r="FF78" i="2" s="1"/>
  <c r="FF88" i="2" s="1"/>
  <c r="FF93" i="2"/>
  <c r="FM78" i="2"/>
  <c r="FM95" i="2"/>
  <c r="FH77" i="2"/>
  <c r="FH78" i="2" s="1"/>
  <c r="FG75" i="2"/>
  <c r="FG91" i="2"/>
  <c r="FC77" i="2"/>
  <c r="FG77" i="2" l="1"/>
  <c r="FG78" i="2" s="1"/>
  <c r="FG93" i="2"/>
  <c r="FN74" i="2"/>
  <c r="FN75" i="2" s="1"/>
  <c r="FN76" i="2" s="1"/>
  <c r="FC78" i="2"/>
  <c r="FC88" i="2" s="1"/>
  <c r="FN93" i="2" l="1"/>
  <c r="FN77" i="2"/>
  <c r="FD77" i="2"/>
  <c r="FN78" i="2" l="1"/>
  <c r="FN95" i="2"/>
  <c r="FD78" i="2"/>
  <c r="FO74" i="2" l="1"/>
  <c r="FO75" i="2" s="1"/>
  <c r="FO76" i="2" s="1"/>
  <c r="FD88" i="2"/>
  <c r="FE88" i="2"/>
  <c r="FO93" i="2" l="1"/>
  <c r="FO77" i="2"/>
  <c r="AV67" i="2"/>
  <c r="AV92" i="2" s="1"/>
  <c r="FO78" i="2" l="1"/>
  <c r="FO95" i="2"/>
  <c r="AV91" i="2"/>
  <c r="BU81" i="2"/>
  <c r="BU69" i="2"/>
  <c r="AV69" i="2"/>
  <c r="FP74" i="2" l="1"/>
  <c r="FP75" i="2" s="1"/>
  <c r="FP76" i="2" s="1"/>
  <c r="BU90" i="2"/>
  <c r="BU73" i="2"/>
  <c r="BU75" i="2" s="1"/>
  <c r="BU93" i="2" s="1"/>
  <c r="AV73" i="2"/>
  <c r="AV75" i="2" s="1"/>
  <c r="AV90" i="2"/>
  <c r="AR67" i="2"/>
  <c r="AR92" i="2" s="1"/>
  <c r="FP93" i="2" l="1"/>
  <c r="AV77" i="2"/>
  <c r="AV78" i="2" s="1"/>
  <c r="AZ88" i="2" s="1"/>
  <c r="AV93" i="2"/>
  <c r="BU77" i="2"/>
  <c r="BU78" i="2" s="1"/>
  <c r="AR91" i="2"/>
  <c r="AR69" i="2"/>
  <c r="FP77" i="2" l="1"/>
  <c r="BU88" i="2"/>
  <c r="BY88" i="2"/>
  <c r="AR73" i="2"/>
  <c r="AR75" i="2" s="1"/>
  <c r="AR90" i="2"/>
  <c r="FP78" i="2" l="1"/>
  <c r="FP95" i="2"/>
  <c r="FQ74" i="2" s="1"/>
  <c r="FQ75" i="2" s="1"/>
  <c r="FQ76" i="2" s="1"/>
  <c r="FQ77" i="2" s="1"/>
  <c r="AR77" i="2"/>
  <c r="AR78" i="2" s="1"/>
  <c r="AV88" i="2" s="1"/>
  <c r="AR93" i="2"/>
  <c r="AS67" i="2"/>
  <c r="AS91" i="2" s="1"/>
  <c r="AS92" i="2" l="1"/>
  <c r="AS69" i="2"/>
  <c r="FQ93" i="2" l="1"/>
  <c r="AS90" i="2"/>
  <c r="AS73" i="2"/>
  <c r="AS75" i="2" s="1"/>
  <c r="AS93" i="2" l="1"/>
  <c r="AS77" i="2"/>
  <c r="AS78" i="2" s="1"/>
  <c r="AQ67" i="2"/>
  <c r="AQ92" i="2" s="1"/>
  <c r="FR77" i="2" l="1"/>
  <c r="FQ78" i="2"/>
  <c r="FQ95" i="2"/>
  <c r="AQ69" i="2"/>
  <c r="AQ91" i="2"/>
  <c r="FS77" i="2" l="1"/>
  <c r="FT77" i="2" s="1"/>
  <c r="FU77" i="2" s="1"/>
  <c r="FV77" i="2" s="1"/>
  <c r="FW77" i="2" s="1"/>
  <c r="FX77" i="2" s="1"/>
  <c r="FY77" i="2" s="1"/>
  <c r="FZ77" i="2" s="1"/>
  <c r="GA77" i="2" s="1"/>
  <c r="GB77" i="2" s="1"/>
  <c r="GC77" i="2" s="1"/>
  <c r="GD77" i="2" s="1"/>
  <c r="GE77" i="2" s="1"/>
  <c r="GF77" i="2" s="1"/>
  <c r="GG77" i="2" s="1"/>
  <c r="GH77" i="2" s="1"/>
  <c r="GI77" i="2" s="1"/>
  <c r="GJ77" i="2" s="1"/>
  <c r="GK77" i="2" s="1"/>
  <c r="GL77" i="2" s="1"/>
  <c r="GM77" i="2" s="1"/>
  <c r="GN77" i="2" s="1"/>
  <c r="GO77" i="2" s="1"/>
  <c r="GP77" i="2" s="1"/>
  <c r="GQ77" i="2" s="1"/>
  <c r="GR77" i="2" s="1"/>
  <c r="GS77" i="2" s="1"/>
  <c r="GT77" i="2" s="1"/>
  <c r="GU77" i="2" s="1"/>
  <c r="GV77" i="2" s="1"/>
  <c r="GW77" i="2" s="1"/>
  <c r="GX77" i="2" s="1"/>
  <c r="GY77" i="2" s="1"/>
  <c r="GZ77" i="2" s="1"/>
  <c r="HA77" i="2" s="1"/>
  <c r="HB77" i="2" s="1"/>
  <c r="HC77" i="2" s="1"/>
  <c r="HD77" i="2" s="1"/>
  <c r="HE77" i="2" s="1"/>
  <c r="HF77" i="2" s="1"/>
  <c r="HG77" i="2" s="1"/>
  <c r="HH77" i="2" s="1"/>
  <c r="HI77" i="2" s="1"/>
  <c r="HJ77" i="2" s="1"/>
  <c r="HK77" i="2" s="1"/>
  <c r="HL77" i="2" s="1"/>
  <c r="HM77" i="2" s="1"/>
  <c r="HN77" i="2" s="1"/>
  <c r="HO77" i="2" s="1"/>
  <c r="HP77" i="2" s="1"/>
  <c r="HQ77" i="2" s="1"/>
  <c r="HR77" i="2" s="1"/>
  <c r="HS77" i="2" s="1"/>
  <c r="HT77" i="2" s="1"/>
  <c r="HU77" i="2" s="1"/>
  <c r="HV77" i="2" s="1"/>
  <c r="HW77" i="2" s="1"/>
  <c r="HX77" i="2" s="1"/>
  <c r="HY77" i="2" s="1"/>
  <c r="HZ77" i="2" s="1"/>
  <c r="IA77" i="2" s="1"/>
  <c r="IB77" i="2" s="1"/>
  <c r="IC77" i="2" s="1"/>
  <c r="ID77" i="2" s="1"/>
  <c r="IE77" i="2" s="1"/>
  <c r="IF77" i="2" s="1"/>
  <c r="IG77" i="2" s="1"/>
  <c r="IH77" i="2" s="1"/>
  <c r="II77" i="2" s="1"/>
  <c r="IJ77" i="2" s="1"/>
  <c r="IK77" i="2" s="1"/>
  <c r="IL77" i="2" s="1"/>
  <c r="IM77" i="2" s="1"/>
  <c r="IN77" i="2" s="1"/>
  <c r="IO77" i="2" s="1"/>
  <c r="IP77" i="2" s="1"/>
  <c r="IQ77" i="2" s="1"/>
  <c r="FS96" i="2" s="1"/>
  <c r="AQ73" i="2"/>
  <c r="AQ75" i="2" s="1"/>
  <c r="AQ90" i="2"/>
  <c r="FS97" i="2" l="1"/>
  <c r="AQ93" i="2"/>
  <c r="AQ77" i="2"/>
  <c r="AQ78" i="2" s="1"/>
  <c r="AU67" i="2"/>
  <c r="AU92" i="2" s="1"/>
  <c r="AU91" i="2" l="1"/>
  <c r="AU69" i="2"/>
  <c r="AU90" i="2" l="1"/>
  <c r="AU73" i="2"/>
  <c r="AU75" i="2" s="1"/>
  <c r="AW67" i="2"/>
  <c r="AW91" i="2" s="1"/>
  <c r="AW69" i="2" l="1"/>
  <c r="AW90" i="2" s="1"/>
  <c r="AU77" i="2"/>
  <c r="AU78" i="2" s="1"/>
  <c r="AU93" i="2"/>
  <c r="AW92" i="2"/>
  <c r="AW73" i="2" l="1"/>
  <c r="AW75" i="2" s="1"/>
  <c r="AU88" i="2"/>
  <c r="AY88" i="2"/>
  <c r="AP67" i="2"/>
  <c r="AP92" i="2" s="1"/>
  <c r="AW93" i="2" l="1"/>
  <c r="AW77" i="2"/>
  <c r="AW78" i="2" s="1"/>
  <c r="AP91" i="2"/>
  <c r="AP69" i="2"/>
  <c r="AW88" i="2" l="1"/>
  <c r="AP73" i="2"/>
  <c r="AP75" i="2" s="1"/>
  <c r="AP90" i="2"/>
  <c r="AP93" i="2" l="1"/>
  <c r="AP77" i="2"/>
  <c r="AP78" i="2" s="1"/>
  <c r="AT67" i="2"/>
  <c r="AT91" i="2" s="1"/>
  <c r="AT92" i="2" l="1"/>
  <c r="AT69" i="2"/>
  <c r="AT90" i="2" l="1"/>
  <c r="AT73" i="2"/>
  <c r="AT75" i="2" s="1"/>
  <c r="AT93" i="2" l="1"/>
  <c r="AT77" i="2"/>
  <c r="AT78" i="2" s="1"/>
  <c r="EZ69" i="2"/>
  <c r="EZ73" i="2" s="1"/>
  <c r="EZ75" i="2" s="1"/>
  <c r="EZ76" i="2" l="1"/>
  <c r="EZ77" i="2" s="1"/>
  <c r="EZ68" i="2"/>
  <c r="EZ78" i="2" l="1"/>
  <c r="FA88" i="2" l="1"/>
  <c r="EZ88" i="2"/>
  <c r="BC24" i="2" l="1"/>
  <c r="BC67" i="2" s="1"/>
  <c r="BC69" i="2" s="1"/>
  <c r="BE24" i="2"/>
  <c r="BE67" i="2" s="1"/>
  <c r="BD24" i="2"/>
  <c r="BD67" i="2" s="1"/>
  <c r="BD92" i="2" s="1"/>
  <c r="AX24" i="2"/>
  <c r="AX67" i="2" s="1"/>
  <c r="BB24" i="2"/>
  <c r="BB67" i="2" s="1"/>
  <c r="BB92" i="2" s="1"/>
  <c r="BA24" i="2"/>
  <c r="BA67" i="2" s="1"/>
  <c r="BA69" i="2" s="1"/>
  <c r="BA92" i="2" l="1"/>
  <c r="BA91" i="2"/>
  <c r="BB69" i="2"/>
  <c r="BB90" i="2" s="1"/>
  <c r="AX91" i="2"/>
  <c r="AX92" i="2"/>
  <c r="AX69" i="2"/>
  <c r="BE69" i="2"/>
  <c r="BE73" i="2" s="1"/>
  <c r="BE75" i="2" s="1"/>
  <c r="BE77" i="2" s="1"/>
  <c r="BE78" i="2" s="1"/>
  <c r="BE81" i="2"/>
  <c r="BE91" i="2"/>
  <c r="BE92" i="2"/>
  <c r="BC73" i="2"/>
  <c r="BC75" i="2" s="1"/>
  <c r="BC77" i="2" s="1"/>
  <c r="BC78" i="2" s="1"/>
  <c r="BC88" i="2" s="1"/>
  <c r="BA73" i="2"/>
  <c r="BA75" i="2" s="1"/>
  <c r="BA90" i="2"/>
  <c r="BD81" i="2"/>
  <c r="BC91" i="2"/>
  <c r="BB91" i="2"/>
  <c r="BD91" i="2"/>
  <c r="BC92" i="2"/>
  <c r="BD69" i="2"/>
  <c r="BD73" i="2" s="1"/>
  <c r="BD75" i="2" s="1"/>
  <c r="BD77" i="2" s="1"/>
  <c r="BD78" i="2" s="1"/>
  <c r="BD88" i="2" s="1"/>
  <c r="BB73" i="2" l="1"/>
  <c r="BB75" i="2" s="1"/>
  <c r="BB93" i="2" s="1"/>
  <c r="BA77" i="2"/>
  <c r="BA78" i="2" s="1"/>
  <c r="BA88" i="2" s="1"/>
  <c r="BA93" i="2"/>
  <c r="AX90" i="2"/>
  <c r="AX73" i="2"/>
  <c r="AX75" i="2" s="1"/>
  <c r="BE88" i="2" l="1"/>
  <c r="BB77" i="2"/>
  <c r="BB78" i="2" s="1"/>
  <c r="AX93" i="2"/>
  <c r="AX77" i="2"/>
  <c r="AX78" i="2" s="1"/>
  <c r="AX88" i="2" s="1"/>
  <c r="BB88" i="2" l="1"/>
  <c r="BF81" i="2" l="1"/>
  <c r="BF92" i="2"/>
  <c r="BF91" i="2"/>
  <c r="BF69" i="2"/>
  <c r="BF73" i="2" s="1"/>
  <c r="BF75" i="2" s="1"/>
  <c r="BF77" i="2" s="1"/>
  <c r="BF78" i="2" s="1"/>
  <c r="BF88" i="2" s="1"/>
  <c r="EU69" i="2" l="1"/>
  <c r="EU90" i="2" s="1"/>
  <c r="EU68" i="2" l="1"/>
  <c r="EU73" i="2"/>
  <c r="EU75" i="2" s="1"/>
  <c r="EU77" i="2" s="1"/>
  <c r="EU78" i="2" s="1"/>
  <c r="EU88" i="2" s="1"/>
  <c r="BK92" i="2" l="1"/>
  <c r="BK91" i="2"/>
  <c r="BK69" i="2"/>
  <c r="BK90" i="2" l="1"/>
  <c r="BK73" i="2"/>
  <c r="BK75" i="2" s="1"/>
  <c r="BK77" i="2" l="1"/>
  <c r="BK93" i="2"/>
  <c r="BK95" i="2" l="1"/>
  <c r="BK78" i="2"/>
  <c r="BI66" i="2"/>
  <c r="BI67" i="2" s="1"/>
  <c r="BI92" i="2" s="1"/>
  <c r="BI69" i="2" l="1"/>
  <c r="BI91" i="2"/>
  <c r="BI81" i="2"/>
  <c r="BI73" i="2" l="1"/>
  <c r="BI75" i="2" s="1"/>
  <c r="BI90" i="2"/>
  <c r="BI77" i="2" l="1"/>
  <c r="BI78" i="2" s="1"/>
  <c r="BI88" i="2" s="1"/>
  <c r="BI93" i="2"/>
  <c r="BJ69" i="2"/>
  <c r="BJ73" i="2" s="1"/>
  <c r="BJ75" i="2" s="1"/>
  <c r="BJ81" i="2"/>
  <c r="BN81" i="2"/>
  <c r="BJ91" i="2"/>
  <c r="BJ92" i="2"/>
  <c r="BJ77" i="2" l="1"/>
  <c r="BJ78" i="2" s="1"/>
  <c r="BJ93" i="2"/>
  <c r="BJ90" i="2"/>
  <c r="BJ88" i="2" l="1"/>
  <c r="BN88" i="2"/>
  <c r="EX24" i="2"/>
  <c r="EX67" i="2" s="1"/>
  <c r="EY81" i="2" l="1"/>
  <c r="EX69" i="2"/>
  <c r="EX91" i="2"/>
  <c r="BO92" i="2"/>
  <c r="BO91" i="2"/>
  <c r="BO81" i="2"/>
  <c r="BS81" i="2"/>
  <c r="BO69" i="2"/>
  <c r="BO90" i="2" l="1"/>
  <c r="BO73" i="2"/>
  <c r="BO75" i="2" s="1"/>
  <c r="EX90" i="2"/>
  <c r="EX73" i="2"/>
  <c r="EX75" i="2" s="1"/>
  <c r="EX77" i="2" s="1"/>
  <c r="EX78" i="2" l="1"/>
  <c r="BO93" i="2"/>
  <c r="BO77" i="2"/>
  <c r="BO78" i="2" s="1"/>
  <c r="EY88" i="2" l="1"/>
  <c r="BO88" i="2"/>
  <c r="BS88" i="2"/>
  <c r="BG66" i="2"/>
  <c r="BG67" i="2" s="1"/>
  <c r="BG92" i="2" s="1"/>
  <c r="BG69" i="2" l="1"/>
  <c r="BG90" i="2" s="1"/>
  <c r="BK81" i="2"/>
  <c r="BG91" i="2"/>
  <c r="BG81" i="2"/>
  <c r="BG73" i="2" l="1"/>
  <c r="BG75" i="2" s="1"/>
  <c r="BG93" i="2" s="1"/>
  <c r="BG77" i="2" l="1"/>
  <c r="BG78" i="2" s="1"/>
  <c r="BG88" i="2" s="1"/>
  <c r="BH66" i="2"/>
  <c r="BH67" i="2" s="1"/>
  <c r="BH92" i="2" s="1"/>
  <c r="BK88" i="2" l="1"/>
  <c r="BH69" i="2"/>
  <c r="BH90" i="2" s="1"/>
  <c r="BH91" i="2"/>
  <c r="BH81" i="2"/>
  <c r="EV69" i="2" l="1"/>
  <c r="EV90" i="2" s="1"/>
  <c r="BH73" i="2"/>
  <c r="BH75" i="2" s="1"/>
  <c r="BM66" i="2"/>
  <c r="BM67" i="2" s="1"/>
  <c r="BM81" i="2" s="1"/>
  <c r="EV73" i="2" l="1"/>
  <c r="EV75" i="2" s="1"/>
  <c r="EV77" i="2" s="1"/>
  <c r="EV78" i="2" s="1"/>
  <c r="EV88" i="2" s="1"/>
  <c r="EV68" i="2"/>
  <c r="BH77" i="2"/>
  <c r="BH78" i="2" s="1"/>
  <c r="BH88" i="2" s="1"/>
  <c r="BH93" i="2"/>
  <c r="BQ81" i="2"/>
  <c r="BM69" i="2"/>
  <c r="BM91" i="2"/>
  <c r="BM92" i="2"/>
  <c r="BM73" i="2" l="1"/>
  <c r="BM75" i="2" s="1"/>
  <c r="BM90" i="2"/>
  <c r="BM77" i="2" l="1"/>
  <c r="BM78" i="2" s="1"/>
  <c r="BM93" i="2"/>
  <c r="BQ88" i="2" l="1"/>
  <c r="BM88" i="2"/>
  <c r="EW24" i="2"/>
  <c r="EW67" i="2" s="1"/>
  <c r="EW69" i="2" s="1"/>
  <c r="BL66" i="2"/>
  <c r="BL67" i="2" s="1"/>
  <c r="BL69" i="2" s="1"/>
  <c r="BL90" i="2" l="1"/>
  <c r="BL73" i="2"/>
  <c r="BL75" i="2" s="1"/>
  <c r="BL77" i="2" s="1"/>
  <c r="BL78" i="2" s="1"/>
  <c r="BP88" i="2" s="1"/>
  <c r="BL92" i="2"/>
  <c r="EW73" i="2"/>
  <c r="EW75" i="2" s="1"/>
  <c r="EW77" i="2" s="1"/>
  <c r="EW78" i="2" s="1"/>
  <c r="EW90" i="2"/>
  <c r="EW81" i="2"/>
  <c r="EW91" i="2"/>
  <c r="EX81" i="2"/>
  <c r="BL81" i="2"/>
  <c r="BP81" i="2"/>
  <c r="BL91" i="2"/>
  <c r="BL93" i="2" l="1"/>
  <c r="BL88" i="2"/>
  <c r="EW88" i="2"/>
  <c r="EX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  </r>
      </text>
    </comment>
    <comment ref="FA5" authorId="2" shapeId="0" xr:uid="{18EDECF3-07E9-E64C-BB5F-7F8C1AE658D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  </r>
      </text>
    </comment>
    <comment ref="DH6" authorId="3" shapeId="0" xr:uid="{D110C76F-F305-4B4E-81AC-1163B81E3DF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  </r>
      </text>
    </comment>
    <comment ref="DN6" authorId="4" shapeId="0" xr:uid="{F08151EC-4522-254D-A6CF-DBB4C58C9479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  </r>
      </text>
    </comment>
    <comment ref="DP6" authorId="5" shapeId="0" xr:uid="{1937C492-D834-4154-B8C8-936B5D41C8E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  </r>
      </text>
    </comment>
    <comment ref="FI6" authorId="6" shapeId="0" xr:uid="{B6EB371A-0A56-AB4A-ABD9-92DAC5F3650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  </r>
      </text>
    </comment>
    <comment ref="DN7" authorId="7" shapeId="0" xr:uid="{A9BC4FE8-80DC-7A41-916B-FD3A3AC4343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  </r>
      </text>
    </comment>
    <comment ref="FJ7" authorId="8" shapeId="0" xr:uid="{1F40E5FC-CF54-AC45-BC0B-9404824FFEE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  </r>
      </text>
    </comment>
    <comment ref="FG8" authorId="9" shapeId="0" xr:uid="{7094BEE2-B255-6946-B53D-312828A0E8F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  </r>
      </text>
    </comment>
    <comment ref="FI8" authorId="10" shapeId="0" xr:uid="{4711E078-60E3-A24C-B7C8-30E07B67A17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  </r>
      </text>
    </comment>
    <comment ref="CJ9" authorId="11" shapeId="0" xr:uid="{2AB795EB-C43C-DF4A-B48D-CE2A18193A7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  </r>
      </text>
    </comment>
    <comment ref="FC9" authorId="12" shapeId="0" xr:uid="{298B0D48-B580-7140-B810-8C16E6EEE65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  </r>
      </text>
    </comment>
    <comment ref="CP10" authorId="13" shapeId="0" xr:uid="{BFDA6941-6E61-D14F-960B-69FE7FDBB07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  </r>
      </text>
    </comment>
    <comment ref="FD10" authorId="14" shapeId="0" xr:uid="{94562225-C4CE-0C4D-A578-B06EF230FD4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  </r>
      </text>
    </comment>
    <comment ref="BO12" authorId="15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3" authorId="15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4" authorId="15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5" authorId="16" shapeId="0" xr:uid="{FC3313FA-6E66-F54B-BE29-1B33FA52BFD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  </r>
      </text>
    </comment>
    <comment ref="FA16" authorId="17" shapeId="0" xr:uid="{1462D965-411F-AB4E-9A9C-0EBC71E25E0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  </r>
      </text>
    </comment>
    <comment ref="AY17" authorId="18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17" authorId="15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17" authorId="19" shapeId="0" xr:uid="{446C103B-2230-B14A-A972-079F6469077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  </r>
      </text>
    </comment>
    <comment ref="FB18" authorId="20" shapeId="0" xr:uid="{E533C1B4-8234-9040-8B49-186CC437E34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  </r>
      </text>
    </comment>
    <comment ref="BO23" authorId="15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5" authorId="18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5" authorId="2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5" authorId="15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5" authorId="15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5" authorId="22" shapeId="0" xr:uid="{8F4CD8C8-C5AD-42CC-9BCE-BBE94D1E731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  </r>
      </text>
    </comment>
    <comment ref="DK25" authorId="23" shapeId="0" xr:uid="{F4F327C3-D382-4618-9A25-20A26153AC9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  </r>
      </text>
    </comment>
    <comment ref="DL25" authorId="24" shapeId="0" xr:uid="{86E2D938-06E9-45D6-B748-F134DEE4AE3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  </r>
      </text>
    </comment>
    <comment ref="DM25" authorId="25" shapeId="0" xr:uid="{AC99C3F7-4BA9-45D9-94D4-E0C841BBA79A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  </r>
      </text>
    </comment>
    <comment ref="ET25" authorId="18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5" authorId="15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27" authorId="15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27" authorId="15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28" authorId="26" shapeId="0" xr:uid="{C53B26C9-8602-47A2-80EC-A28651A52E2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  </r>
      </text>
    </comment>
    <comment ref="DF28" authorId="27" shapeId="0" xr:uid="{63959650-84D7-46CF-829F-FD9E350BCC2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372.5m</t>
        </r>
      </text>
    </comment>
    <comment ref="DL31" authorId="28" shapeId="0" xr:uid="{5CD0ABE8-7806-4ECB-8790-D95D213DFB7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  </r>
      </text>
    </comment>
    <comment ref="DP31" authorId="29" shapeId="0" xr:uid="{DBBA6220-959D-47BC-90CF-6DB764B198F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12.4m?</t>
        </r>
      </text>
    </comment>
    <comment ref="DQ36" authorId="30" shapeId="0" xr:uid="{FC35742F-78AD-4CF0-B81E-A497B85C76DA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  </r>
      </text>
    </comment>
    <comment ref="DD37" authorId="31" shapeId="0" xr:uid="{A9214E8B-BB63-4C5A-81B6-161440AC7FD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  </r>
      </text>
    </comment>
    <comment ref="BO40" authorId="15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0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4" authorId="15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46" authorId="15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46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49" authorId="32" shapeId="0" xr:uid="{C66F5119-A7C1-5741-A5D9-2B573CE6D33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  </r>
      </text>
    </comment>
    <comment ref="EO49" authorId="33" shapeId="0" xr:uid="{D94A1F2D-0D94-A840-8ACB-E2C95F3F4C0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  </r>
      </text>
    </comment>
    <comment ref="BO61" authorId="15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1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67" authorId="15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67" authorId="34" shapeId="0" xr:uid="{F6E279B7-B537-4FD2-9F94-8042A4D1287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5,092</t>
        </r>
      </text>
    </comment>
    <comment ref="CY67" authorId="35" shapeId="0" xr:uid="{E60352B4-4A0D-4646-997E-29633AD2D22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  </r>
      </text>
    </comment>
    <comment ref="CZ67" authorId="36" shapeId="0" xr:uid="{D23219C3-585B-4401-96E4-A54AA852CF63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  </r>
      </text>
    </comment>
    <comment ref="DA67" authorId="37" shapeId="0" xr:uid="{A2E464E0-CBDF-4ECE-9C4E-FC1B4BA053F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  </r>
      </text>
    </comment>
    <comment ref="DB67" authorId="38" shapeId="0" xr:uid="{F1B0E7D4-F86C-4460-9BB2-30549C72BA4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  </r>
      </text>
    </comment>
    <comment ref="DC67" authorId="39" shapeId="0" xr:uid="{27F9AA8E-4F00-4838-B3AE-5C359EA8036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  </r>
      </text>
    </comment>
    <comment ref="DD67" authorId="40" shapeId="0" xr:uid="{AFC9B85C-9AC1-4E0B-A0FD-4EC0747D6C8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  </r>
      </text>
    </comment>
    <comment ref="DE67" authorId="41" shapeId="0" xr:uid="{3630D8DA-CEAE-49F9-B57E-A7443096F4C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  </r>
      </text>
    </comment>
    <comment ref="DF67" authorId="42" shapeId="0" xr:uid="{D7A857CD-B43A-4E52-BA69-3F839DE0727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  </r>
      </text>
    </comment>
    <comment ref="DL67" authorId="43" shapeId="0" xr:uid="{7F77C49B-1A2C-41FA-8A63-29146584637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  </r>
      </text>
    </comment>
    <comment ref="DN67" authorId="44" shapeId="0" xr:uid="{E9AE85F5-95A1-1746-8695-2448A65CBE0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  </r>
      </text>
    </comment>
    <comment ref="ES67" authorId="18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67" authorId="18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67" authorId="4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67" authorId="15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67" authorId="15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67" authorId="46" shapeId="0" xr:uid="{44F04AEB-60ED-E244-B275-73D80CAB84D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  </r>
      </text>
    </comment>
    <comment ref="FK67" authorId="47" shapeId="0" xr:uid="{DCF6DE87-1143-A848-8919-609B3D10ACF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  </r>
      </text>
    </comment>
    <comment ref="AZ73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3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4" authorId="18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4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76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76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76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76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77" authorId="48" shapeId="0" xr:uid="{00F4491F-C819-44C1-AC45-2ABA1B7BE593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  </r>
      </text>
    </comment>
    <comment ref="DG77" authorId="49" shapeId="0" xr:uid="{8874A794-CB8F-4280-B6A0-27B01371D863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  </r>
      </text>
    </comment>
    <comment ref="DJ77" authorId="50" shapeId="0" xr:uid="{E2B8392D-784C-1C43-9C17-6F8F6E8E10E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  </r>
      </text>
    </comment>
    <comment ref="DN77" authorId="51" shapeId="0" xr:uid="{D3E83574-E8FE-5147-B547-53DDC546770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  </r>
      </text>
    </comment>
    <comment ref="AW78" authorId="52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78" authorId="18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78" authorId="52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78" authorId="15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78" authorId="53" shapeId="0" xr:uid="{C09F6605-4B5E-4E4F-877F-AF898C62BEE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  </r>
      </text>
    </comment>
    <comment ref="DN78" authorId="54" shapeId="0" xr:uid="{6446E119-F193-1142-9DE3-B2093A985B4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  </r>
      </text>
    </comment>
    <comment ref="DP78" authorId="55" shapeId="0" xr:uid="{C9F253B3-164F-457B-A9EC-F6A22E190BB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  </r>
      </text>
    </comment>
    <comment ref="ES78" authorId="18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78" authorId="18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78" authorId="4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78" authorId="21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78" authorId="15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78" authorId="56" shapeId="0" xr:uid="{EA475891-7DAB-5B42-A37D-6815334EAFF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</t>
        </r>
      </text>
    </comment>
    <comment ref="DN81" authorId="57" shapeId="0" xr:uid="{E7A7648A-AC02-E948-A141-F239D41E777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  </r>
      </text>
    </comment>
    <comment ref="DP81" authorId="58" shapeId="0" xr:uid="{CF8F0CD1-8A08-4519-892D-513C9145E9E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  </r>
      </text>
    </comment>
    <comment ref="ET90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0" authorId="59" shapeId="0" xr:uid="{F7EEE25E-A1A6-4B35-B1EF-801B6A1015FB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  </r>
      </text>
    </comment>
    <comment ref="BT13" authorId="1" shapeId="0" xr:uid="{8C384B14-D415-9E49-B644-E9DC597BE4C9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  </r>
      </text>
    </comment>
  </commentList>
</comments>
</file>

<file path=xl/sharedStrings.xml><?xml version="1.0" encoding="utf-8"?>
<sst xmlns="http://schemas.openxmlformats.org/spreadsheetml/2006/main" count="1493" uniqueCount="1008">
  <si>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</si>
  <si>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</si>
  <si>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</si>
  <si>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</si>
  <si>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</si>
  <si>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</si>
  <si>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</si>
  <si>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</si>
  <si>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</si>
  <si>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</si>
  <si>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</si>
  <si>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</si>
  <si>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</si>
  <si>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</si>
  <si>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</si>
  <si>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</si>
  <si>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</si>
  <si>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</si>
  <si>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</si>
  <si>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</si>
  <si>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</si>
  <si>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</si>
  <si>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</si>
  <si>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</si>
  <si>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</si>
  <si>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</si>
  <si>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</si>
  <si>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</si>
  <si>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</si>
  <si>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</si>
  <si>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</si>
  <si>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</si>
  <si>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</si>
  <si>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</si>
  <si>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</si>
  <si>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</si>
  <si>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</si>
  <si>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</si>
  <si>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</si>
  <si>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</si>
  <si>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</si>
  <si>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</si>
  <si>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</si>
  <si>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</si>
  <si>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</si>
  <si>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</si>
  <si>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</si>
  <si>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</si>
  <si>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</si>
  <si>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</si>
  <si>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</si>
  <si>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</si>
  <si>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</si>
  <si>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</si>
  <si>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</si>
  <si>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</si>
  <si>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</si>
  <si>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</si>
  <si>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</si>
  <si>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</si>
  <si>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</si>
  <si>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</si>
  <si>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</si>
  <si>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</si>
  <si>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</si>
  <si>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</si>
  <si>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</si>
  <si>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</si>
  <si>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</si>
  <si>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</si>
  <si>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</si>
  <si>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</si>
  <si>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</si>
  <si>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</si>
  <si>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</si>
  <si>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</si>
  <si>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</si>
  <si>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</si>
  <si>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</si>
  <si>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</si>
  <si>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</si>
  <si>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</si>
  <si>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</si>
  <si>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</si>
  <si>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</si>
  <si>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</si>
  <si>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</si>
  <si>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</si>
  <si>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</si>
  <si>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</si>
  <si>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</si>
  <si>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</si>
  <si>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</si>
  <si>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</si>
  <si>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</si>
  <si>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</si>
  <si>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</si>
  <si>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</si>
  <si>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</si>
  <si>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</si>
  <si>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</si>
  <si>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</si>
  <si>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</si>
  <si>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</si>
  <si>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</si>
  <si>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</si>
  <si>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</si>
  <si>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</si>
  <si>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</si>
  <si>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</si>
  <si>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</si>
  <si>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</si>
  <si>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</si>
  <si>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</si>
  <si>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</si>
  <si>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</si>
  <si>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</si>
  <si>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</si>
  <si>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</si>
  <si>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</si>
  <si>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</si>
  <si>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</si>
  <si>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</si>
  <si>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</si>
  <si>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</si>
  <si>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</si>
  <si>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</si>
  <si>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</si>
  <si>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</si>
  <si>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</si>
  <si>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</si>
  <si>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</si>
  <si>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</si>
  <si>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</si>
  <si>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</si>
  <si>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</si>
  <si>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</si>
  <si>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</si>
  <si>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</si>
  <si>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</si>
  <si>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</si>
  <si>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</si>
  <si>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</si>
  <si>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</si>
  <si>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</si>
  <si>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</si>
  <si>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</si>
  <si>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</si>
  <si>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</si>
  <si>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</si>
  <si>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</si>
  <si>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</si>
  <si>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</si>
  <si>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</si>
  <si>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</si>
  <si>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</si>
  <si>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</si>
  <si>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</si>
  <si>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</si>
  <si>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</si>
  <si>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</si>
  <si>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</si>
  <si>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</si>
  <si>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</si>
  <si>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</si>
  <si>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</si>
  <si>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</si>
  <si>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</si>
  <si>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</si>
  <si>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</si>
  <si>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</si>
  <si>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</si>
  <si>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</si>
  <si>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</si>
  <si>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</si>
  <si>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</si>
  <si>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</si>
  <si>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</si>
  <si>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</si>
  <si>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</si>
  <si>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</si>
  <si>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</si>
  <si>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</si>
  <si>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</si>
  <si>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</si>
  <si>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</si>
  <si>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</si>
  <si>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</si>
  <si>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</si>
  <si>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</si>
  <si>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</si>
  <si>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</si>
  <si>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</si>
  <si>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</si>
  <si>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</si>
  <si>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</si>
  <si>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</si>
  <si>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</si>
  <si>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</si>
  <si>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</si>
  <si>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</si>
  <si>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</si>
  <si>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</si>
  <si>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</si>
  <si>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</si>
  <si>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</si>
  <si>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</si>
  <si>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</si>
  <si>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</si>
  <si>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</si>
  <si>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</si>
  <si>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</si>
  <si>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</si>
  <si>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</si>
  <si>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</si>
  <si>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</si>
  <si>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</si>
  <si>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</si>
  <si>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</si>
  <si>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</si>
  <si>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</si>
  <si>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</si>
  <si>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</si>
  <si>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</si>
  <si>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</si>
  <si>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</si>
  <si>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</si>
  <si>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</si>
  <si>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</si>
  <si>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</si>
  <si>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</si>
  <si>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</si>
  <si>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</si>
  <si>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</si>
  <si>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</si>
  <si>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</si>
  <si>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</si>
  <si>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</si>
  <si>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</si>
  <si>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</si>
  <si>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</si>
  <si>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</si>
  <si>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</si>
  <si>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</si>
  <si>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</si>
  <si>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</si>
  <si>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</si>
  <si>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</si>
  <si>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</si>
  <si>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</si>
  <si>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</si>
  <si>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</si>
  <si>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</si>
  <si>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</si>
  <si>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</si>
  <si>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</si>
  <si>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</si>
  <si>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</si>
  <si>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</si>
  <si>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</si>
  <si>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</si>
  <si>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</si>
  <si>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</si>
  <si>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</si>
  <si>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</si>
  <si>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</si>
  <si>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</si>
  <si>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</si>
  <si>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</si>
  <si>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</si>
  <si>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</si>
  <si>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</si>
  <si>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</si>
  <si>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</si>
  <si>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</si>
  <si>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</si>
  <si>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</si>
  <si>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</si>
  <si>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</si>
  <si>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</si>
  <si>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</si>
  <si>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</si>
  <si>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</si>
  <si>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</si>
  <si>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</si>
  <si>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</si>
  <si>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</si>
  <si>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</si>
  <si>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</si>
  <si>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</si>
  <si>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</si>
  <si>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</si>
  <si>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</si>
  <si>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</si>
  <si>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</si>
  <si>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</si>
  <si>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</si>
  <si>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</si>
  <si>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</si>
  <si>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</si>
  <si>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</si>
  <si>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</si>
  <si>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</si>
  <si>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</si>
  <si>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</si>
  <si>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</si>
  <si>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</si>
  <si>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</si>
  <si>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</si>
  <si>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</si>
  <si>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</si>
  <si>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</si>
  <si>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</si>
  <si>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</si>
  <si>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</si>
  <si>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</si>
  <si>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</si>
  <si>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</si>
  <si>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</si>
  <si>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</si>
  <si>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</si>
  <si>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</si>
  <si>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</si>
  <si>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</si>
  <si>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</si>
  <si>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</si>
  <si>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</si>
  <si>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</si>
  <si>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</si>
  <si>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</si>
  <si>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</si>
  <si>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</si>
  <si>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</si>
  <si>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</si>
  <si>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</si>
  <si>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</si>
  <si>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</si>
  <si>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</si>
  <si>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</si>
  <si>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</si>
  <si>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</si>
  <si>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</si>
  <si>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</si>
  <si>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</si>
  <si>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</si>
  <si>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</si>
  <si>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</si>
  <si>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</si>
  <si>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</si>
  <si>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</si>
  <si>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</si>
  <si>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</si>
  <si>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</si>
  <si>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</si>
  <si>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</si>
  <si>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</si>
  <si>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</si>
  <si>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</si>
  <si>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</si>
  <si>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</si>
  <si>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</si>
  <si>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</si>
  <si>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</si>
  <si>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</si>
  <si>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</si>
  <si>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</si>
  <si>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</si>
  <si>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</si>
  <si>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</si>
  <si>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</si>
  <si>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</si>
  <si>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</si>
  <si>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</si>
  <si>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</si>
  <si>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</si>
  <si>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</si>
  <si>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</si>
  <si>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</si>
  <si>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</si>
  <si>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</si>
  <si>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</si>
  <si>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</si>
  <si>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</si>
  <si>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</si>
  <si>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</si>
  <si>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</si>
  <si>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</si>
  <si>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</si>
  <si>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</si>
  <si>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</si>
  <si>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</si>
  <si>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</si>
  <si>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</si>
  <si>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</si>
  <si>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</si>
  <si>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</si>
  <si>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</si>
  <si>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</si>
  <si>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</si>
  <si>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</si>
  <si>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</si>
  <si>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</si>
  <si>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</si>
  <si>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</si>
  <si>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</si>
  <si>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</si>
  <si>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</si>
  <si>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</si>
  <si>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</si>
  <si>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</si>
  <si>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</si>
  <si>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</si>
  <si>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</si>
  <si>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</si>
  <si>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</si>
  <si>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</si>
  <si>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</si>
  <si>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</si>
  <si>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</si>
  <si>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</si>
  <si>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</si>
  <si>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</si>
  <si>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</si>
  <si>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</si>
  <si>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</si>
  <si>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</si>
  <si>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</si>
  <si>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</si>
  <si>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</si>
  <si>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</si>
  <si>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</si>
  <si>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</si>
  <si>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</si>
  <si>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</si>
  <si>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</si>
  <si>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</si>
  <si>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</si>
  <si>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</si>
  <si>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</si>
  <si>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</si>
  <si>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</si>
  <si>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</si>
  <si>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</si>
  <si>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</si>
  <si>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</si>
  <si>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</si>
  <si>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</si>
  <si>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</si>
  <si>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</si>
  <si>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</si>
  <si>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</si>
  <si>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</si>
  <si>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</si>
  <si>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</si>
  <si>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</si>
  <si>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</si>
  <si>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</si>
  <si>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</si>
  <si>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</si>
  <si>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</si>
  <si>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</si>
  <si>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</si>
  <si>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</si>
  <si>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</si>
  <si>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</si>
  <si>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</si>
  <si>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</si>
  <si>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</si>
  <si>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</si>
  <si>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</si>
  <si>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</si>
  <si>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</si>
  <si>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</si>
  <si>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</si>
  <si>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</si>
  <si>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</si>
  <si>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</si>
  <si>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</si>
  <si>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</si>
  <si>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</si>
  <si>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</si>
  <si>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</si>
  <si>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</si>
  <si>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</si>
  <si>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</si>
  <si>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</si>
  <si>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</si>
  <si>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</si>
  <si>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</si>
  <si>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</si>
  <si>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</si>
  <si>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</si>
  <si>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</si>
  <si>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</si>
  <si>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</si>
  <si>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</si>
  <si>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</si>
  <si>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</si>
  <si>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</si>
  <si>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</si>
  <si>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</si>
  <si>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</si>
  <si>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</si>
  <si>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</si>
  <si>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</si>
  <si>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</si>
  <si>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</si>
  <si>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</si>
  <si>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</si>
  <si>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</si>
  <si>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</si>
  <si>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</si>
  <si>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</si>
  <si>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</si>
  <si>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</si>
  <si>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</si>
  <si>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</si>
  <si>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</si>
  <si>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</si>
  <si>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</si>
  <si>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</si>
  <si>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</si>
  <si>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</si>
  <si>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</si>
  <si>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</si>
  <si>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</si>
  <si>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</si>
  <si>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</si>
  <si>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</si>
  <si>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</si>
  <si>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</si>
  <si>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</si>
  <si>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</si>
  <si>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</si>
  <si>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</si>
  <si>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</si>
  <si>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</si>
  <si>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</si>
  <si>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</si>
  <si>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</si>
  <si>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</si>
  <si>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</si>
  <si>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</si>
  <si>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</si>
  <si>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</si>
  <si>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</si>
  <si>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</si>
  <si>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</si>
  <si>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</si>
  <si>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</si>
  <si>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</si>
  <si>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</si>
  <si>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</si>
  <si>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</si>
  <si>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</si>
  <si>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</si>
  <si>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</si>
  <si>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</si>
  <si>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</si>
  <si>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</si>
  <si>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</si>
  <si>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</si>
  <si>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</si>
  <si>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</si>
  <si>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</si>
  <si>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</si>
  <si>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</si>
  <si>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</si>
  <si>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</si>
  <si>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</si>
  <si>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</si>
  <si>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</si>
  <si>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</si>
  <si>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</si>
  <si>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</si>
  <si>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</si>
  <si>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</si>
  <si>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</si>
  <si>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</si>
  <si>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</si>
  <si>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</si>
  <si>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</si>
  <si>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</si>
  <si>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</si>
  <si>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</si>
  <si>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</si>
  <si>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</si>
  <si>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</si>
  <si>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</si>
  <si>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</si>
  <si>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</si>
  <si>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</si>
  <si>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</si>
  <si>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</si>
  <si>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</si>
  <si>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</si>
  <si>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</si>
  <si>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</si>
  <si>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</si>
  <si>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</si>
  <si>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</si>
  <si>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</si>
  <si>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</si>
  <si>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</si>
  <si>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</si>
  <si>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</si>
  <si>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</si>
  <si>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</si>
  <si>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</si>
  <si>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</si>
  <si>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</si>
  <si>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</si>
  <si>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</si>
  <si>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</si>
  <si>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</si>
  <si>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</si>
  <si>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</si>
  <si>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</si>
  <si>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</si>
  <si>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</si>
  <si>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</si>
  <si>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</si>
  <si>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</si>
  <si>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</si>
  <si>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</si>
  <si>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</si>
  <si>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</si>
  <si>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</si>
  <si>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</si>
  <si>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</si>
  <si>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</si>
  <si>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</si>
  <si>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</si>
  <si>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</si>
  <si>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</si>
  <si>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</si>
  <si>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</si>
  <si>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</si>
  <si>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</si>
  <si>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</si>
  <si>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</si>
  <si>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</si>
  <si>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</si>
  <si>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</si>
  <si>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</si>
  <si>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</si>
  <si>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</si>
  <si>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</si>
  <si>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</si>
  <si>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</si>
  <si>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</si>
  <si>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</si>
  <si>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</si>
  <si>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</si>
  <si>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</si>
  <si>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</si>
  <si>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</si>
  <si>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</si>
  <si>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</si>
  <si>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</si>
  <si>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</si>
  <si>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</si>
  <si>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</si>
  <si>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</si>
  <si>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</si>
  <si>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</si>
  <si>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</si>
  <si>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</si>
  <si>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</si>
  <si>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</si>
  <si>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</si>
  <si>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</si>
  <si>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</si>
  <si>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</si>
  <si>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</si>
  <si>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</si>
  <si>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</si>
  <si>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</si>
  <si>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</si>
  <si>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</si>
  <si>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</si>
  <si>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</si>
  <si>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</si>
  <si>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</si>
  <si>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</si>
  <si>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</si>
  <si>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</si>
  <si>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</si>
  <si>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</si>
  <si>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</si>
  <si>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</si>
  <si>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</si>
  <si>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</si>
  <si>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</si>
  <si>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</si>
  <si>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</si>
  <si>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</si>
  <si>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</si>
  <si>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</si>
  <si>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</si>
  <si>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</si>
  <si>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</si>
  <si>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</si>
  <si>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</si>
  <si>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</si>
  <si>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</si>
  <si>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</si>
  <si>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</si>
  <si>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</si>
  <si>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</si>
  <si>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</si>
  <si>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</si>
  <si>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</si>
  <si>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</si>
  <si>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</si>
  <si>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</si>
  <si>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</si>
  <si>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</si>
  <si>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</si>
  <si>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</si>
  <si>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</si>
  <si>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</si>
  <si>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</si>
  <si>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</si>
  <si>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</si>
  <si>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</si>
  <si>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</si>
  <si>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</si>
  <si>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</si>
  <si>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</si>
  <si>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</si>
  <si>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</si>
  <si>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</si>
  <si>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</si>
  <si>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</si>
  <si>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</si>
  <si>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</si>
  <si>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</si>
  <si>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</si>
  <si>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</si>
  <si>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</si>
  <si>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</si>
  <si>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</si>
  <si>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</si>
  <si>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</si>
  <si>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</si>
  <si>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</si>
  <si>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</si>
  <si>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</si>
  <si>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</si>
  <si>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</si>
  <si>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</si>
  <si>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</si>
  <si>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</si>
  <si>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</si>
  <si>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</si>
  <si>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</si>
  <si>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</si>
  <si>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</si>
  <si>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</si>
  <si>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</si>
  <si>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</si>
  <si>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</si>
  <si>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</si>
  <si>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</si>
  <si>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</si>
  <si>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</si>
  <si>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</si>
  <si>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</si>
  <si>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</si>
  <si>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</si>
  <si>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</si>
  <si>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</si>
  <si>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</si>
  <si>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</si>
  <si>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</si>
  <si>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</si>
  <si>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</si>
  <si>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</si>
  <si>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</si>
  <si>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</si>
  <si>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</si>
  <si>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</si>
  <si>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</si>
  <si>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</si>
  <si>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</si>
  <si>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</si>
  <si>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</si>
  <si>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</si>
  <si>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</si>
  <si>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</si>
  <si>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</si>
  <si>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</si>
  <si>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</si>
  <si>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</si>
  <si>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</si>
  <si>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</si>
  <si>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</si>
  <si>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</si>
  <si>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</si>
  <si>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</si>
  <si>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</si>
  <si>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</si>
  <si>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</si>
  <si>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</si>
  <si>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</si>
  <si>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</si>
  <si>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</si>
  <si>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</si>
  <si>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</si>
  <si>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</si>
  <si>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</si>
  <si>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</si>
  <si>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</si>
  <si>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</si>
  <si>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</si>
  <si>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</si>
  <si>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</si>
  <si>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</si>
  <si>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</si>
  <si>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</si>
  <si>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</si>
  <si>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</si>
  <si>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</si>
  <si>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</si>
  <si>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</si>
  <si>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</si>
  <si>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</si>
  <si>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</si>
  <si>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</si>
  <si>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</si>
  <si>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</si>
  <si>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</si>
  <si>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</si>
  <si>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</si>
  <si>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</si>
  <si>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</si>
  <si>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</si>
  <si>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</si>
  <si>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</si>
  <si>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</si>
  <si>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</si>
  <si>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</si>
  <si>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</si>
  <si>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</si>
  <si>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</si>
  <si>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</si>
  <si>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</si>
  <si>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</si>
  <si>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</si>
  <si>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</si>
  <si>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</si>
  <si>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</si>
  <si>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</si>
  <si>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</si>
  <si>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</si>
  <si>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</si>
  <si>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</si>
  <si>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</si>
  <si>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</si>
  <si>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</si>
  <si>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</si>
  <si>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</si>
  <si>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</si>
  <si>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</si>
  <si>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</si>
  <si>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</si>
  <si>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</si>
  <si>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</si>
  <si>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</si>
  <si>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</si>
  <si>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</si>
  <si>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</si>
  <si>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</si>
  <si>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</si>
  <si>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</si>
  <si>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</si>
  <si>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</si>
  <si>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</si>
  <si>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</si>
  <si>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</si>
  <si>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</si>
  <si>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</si>
  <si>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</si>
  <si>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</si>
  <si>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FDA Approved 10/2023</t>
  </si>
  <si>
    <t>EU, JP approved</t>
  </si>
  <si>
    <t>Phase III "LUCENT"</t>
  </si>
  <si>
    <t>24% remission at 12 weeks</t>
  </si>
  <si>
    <t>Phase III "VIVID-1" vs. Stelara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</si>
  <si>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</si>
  <si>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</si>
  <si>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</si>
  <si>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</si>
  <si>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</si>
  <si>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</si>
  <si>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</si>
  <si>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</si>
  <si>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</si>
  <si>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</si>
  <si>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</si>
  <si>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</si>
  <si>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</si>
  <si>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</si>
  <si>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</si>
  <si>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</si>
  <si>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</si>
  <si>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</si>
  <si>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</si>
  <si>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</si>
  <si>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</si>
  <si>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</si>
  <si>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</si>
  <si>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</si>
  <si>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</si>
  <si>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</si>
  <si>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</si>
  <si>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</si>
  <si>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</si>
  <si>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</si>
  <si>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</si>
  <si>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</si>
  <si>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</si>
  <si>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</si>
  <si>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</si>
  <si>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</si>
  <si>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</si>
  <si>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</si>
  <si>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</si>
  <si>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</si>
  <si>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</si>
  <si>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</si>
  <si>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</si>
  <si>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</si>
  <si>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</si>
  <si>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</si>
  <si>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</si>
  <si>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</si>
  <si>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</si>
  <si>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</si>
  <si>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</si>
  <si>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</si>
  <si>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</si>
  <si>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</si>
  <si>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</si>
  <si>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</si>
  <si>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</si>
  <si>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</si>
  <si>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</si>
  <si>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</si>
  <si>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</si>
  <si>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</si>
  <si>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</si>
  <si>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</si>
  <si>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</si>
  <si>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</si>
  <si>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</si>
  <si>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</si>
  <si>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</si>
  <si>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</si>
  <si>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</si>
  <si>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</si>
  <si>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</si>
  <si>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</si>
  <si>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</si>
  <si>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</si>
  <si>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</si>
  <si>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</si>
  <si>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</si>
  <si>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</si>
  <si>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</si>
  <si>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</si>
  <si>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</si>
  <si>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</si>
  <si>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</si>
  <si>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</si>
  <si>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</si>
  <si>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</si>
  <si>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</si>
  <si>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</si>
  <si>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</si>
  <si>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</si>
  <si>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</si>
  <si>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</si>
  <si>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</si>
  <si>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</si>
  <si>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</si>
  <si>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</si>
  <si>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</si>
  <si>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</si>
  <si>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</si>
  <si>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</si>
  <si>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</si>
  <si>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</si>
  <si>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</si>
  <si>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</si>
  <si>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</si>
  <si>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</si>
  <si>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</si>
  <si>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</si>
  <si>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</si>
  <si>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</si>
  <si>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</si>
  <si>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</si>
  <si>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</si>
  <si>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</si>
  <si>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Phase III "EMBER-3"</t>
  </si>
  <si>
    <t>5/2024: NexPharm acquisition for $925m: Pleasant Prairie, Wisconsin plant.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</si>
</sst>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161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149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28</xdr:row>
      <xdr:rowOff>134903</xdr:rowOff>
    </xdr:from>
    <xdr:to>
      <xdr:col>20</xdr:col>
      <xdr:colOff>319073</xdr:colOff>
      <xdr:row>71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8" dT="2024-10-03T21:25:52.29" personId="{13399233-BA81-4949-9BE8-57EDDD85014C}" id="{7094BEE2-B255-6946-B53D-312828A0E8FE}">
    <text>bamlanivimab EUA 11/9/2020</text>
  </threadedComment>
  <threadedComment ref="FI8" dT="2024-10-03T21:24:06.45" personId="{13399233-BA81-4949-9BE8-57EDDD85014C}" id="{4711E078-60E3-A24C-B7C8-30E07B67A17D}">
    <text>bebtelovimab approved 2/11/22</text>
  </threadedComment>
  <threadedComment ref="CJ9" dT="2024-10-03T20:02:17.68" personId="{13399233-BA81-4949-9BE8-57EDDD85014C}" id="{2AB795EB-C43C-DF4A-B48D-CE2A18193A70}">
    <text>3/22/16 FDA approval</text>
  </threadedComment>
  <threadedComment ref="FC9" dT="2024-10-03T20:07:54.37" personId="{13399233-BA81-4949-9BE8-57EDDD85014C}" id="{298B0D48-B580-7140-B810-8C16E6EEE655}">
    <text>FDA approval 3/2016</text>
  </threadedComment>
  <threadedComment ref="CP10" dT="2024-10-03T20:03:04.11" personId="{13399233-BA81-4949-9BE8-57EDDD85014C}" id="{BFDA6941-6E61-D14F-960B-69FE7FDBB07D}">
    <text>9/28/2017 FDA approval</text>
  </threadedComment>
  <threadedComment ref="FD10" dT="2024-10-03T20:08:07.91" personId="{13399233-BA81-4949-9BE8-57EDDD85014C}" id="{94562225-C4CE-0C4D-A578-B06EF230FD49}">
    <text>FDA approval 9/2017</text>
  </threadedComment>
  <threadedComment ref="FE15" dT="2024-10-03T20:08:52.60" personId="{13399233-BA81-4949-9BE8-57EDDD85014C}" id="{FC3313FA-6E66-F54B-BE29-1B33FA52BFD4}">
    <text>5/31/2018 FDA approval</text>
  </threadedComment>
  <threadedComment ref="FA16" dT="2024-10-03T20:10:01.58" personId="{13399233-BA81-4949-9BE8-57EDDD85014C}" id="{1462D965-411F-AB4E-9A9C-0EBC71E25E0E}">
    <text>4/21/2014 FDA approval</text>
  </threadedComment>
  <threadedComment ref="EP17" dT="2024-10-03T20:12:18.02" personId="{13399233-BA81-4949-9BE8-57EDDD85014C}" id="{446C103B-2230-B14A-A972-079F64690778}">
    <text>FDA approval 11/21/2003</text>
  </threadedComment>
  <threadedComment ref="FB18" dT="2024-10-03T20:09:24.44" personId="{13399233-BA81-4949-9BE8-57EDDD85014C}" id="{E533C1B4-8234-9040-8B49-186CC437E345}">
    <text>12/16/2015 FDA approval</text>
  </threadedComment>
  <threadedComment ref="DH25" dT="2024-08-25T17:26:15.56" personId="{13399233-BA81-4949-9BE8-57EDDD85014C}" id="{8F4CD8C8-C5AD-42CC-9BCE-BBE94D1E731F}">
    <text>Sold to Cheplapharm</text>
  </threadedComment>
  <threadedComment ref="DK25" dT="2024-08-25T21:12:48.93" personId="{13399233-BA81-4949-9BE8-57EDDD85014C}" id="{F4F327C3-D382-4618-9A25-20A26153AC90}">
    <text>Not in 10-Q</text>
  </threadedComment>
  <threadedComment ref="DL25" dT="2024-08-25T21:13:23.65" personId="{13399233-BA81-4949-9BE8-57EDDD85014C}" id="{86E2D938-06E9-45D6-B748-F134DEE4AE39}">
    <text>Not in 10-Q</text>
  </threadedComment>
  <threadedComment ref="DM25" dT="2024-08-25T18:32:00.35" personId="{13399233-BA81-4949-9BE8-57EDDD85014C}" id="{AC99C3F7-4BA9-45D9-94D4-E0C841BBA79A}">
    <text>Sold to Cheplapharm for 1.4B</text>
  </threadedComment>
  <threadedComment ref="DB28" dT="2022-08-02T13:03:18.23" personId="{13399233-BA81-4949-9BE8-57EDDD85014C}" id="{C53B26C9-8602-47A2-80EC-A28651A52E20}">
    <text>359m as per 2021 10-K</text>
  </threadedComment>
  <threadedComment ref="DF28" dT="2022-08-01T18:27:07.85" personId="{13399233-BA81-4949-9BE8-57EDDD85014C}" id="{63959650-84D7-46CF-829F-FD9E350BCC20}">
    <text>372.5m</text>
  </threadedComment>
  <threadedComment ref="DL31" dT="2024-08-25T17:29:33.54" personId="{13399233-BA81-4949-9BE8-57EDDD85014C}" id="{5CD0ABE8-7806-4ECB-8790-D95D213DFB7E}">
    <text>Sold to Amphastar for 625m</text>
  </threadedComment>
  <threadedComment ref="DP31" dT="2024-10-26T18:38:16.20" personId="{13399233-BA81-4949-9BE8-57EDDD85014C}" id="{DBBA6220-959D-47BC-90CF-6DB764B198F0}">
    <text>12.4m?</text>
  </threadedComment>
  <threadedComment ref="DQ36" dT="2024-11-04T17:11:24.64" personId="{13399233-BA81-4949-9BE8-57EDDD85014C}" id="{FC35742F-78AD-4CF0-B81E-A497B85C76DA}">
    <text>Not launched in US</text>
  </threadedComment>
  <threadedComment ref="DD37" dT="2022-08-02T13:15:28.62" personId="{13399233-BA81-4949-9BE8-57EDDD85014C}" id="{A9214E8B-BB63-4C5A-81B6-161440AC7FDE}">
    <text>last quarter of Qbrexza</text>
  </threadedComment>
  <threadedComment ref="EM49" dT="2024-10-03T20:17:21.70" personId="{13399233-BA81-4949-9BE8-57EDDD85014C}" id="{C66F5119-A7C1-5741-A5D9-2B573CE6D33E}">
    <text>Includes Sarafem sales of 14.6m</text>
  </threadedComment>
  <threadedComment ref="EO49" dT="2024-10-03T21:00:28.39" personId="{13399233-BA81-4949-9BE8-57EDDD85014C}" id="{D94A1F2D-0D94-A840-8ACB-E2C95F3F4C07}">
    <text>Also had 656, maybe didn’t include weekly &amp; sarafem?</text>
  </threadedComment>
  <threadedComment ref="CU67" dT="2024-08-26T00:48:52.06" personId="{13399233-BA81-4949-9BE8-57EDDD85014C}" id="{F6E279B7-B537-4FD2-9F94-8042A4D12872}">
    <text>5,092</text>
  </threadedComment>
  <threadedComment ref="CY67" dT="2022-08-01T19:29:14.28" personId="{13399233-BA81-4949-9BE8-57EDDD85014C}" id="{E60352B4-4A0D-4646-997E-29633AD2D222}">
    <text>5859.8m reported revenue</text>
  </threadedComment>
  <threadedComment ref="CZ67" dT="2022-08-01T19:13:29.91" personId="{13399233-BA81-4949-9BE8-57EDDD85014C}" id="{D23219C3-585B-4401-96E4-A54AA852CF63}">
    <text>5499.4m reported revenue</text>
  </threadedComment>
  <threadedComment ref="DA67" dT="2022-08-01T19:08:14.14" personId="{13399233-BA81-4949-9BE8-57EDDD85014C}" id="{A2E464E0-CBDF-4ECE-9C4E-FC1B4BA053F8}">
    <text>5740.6 reported revenue</text>
  </threadedComment>
  <threadedComment ref="DB67" dT="2022-08-01T18:51:30.86" personId="{13399233-BA81-4949-9BE8-57EDDD85014C}" id="{F1B0E7D4-F86C-4460-9BB2-30549C72BA4D}">
    <text>7440.0 actual reported</text>
  </threadedComment>
  <threadedComment ref="DC67" dT="2022-08-01T19:28:46.54" personId="{13399233-BA81-4949-9BE8-57EDDD85014C}" id="{27F9AA8E-4F00-4838-B3AE-5C359EA80361}">
    <text>6805.6 reported</text>
  </threadedComment>
  <threadedComment ref="DD67" dT="2022-08-01T19:13:16.67" personId="{13399233-BA81-4949-9BE8-57EDDD85014C}" id="{AFC9B85C-9AC1-4E0B-A0FD-4EC0747D6C85}">
    <text>6740 reported revenue</text>
  </threadedComment>
  <threadedComment ref="DE67" dT="2022-08-01T19:08:01.93" personId="{13399233-BA81-4949-9BE8-57EDDD85014C}" id="{3630D8DA-CEAE-49F9-B57E-A7443096F4CE}">
    <text>6772.8 reported revenue</text>
  </threadedComment>
  <threadedComment ref="DF67" dT="2022-08-01T18:31:56.86" personId="{13399233-BA81-4949-9BE8-57EDDD85014C}" id="{D7A857CD-B43A-4E52-BA69-3F839DE07274}">
    <text>Actual reported 7999.9</text>
  </threadedComment>
  <threadedComment ref="DL67" dT="2023-10-23T04:05:00.50" personId="{13399233-BA81-4949-9BE8-57EDDD85014C}" id="{7F77C49B-1A2C-41FA-8A63-291465846371}">
    <text>Excluding Baqsimi sale of 579m.
Reported 8312.1m</text>
  </threadedComment>
  <threadedComment ref="DN67" dT="2024-02-26T23:55:47.20" personId="{13399233-BA81-4949-9BE8-57EDDD85014C}" id="{E9AE85F5-95A1-1746-8695-2448A65CBE0D}">
    <text>$65m one-time milestone for Ebglyss launch.</text>
  </threadedComment>
  <threadedComment ref="FJ67" dT="2024-02-27T00:16:20.93" personId="{13399233-BA81-4949-9BE8-57EDDD85014C}" id="{44F04AEB-60ED-E244-B275-73D80CAB84D6}">
    <text>34124m actual</text>
  </threadedComment>
  <threadedComment ref="FK67" dT="2024-02-22T18:16:29.86" personId="{13399233-BA81-4949-9BE8-57EDDD85014C}" id="{DCF6DE87-1143-A848-8919-609B3D10ACF2}">
    <text>Q423 guidance: 40.4-41.6
Q224 guidance: 45.4-46.6B
Q324 guidance: 45.4-46.0B</text>
  </threadedComment>
  <threadedComment ref="DC77" dT="2022-08-01T18:07:16.89" personId="{13399233-BA81-4949-9BE8-57EDDD85014C}" id="{00F4491F-C819-44C1-AC45-2ABA1B7BE593}">
    <text>actual adjusted 1465.5</text>
  </threadedComment>
  <threadedComment ref="DG77" dT="2022-08-01T18:06:59.44" personId="{13399233-BA81-4949-9BE8-57EDDD85014C}" id="{8874A794-CB8F-4280-B6A0-27B01371D863}">
    <text>actual adjusted 2372.8</text>
  </threadedComment>
  <threadedComment ref="DJ77" dT="2024-02-24T02:28:04.80" personId="{13399233-BA81-4949-9BE8-57EDDD85014C}" id="{E2B8392D-784C-1C43-9C17-6F8F6E8E10E8}">
    <text>1893.1m NG NI</text>
  </threadedComment>
  <threadedComment ref="DN77" dT="2024-02-24T02:27:29.45" personId="{13399233-BA81-4949-9BE8-57EDDD85014C}" id="{D3E83574-E8FE-5147-B547-53DDC5467704}">
    <text>2249.4m NG NI</text>
  </threadedComment>
  <threadedComment ref="DJ78" dT="2024-02-24T02:28:12.49" personId="{13399233-BA81-4949-9BE8-57EDDD85014C}" id="{C09F6605-4B5E-4E4F-877F-AF898C62BEE7}">
    <text>2.09 NG NI</text>
  </threadedComment>
  <threadedComment ref="DN78" dT="2024-02-24T02:27:39.45" personId="{13399233-BA81-4949-9BE8-57EDDD85014C}" id="{6446E119-F193-1142-9DE3-B2093A985B4F}">
    <text>2.49 NG NI</text>
  </threadedComment>
  <threadedComment ref="DP78" dT="2024-10-26T15:24:21.11" personId="{13399233-BA81-4949-9BE8-57EDDD85014C}" id="{C9F253B3-164F-457B-A9EC-F6A22E190BBE}">
    <text>3.92 non-GAAP
4.06 excluding IPR&amp;D</text>
  </threadedComment>
  <threadedComment ref="FK78" dT="2024-02-22T18:16:50.67" personId="{13399233-BA81-4949-9BE8-57EDDD85014C}" id="{EA475891-7DAB-5B42-A37D-6815334EAFF1}">
    <text>Q423 guidance: 12.20-12.70
Q224 guidance: 16.10-16.60</text>
  </threadedComment>
  <threadedComment ref="DN81" dT="2024-02-26T23:55:19.60" personId="{13399233-BA81-4949-9BE8-57EDDD85014C}" id="{E7A7648A-AC02-E948-A141-F239D41E7779}">
    <text>16% higher prices (Mounjaro savings card dynamics)
11% volume
1% FX</text>
  </threadedComment>
  <threadedComment ref="DP81" dT="2024-10-26T15:23:02.66" personId="{13399233-BA81-4949-9BE8-57EDDD85014C}" id="{CF8F0CD1-8A08-4519-892D-513C9145E9EF}">
    <text>+36% without Baqsimi
+27% increase in volume
+10% increase in prices</text>
  </threadedComment>
  <threadedComment ref="DM130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5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577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758</v>
      </c>
      <c r="G3" s="38"/>
      <c r="H3" s="38"/>
      <c r="J3" s="38"/>
    </row>
    <row r="4" spans="1:10" x14ac:dyDescent="0.2">
      <c r="B4" s="38" t="s">
        <v>998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993</v>
      </c>
      <c r="C6" s="38"/>
      <c r="D6" s="6"/>
      <c r="F6" s="40"/>
      <c r="G6" s="30"/>
      <c r="H6" s="6"/>
    </row>
    <row r="7" spans="1:10" x14ac:dyDescent="0.2">
      <c r="B7" s="38" t="s">
        <v>796</v>
      </c>
      <c r="C7" s="38" t="s">
        <v>797</v>
      </c>
      <c r="D7" s="37" t="s">
        <v>79</v>
      </c>
      <c r="F7" s="40"/>
      <c r="G7" s="30"/>
      <c r="H7" s="6"/>
    </row>
    <row r="8" spans="1:10" x14ac:dyDescent="0.2">
      <c r="B8" s="38" t="s">
        <v>762</v>
      </c>
      <c r="C8" s="38" t="s">
        <v>798</v>
      </c>
      <c r="D8" s="37" t="s">
        <v>799</v>
      </c>
      <c r="E8" s="38" t="s">
        <v>795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769</v>
      </c>
      <c r="D12" s="38"/>
      <c r="E12" s="38"/>
    </row>
    <row r="13" spans="1:10" x14ac:dyDescent="0.2">
      <c r="B13" s="14" t="s">
        <v>550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801</v>
      </c>
      <c r="C14" s="110" t="s">
        <v>800</v>
      </c>
      <c r="D14" s="38" t="s">
        <v>79</v>
      </c>
      <c r="E14" s="38"/>
      <c r="G14" s="38" t="s">
        <v>789</v>
      </c>
    </row>
    <row r="15" spans="1:10" x14ac:dyDescent="0.2">
      <c r="B15" s="110" t="s">
        <v>989</v>
      </c>
      <c r="C15" s="110"/>
      <c r="D15" s="38"/>
      <c r="E15" s="38"/>
      <c r="G15" s="38"/>
    </row>
    <row r="16" spans="1:10" x14ac:dyDescent="0.2">
      <c r="B16" s="38" t="s">
        <v>802</v>
      </c>
      <c r="C16" s="110" t="s">
        <v>803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547</v>
      </c>
    </row>
    <row r="18" spans="2:8" x14ac:dyDescent="0.2">
      <c r="B18" s="38" t="s">
        <v>73</v>
      </c>
      <c r="C18" s="38"/>
      <c r="D18" s="38" t="s">
        <v>784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804</v>
      </c>
      <c r="C20" s="110" t="s">
        <v>805</v>
      </c>
      <c r="D20" s="38" t="s">
        <v>194</v>
      </c>
      <c r="E20" s="38"/>
    </row>
    <row r="21" spans="2:8" x14ac:dyDescent="0.2">
      <c r="B21" s="38" t="s">
        <v>757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806</v>
      </c>
      <c r="D22" s="38" t="s">
        <v>780</v>
      </c>
      <c r="E22" s="38"/>
    </row>
    <row r="23" spans="2:8" x14ac:dyDescent="0.2">
      <c r="B23" s="110" t="s">
        <v>990</v>
      </c>
      <c r="C23" s="38"/>
      <c r="D23" s="38"/>
      <c r="E23" s="38"/>
    </row>
    <row r="24" spans="2:8" x14ac:dyDescent="0.2">
      <c r="B24" s="38" t="s">
        <v>777</v>
      </c>
      <c r="C24" s="38" t="s">
        <v>807</v>
      </c>
      <c r="D24" s="38"/>
      <c r="E24" s="38" t="s">
        <v>778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788</v>
      </c>
      <c r="C26" s="38"/>
      <c r="D26" s="38" t="s">
        <v>308</v>
      </c>
      <c r="E26" s="38"/>
      <c r="F26" s="38"/>
    </row>
    <row r="27" spans="2:8" x14ac:dyDescent="0.2">
      <c r="B27" s="38" t="s">
        <v>987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548</v>
      </c>
      <c r="C30" s="6" t="s">
        <v>111</v>
      </c>
      <c r="D30" s="6"/>
      <c r="E30" s="40" t="s">
        <v>282</v>
      </c>
      <c r="F30" s="30">
        <v>37586</v>
      </c>
      <c r="G30" s="44" t="s">
        <v>549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1000</v>
      </c>
      <c r="C33" s="38"/>
      <c r="D33" s="38"/>
      <c r="E33" s="38"/>
    </row>
    <row r="34" spans="2:6" x14ac:dyDescent="0.2">
      <c r="B34" s="38" t="s">
        <v>996</v>
      </c>
      <c r="C34" s="38"/>
      <c r="D34" s="38"/>
      <c r="E34" s="38"/>
    </row>
    <row r="35" spans="2:6" x14ac:dyDescent="0.2">
      <c r="B35" s="38" t="s">
        <v>54</v>
      </c>
      <c r="C35" s="38" t="s">
        <v>808</v>
      </c>
      <c r="D35" s="38" t="s">
        <v>711</v>
      </c>
      <c r="E35" s="38" t="s">
        <v>767</v>
      </c>
    </row>
    <row r="36" spans="2:6" x14ac:dyDescent="0.2">
      <c r="B36" s="38" t="s">
        <v>991</v>
      </c>
      <c r="C36" s="38"/>
      <c r="D36" s="38"/>
      <c r="E36" s="38"/>
    </row>
    <row r="37" spans="2:6" x14ac:dyDescent="0.2">
      <c r="B37" s="38" t="s">
        <v>69</v>
      </c>
      <c r="C37" s="38" t="s">
        <v>809</v>
      </c>
      <c r="D37" s="38" t="s">
        <v>772</v>
      </c>
      <c r="E37" s="38" t="s">
        <v>773</v>
      </c>
    </row>
    <row r="38" spans="2:6" x14ac:dyDescent="0.2">
      <c r="B38" s="38" t="s">
        <v>57</v>
      </c>
      <c r="C38" s="38" t="s">
        <v>766</v>
      </c>
      <c r="D38" s="38" t="s">
        <v>711</v>
      </c>
      <c r="E38" s="38" t="s">
        <v>768</v>
      </c>
    </row>
    <row r="39" spans="2:6" x14ac:dyDescent="0.2">
      <c r="B39" s="38" t="s">
        <v>764</v>
      </c>
      <c r="C39" s="38" t="s">
        <v>810</v>
      </c>
      <c r="D39" s="38" t="s">
        <v>711</v>
      </c>
      <c r="E39" s="38" t="s">
        <v>765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1002</v>
      </c>
      <c r="C41" s="38"/>
      <c r="D41" s="38"/>
      <c r="E41" s="38"/>
    </row>
    <row r="42" spans="2:6" x14ac:dyDescent="0.2">
      <c r="B42" s="38" t="s">
        <v>760</v>
      </c>
      <c r="C42" s="110" t="s">
        <v>811</v>
      </c>
      <c r="D42" s="38"/>
      <c r="E42" s="38" t="s">
        <v>771</v>
      </c>
    </row>
    <row r="43" spans="2:6" x14ac:dyDescent="0.2">
      <c r="B43" s="38" t="s">
        <v>770</v>
      </c>
      <c r="C43" s="110" t="s">
        <v>811</v>
      </c>
      <c r="D43" s="38"/>
      <c r="E43" s="38" t="s">
        <v>771</v>
      </c>
    </row>
    <row r="44" spans="2:6" x14ac:dyDescent="0.2">
      <c r="B44" s="38" t="s">
        <v>775</v>
      </c>
      <c r="C44" s="110" t="s">
        <v>812</v>
      </c>
      <c r="D44" s="38"/>
      <c r="E44" s="38" t="s">
        <v>779</v>
      </c>
    </row>
    <row r="45" spans="2:6" x14ac:dyDescent="0.2">
      <c r="B45" s="38" t="s">
        <v>776</v>
      </c>
      <c r="C45" s="110" t="s">
        <v>813</v>
      </c>
      <c r="D45" s="38"/>
      <c r="E45" s="38" t="s">
        <v>779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794</v>
      </c>
      <c r="F47" s="38" t="s">
        <v>265</v>
      </c>
    </row>
    <row r="48" spans="2:6" x14ac:dyDescent="0.2">
      <c r="B48" s="38" t="s">
        <v>64</v>
      </c>
      <c r="C48" s="110" t="s">
        <v>814</v>
      </c>
      <c r="D48" s="38"/>
      <c r="E48" s="38" t="s">
        <v>793</v>
      </c>
      <c r="F48" s="38"/>
    </row>
    <row r="49" spans="2:10" x14ac:dyDescent="0.2">
      <c r="B49" s="38" t="s">
        <v>992</v>
      </c>
      <c r="C49" s="110"/>
      <c r="D49" s="38"/>
      <c r="E49" s="38"/>
      <c r="F49" s="38"/>
    </row>
    <row r="50" spans="2:10" x14ac:dyDescent="0.2">
      <c r="B50" s="38" t="s">
        <v>792</v>
      </c>
      <c r="C50" s="110" t="s">
        <v>815</v>
      </c>
      <c r="D50" s="38"/>
      <c r="E50" s="38" t="s">
        <v>779</v>
      </c>
      <c r="F50" s="38"/>
    </row>
    <row r="51" spans="2:10" x14ac:dyDescent="0.2">
      <c r="B51" s="38" t="s">
        <v>816</v>
      </c>
      <c r="C51" s="110" t="s">
        <v>817</v>
      </c>
      <c r="D51" s="38"/>
      <c r="E51" s="38"/>
      <c r="F51" s="38"/>
    </row>
    <row r="52" spans="2:10" x14ac:dyDescent="0.2">
      <c r="B52" s="38" t="s">
        <v>759</v>
      </c>
      <c r="C52" s="38" t="s">
        <v>818</v>
      </c>
      <c r="D52" s="38"/>
      <c r="E52" s="38" t="s">
        <v>783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785</v>
      </c>
      <c r="C54" s="38" t="s">
        <v>819</v>
      </c>
      <c r="D54" s="38" t="s">
        <v>786</v>
      </c>
      <c r="E54" s="38"/>
      <c r="F54" s="38"/>
    </row>
    <row r="55" spans="2:10" x14ac:dyDescent="0.2">
      <c r="B55" s="38" t="s">
        <v>418</v>
      </c>
      <c r="C55" s="38" t="s">
        <v>820</v>
      </c>
      <c r="D55" s="38" t="s">
        <v>763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994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821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822</v>
      </c>
      <c r="D60" s="38" t="s">
        <v>781</v>
      </c>
      <c r="E60" s="38"/>
      <c r="F60" s="38" t="s">
        <v>782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999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1001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995</v>
      </c>
      <c r="C68" s="38"/>
      <c r="D68" s="38"/>
      <c r="E68" s="38"/>
      <c r="F68" s="77"/>
    </row>
    <row r="69" spans="2:10" x14ac:dyDescent="0.2">
      <c r="B69" s="38" t="s">
        <v>774</v>
      </c>
      <c r="C69" s="38" t="s">
        <v>823</v>
      </c>
      <c r="D69" s="38"/>
      <c r="E69" s="38" t="s">
        <v>779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824</v>
      </c>
      <c r="D72" s="38"/>
      <c r="E72" s="38" t="s">
        <v>771</v>
      </c>
      <c r="F72" s="77"/>
      <c r="H72" s="38" t="s">
        <v>761</v>
      </c>
    </row>
    <row r="73" spans="2:10" x14ac:dyDescent="0.2">
      <c r="B73" s="38" t="s">
        <v>787</v>
      </c>
      <c r="C73" s="38" t="s">
        <v>825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997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5"/>
  <sheetViews>
    <sheetView zoomScale="145" zoomScaleNormal="145" workbookViewId="0">
      <selection activeCell="C25" sqref="C25"/>
    </sheetView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845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846</v>
      </c>
    </row>
    <row r="5" spans="1:3" x14ac:dyDescent="0.2">
      <c r="B5" s="38" t="s">
        <v>847</v>
      </c>
      <c r="C5" s="38" t="s">
        <v>848</v>
      </c>
    </row>
    <row r="6" spans="1:3" x14ac:dyDescent="0.2">
      <c r="B6" s="38"/>
      <c r="C6" s="38" t="s">
        <v>852</v>
      </c>
    </row>
    <row r="7" spans="1:3" x14ac:dyDescent="0.2">
      <c r="B7" s="38"/>
      <c r="C7" s="38" t="s">
        <v>876</v>
      </c>
    </row>
    <row r="8" spans="1:3" x14ac:dyDescent="0.2">
      <c r="B8" s="38"/>
      <c r="C8" s="38" t="s">
        <v>875</v>
      </c>
    </row>
    <row r="9" spans="1:3" x14ac:dyDescent="0.2">
      <c r="B9" s="38" t="s">
        <v>92</v>
      </c>
    </row>
    <row r="10" spans="1:3" x14ac:dyDescent="0.2">
      <c r="C10" s="20" t="s">
        <v>878</v>
      </c>
    </row>
    <row r="11" spans="1:3" x14ac:dyDescent="0.2">
      <c r="C11" s="38" t="s">
        <v>849</v>
      </c>
    </row>
    <row r="12" spans="1:3" x14ac:dyDescent="0.2">
      <c r="C12" s="38" t="s">
        <v>850</v>
      </c>
    </row>
    <row r="13" spans="1:3" x14ac:dyDescent="0.2">
      <c r="C13" s="38" t="s">
        <v>854</v>
      </c>
    </row>
    <row r="14" spans="1:3" x14ac:dyDescent="0.2">
      <c r="C14" s="38" t="s">
        <v>855</v>
      </c>
    </row>
    <row r="15" spans="1:3" x14ac:dyDescent="0.2">
      <c r="C15" s="38" t="s">
        <v>856</v>
      </c>
    </row>
    <row r="16" spans="1:3" x14ac:dyDescent="0.2">
      <c r="C16" s="38"/>
    </row>
    <row r="17" spans="3:3" x14ac:dyDescent="0.2">
      <c r="C17" s="20" t="s">
        <v>853</v>
      </c>
    </row>
    <row r="18" spans="3:3" x14ac:dyDescent="0.2">
      <c r="C18" s="38" t="s">
        <v>851</v>
      </c>
    </row>
    <row r="19" spans="3:3" x14ac:dyDescent="0.2">
      <c r="C19" s="38" t="s">
        <v>854</v>
      </c>
    </row>
    <row r="22" spans="3:3" x14ac:dyDescent="0.2">
      <c r="C22" s="38" t="s">
        <v>879</v>
      </c>
    </row>
    <row r="23" spans="3:3" x14ac:dyDescent="0.2">
      <c r="C23" s="38" t="s">
        <v>880</v>
      </c>
    </row>
    <row r="25" spans="3:3" x14ac:dyDescent="0.2">
      <c r="C25" s="20" t="s">
        <v>1003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905</v>
      </c>
    </row>
    <row r="3" spans="1:3" x14ac:dyDescent="0.2">
      <c r="B3" s="38" t="s">
        <v>51</v>
      </c>
      <c r="C3" s="38" t="s">
        <v>906</v>
      </c>
    </row>
    <row r="4" spans="1:3" x14ac:dyDescent="0.2">
      <c r="B4" s="38" t="s">
        <v>872</v>
      </c>
      <c r="C4" s="38" t="s">
        <v>910</v>
      </c>
    </row>
    <row r="5" spans="1:3" x14ac:dyDescent="0.2">
      <c r="B5" s="38" t="s">
        <v>92</v>
      </c>
    </row>
    <row r="6" spans="1:3" x14ac:dyDescent="0.2">
      <c r="C6" s="20" t="s">
        <v>929</v>
      </c>
    </row>
    <row r="7" spans="1:3" x14ac:dyDescent="0.2">
      <c r="C7" s="38" t="s">
        <v>907</v>
      </c>
    </row>
    <row r="8" spans="1:3" x14ac:dyDescent="0.2">
      <c r="C8" s="38" t="s">
        <v>908</v>
      </c>
    </row>
    <row r="10" spans="1:3" x14ac:dyDescent="0.2">
      <c r="C10" s="20" t="s">
        <v>944</v>
      </c>
    </row>
    <row r="11" spans="1:3" x14ac:dyDescent="0.2">
      <c r="C11" s="38" t="s">
        <v>941</v>
      </c>
    </row>
    <row r="12" spans="1:3" x14ac:dyDescent="0.2">
      <c r="C12" s="38" t="s">
        <v>942</v>
      </c>
    </row>
    <row r="13" spans="1:3" x14ac:dyDescent="0.2">
      <c r="C13" s="38" t="s">
        <v>943</v>
      </c>
    </row>
    <row r="15" spans="1:3" x14ac:dyDescent="0.2">
      <c r="C15" s="20" t="s">
        <v>938</v>
      </c>
    </row>
    <row r="16" spans="1:3" x14ac:dyDescent="0.2">
      <c r="C16" s="38" t="s">
        <v>930</v>
      </c>
    </row>
    <row r="17" spans="3:3" x14ac:dyDescent="0.2">
      <c r="C17" s="38" t="s">
        <v>931</v>
      </c>
    </row>
    <row r="18" spans="3:3" x14ac:dyDescent="0.2">
      <c r="C18" s="38" t="s">
        <v>932</v>
      </c>
    </row>
    <row r="19" spans="3:3" x14ac:dyDescent="0.2">
      <c r="C19" s="38" t="s">
        <v>936</v>
      </c>
    </row>
    <row r="21" spans="3:3" x14ac:dyDescent="0.2">
      <c r="C21" s="20" t="s">
        <v>939</v>
      </c>
    </row>
    <row r="22" spans="3:3" x14ac:dyDescent="0.2">
      <c r="C22" s="38" t="s">
        <v>933</v>
      </c>
    </row>
    <row r="23" spans="3:3" x14ac:dyDescent="0.2">
      <c r="C23" s="38" t="s">
        <v>934</v>
      </c>
    </row>
    <row r="24" spans="3:3" x14ac:dyDescent="0.2">
      <c r="C24" s="38" t="s">
        <v>935</v>
      </c>
    </row>
    <row r="25" spans="3:3" x14ac:dyDescent="0.2">
      <c r="C25" s="38" t="s">
        <v>937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7"/>
  <sheetViews>
    <sheetView zoomScale="235" zoomScaleNormal="235" workbookViewId="0">
      <selection activeCell="C7" sqref="C7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</row>
    <row r="3" spans="1:3" x14ac:dyDescent="0.2">
      <c r="B3" s="38" t="s">
        <v>403</v>
      </c>
      <c r="C3" s="38" t="s">
        <v>1004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1005</v>
      </c>
    </row>
    <row r="6" spans="1:3" x14ac:dyDescent="0.2">
      <c r="B6" s="38" t="s">
        <v>92</v>
      </c>
    </row>
    <row r="7" spans="1:3" x14ac:dyDescent="0.2">
      <c r="C7" s="20" t="s">
        <v>1006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857</v>
      </c>
    </row>
    <row r="3" spans="1:3" x14ac:dyDescent="0.2">
      <c r="B3" s="38" t="s">
        <v>403</v>
      </c>
      <c r="C3" s="38" t="s">
        <v>858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847</v>
      </c>
      <c r="C6" s="38" t="s">
        <v>874</v>
      </c>
    </row>
    <row r="7" spans="1:3" x14ac:dyDescent="0.2">
      <c r="B7" s="38" t="s">
        <v>2</v>
      </c>
      <c r="C7" s="38" t="s">
        <v>866</v>
      </c>
    </row>
    <row r="8" spans="1:3" x14ac:dyDescent="0.2">
      <c r="B8" s="38" t="s">
        <v>872</v>
      </c>
      <c r="C8" s="38" t="s">
        <v>873</v>
      </c>
    </row>
    <row r="9" spans="1:3" x14ac:dyDescent="0.2">
      <c r="B9" s="38" t="s">
        <v>92</v>
      </c>
    </row>
    <row r="10" spans="1:3" x14ac:dyDescent="0.2">
      <c r="C10" s="20" t="s">
        <v>870</v>
      </c>
    </row>
    <row r="11" spans="1:3" x14ac:dyDescent="0.2">
      <c r="C11" s="38" t="s">
        <v>859</v>
      </c>
    </row>
    <row r="13" spans="1:3" x14ac:dyDescent="0.2">
      <c r="C13" s="38" t="s">
        <v>860</v>
      </c>
    </row>
    <row r="14" spans="1:3" x14ac:dyDescent="0.2">
      <c r="C14" s="38" t="s">
        <v>863</v>
      </c>
    </row>
    <row r="15" spans="1:3" x14ac:dyDescent="0.2">
      <c r="C15" s="38" t="s">
        <v>864</v>
      </c>
    </row>
    <row r="16" spans="1:3" x14ac:dyDescent="0.2">
      <c r="C16" s="38"/>
    </row>
    <row r="17" spans="3:3" x14ac:dyDescent="0.2">
      <c r="C17" s="38" t="s">
        <v>865</v>
      </c>
    </row>
    <row r="19" spans="3:3" x14ac:dyDescent="0.2">
      <c r="C19" s="20" t="s">
        <v>861</v>
      </c>
    </row>
    <row r="20" spans="3:3" x14ac:dyDescent="0.2">
      <c r="C20" s="38" t="s">
        <v>902</v>
      </c>
    </row>
    <row r="22" spans="3:3" x14ac:dyDescent="0.2">
      <c r="C22" s="20" t="s">
        <v>862</v>
      </c>
    </row>
    <row r="25" spans="3:3" x14ac:dyDescent="0.2">
      <c r="C25" s="20" t="s">
        <v>867</v>
      </c>
    </row>
    <row r="28" spans="3:3" x14ac:dyDescent="0.2">
      <c r="C28" s="38" t="s">
        <v>869</v>
      </c>
    </row>
    <row r="29" spans="3:3" x14ac:dyDescent="0.2">
      <c r="C29" s="38"/>
    </row>
    <row r="30" spans="3:3" x14ac:dyDescent="0.2">
      <c r="C30" s="20" t="s">
        <v>898</v>
      </c>
    </row>
    <row r="31" spans="3:3" x14ac:dyDescent="0.2">
      <c r="C31" s="38" t="s">
        <v>897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868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553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541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535</v>
      </c>
    </row>
    <row r="13" spans="1:3" x14ac:dyDescent="0.2">
      <c r="C13" s="38" t="s">
        <v>536</v>
      </c>
    </row>
    <row r="14" spans="1:3" x14ac:dyDescent="0.2">
      <c r="C14" s="38" t="s">
        <v>537</v>
      </c>
    </row>
    <row r="15" spans="1:3" x14ac:dyDescent="0.2">
      <c r="C15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556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563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947</v>
      </c>
      <c r="C2" s="38" t="s">
        <v>948</v>
      </c>
      <c r="D2" s="38" t="s">
        <v>405</v>
      </c>
      <c r="E2" s="38" t="s">
        <v>950</v>
      </c>
    </row>
    <row r="3" spans="1:5" x14ac:dyDescent="0.2">
      <c r="B3">
        <v>12122750</v>
      </c>
      <c r="C3" s="38" t="s">
        <v>951</v>
      </c>
      <c r="D3" s="38" t="s">
        <v>949</v>
      </c>
      <c r="E3" s="38" t="s">
        <v>194</v>
      </c>
    </row>
    <row r="4" spans="1:5" x14ac:dyDescent="0.2">
      <c r="B4">
        <v>12115210</v>
      </c>
      <c r="C4" s="38" t="s">
        <v>952</v>
      </c>
      <c r="D4" s="38" t="s">
        <v>953</v>
      </c>
      <c r="E4" s="38" t="s">
        <v>954</v>
      </c>
    </row>
    <row r="5" spans="1:5" x14ac:dyDescent="0.2">
      <c r="B5">
        <v>12102610</v>
      </c>
      <c r="C5" s="38" t="s">
        <v>955</v>
      </c>
      <c r="D5" s="38" t="s">
        <v>956</v>
      </c>
    </row>
    <row r="6" spans="1:5" x14ac:dyDescent="0.2">
      <c r="B6">
        <v>12083324</v>
      </c>
      <c r="C6" s="110"/>
      <c r="D6" s="38"/>
      <c r="E6" s="38"/>
    </row>
    <row r="7" spans="1:5" x14ac:dyDescent="0.2">
      <c r="B7">
        <v>12071423</v>
      </c>
      <c r="C7" s="110" t="s">
        <v>958</v>
      </c>
      <c r="D7" s="38" t="s">
        <v>957</v>
      </c>
      <c r="E7" s="38" t="s">
        <v>962</v>
      </c>
    </row>
    <row r="8" spans="1:5" x14ac:dyDescent="0.2">
      <c r="B8">
        <v>12060356</v>
      </c>
      <c r="C8" s="110" t="s">
        <v>960</v>
      </c>
      <c r="D8" s="38" t="s">
        <v>961</v>
      </c>
      <c r="E8" s="38" t="s">
        <v>445</v>
      </c>
    </row>
    <row r="9" spans="1:5" x14ac:dyDescent="0.2">
      <c r="B9">
        <v>12059557</v>
      </c>
      <c r="C9" s="38" t="s">
        <v>963</v>
      </c>
    </row>
    <row r="10" spans="1:5" x14ac:dyDescent="0.2">
      <c r="B10">
        <v>12059452</v>
      </c>
      <c r="C10" s="38" t="s">
        <v>959</v>
      </c>
      <c r="D10" s="38" t="s">
        <v>117</v>
      </c>
    </row>
    <row r="11" spans="1:5" x14ac:dyDescent="0.2">
      <c r="B11">
        <v>12042634</v>
      </c>
      <c r="C11" s="110" t="s">
        <v>965</v>
      </c>
    </row>
    <row r="12" spans="1:5" x14ac:dyDescent="0.2">
      <c r="B12">
        <v>12037406</v>
      </c>
      <c r="C12" s="110" t="s">
        <v>964</v>
      </c>
    </row>
    <row r="13" spans="1:5" x14ac:dyDescent="0.2">
      <c r="B13">
        <v>12037387</v>
      </c>
      <c r="C13" s="110" t="s">
        <v>966</v>
      </c>
    </row>
    <row r="14" spans="1:5" x14ac:dyDescent="0.2">
      <c r="B14">
        <v>12037322</v>
      </c>
      <c r="C14" s="38" t="s">
        <v>967</v>
      </c>
    </row>
    <row r="15" spans="1:5" x14ac:dyDescent="0.2">
      <c r="B15">
        <v>12023470</v>
      </c>
      <c r="C15" s="38" t="s">
        <v>968</v>
      </c>
    </row>
    <row r="16" spans="1:5" x14ac:dyDescent="0.2">
      <c r="B16">
        <v>12011574</v>
      </c>
      <c r="C16" s="38" t="s">
        <v>969</v>
      </c>
    </row>
    <row r="17" spans="2:3" x14ac:dyDescent="0.2">
      <c r="B17">
        <v>12005235</v>
      </c>
      <c r="C17" s="38" t="s">
        <v>970</v>
      </c>
    </row>
    <row r="18" spans="2:3" x14ac:dyDescent="0.2">
      <c r="B18">
        <v>11999722</v>
      </c>
      <c r="C18" s="38" t="s">
        <v>971</v>
      </c>
    </row>
    <row r="19" spans="2:3" x14ac:dyDescent="0.2">
      <c r="B19">
        <v>11993608</v>
      </c>
      <c r="C19" s="38" t="s">
        <v>972</v>
      </c>
    </row>
    <row r="20" spans="2:3" x14ac:dyDescent="0.2">
      <c r="B20">
        <v>11976136</v>
      </c>
      <c r="C20" s="38" t="s">
        <v>973</v>
      </c>
    </row>
    <row r="21" spans="2:3" x14ac:dyDescent="0.2">
      <c r="B21">
        <v>11976114</v>
      </c>
      <c r="C21" s="38" t="s">
        <v>974</v>
      </c>
    </row>
    <row r="22" spans="2:3" x14ac:dyDescent="0.2">
      <c r="B22">
        <v>11970485</v>
      </c>
      <c r="C22" s="38" t="s">
        <v>975</v>
      </c>
    </row>
    <row r="23" spans="2:3" x14ac:dyDescent="0.2">
      <c r="B23">
        <v>11964968</v>
      </c>
      <c r="C23" s="38" t="s">
        <v>976</v>
      </c>
    </row>
    <row r="24" spans="2:3" x14ac:dyDescent="0.2">
      <c r="B24">
        <v>11957882</v>
      </c>
      <c r="C24" s="38" t="s">
        <v>977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8"/>
  <sheetViews>
    <sheetView tabSelected="1" topLeftCell="A4" zoomScale="130" zoomScaleNormal="130" workbookViewId="0">
      <selection activeCell="L21" sqref="L21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843.7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949.31569400000001</v>
      </c>
      <c r="K3" s="39" t="s">
        <v>515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800937.65102780005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6719</v>
      </c>
      <c r="K5" s="39" t="s">
        <v>515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31120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825338.65102780005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791</v>
      </c>
    </row>
    <row r="10" spans="1:11" x14ac:dyDescent="0.2">
      <c r="B10" s="36" t="s">
        <v>551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925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552</v>
      </c>
      <c r="G13" s="7"/>
      <c r="I13" s="21" t="s">
        <v>528</v>
      </c>
    </row>
    <row r="14" spans="1:11" x14ac:dyDescent="0.2">
      <c r="B14" s="36" t="s">
        <v>484</v>
      </c>
      <c r="C14" s="37" t="s">
        <v>984</v>
      </c>
      <c r="D14" s="37" t="s">
        <v>983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871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901</v>
      </c>
      <c r="F16" s="81">
        <v>45548</v>
      </c>
      <c r="G16" s="44"/>
      <c r="I16" s="21" t="s">
        <v>877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909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922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</row>
    <row r="20" spans="2:9" x14ac:dyDescent="0.2">
      <c r="B20" s="14" t="s">
        <v>844</v>
      </c>
      <c r="C20" s="37" t="s">
        <v>120</v>
      </c>
      <c r="D20" s="37" t="s">
        <v>179</v>
      </c>
      <c r="E20" s="11">
        <v>1</v>
      </c>
      <c r="F20" s="81">
        <v>45475</v>
      </c>
      <c r="G20" s="44"/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557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558</v>
      </c>
    </row>
    <row r="24" spans="2:9" x14ac:dyDescent="0.2">
      <c r="B24" s="14" t="s">
        <v>1004</v>
      </c>
      <c r="C24" s="6" t="s">
        <v>487</v>
      </c>
      <c r="D24" s="37" t="s">
        <v>1005</v>
      </c>
      <c r="E24" s="11">
        <v>1</v>
      </c>
      <c r="F24" s="37" t="s">
        <v>47</v>
      </c>
      <c r="G24" s="44"/>
      <c r="I24" s="21" t="s">
        <v>559</v>
      </c>
    </row>
    <row r="25" spans="2:9" x14ac:dyDescent="0.2">
      <c r="B25" s="36" t="s">
        <v>730</v>
      </c>
      <c r="C25" s="37" t="s">
        <v>120</v>
      </c>
      <c r="D25" s="6"/>
      <c r="E25" s="11"/>
      <c r="F25" s="37" t="s">
        <v>47</v>
      </c>
      <c r="G25" s="44"/>
      <c r="I25" s="21" t="s">
        <v>560</v>
      </c>
    </row>
    <row r="26" spans="2:9" x14ac:dyDescent="0.2">
      <c r="B26" s="14" t="s">
        <v>568</v>
      </c>
      <c r="C26" s="37" t="s">
        <v>711</v>
      </c>
      <c r="D26" s="6"/>
      <c r="E26" s="11"/>
      <c r="F26" s="37" t="s">
        <v>47</v>
      </c>
      <c r="G26" s="7"/>
    </row>
    <row r="27" spans="2:9" x14ac:dyDescent="0.2">
      <c r="B27" s="36" t="s">
        <v>567</v>
      </c>
      <c r="C27" s="37" t="s">
        <v>712</v>
      </c>
      <c r="D27" s="6"/>
      <c r="E27" s="11"/>
      <c r="F27" s="37" t="s">
        <v>47</v>
      </c>
      <c r="G27" s="7"/>
      <c r="I27" s="16" t="s">
        <v>561</v>
      </c>
    </row>
    <row r="28" spans="2:9" x14ac:dyDescent="0.2">
      <c r="B28" s="36" t="s">
        <v>714</v>
      </c>
      <c r="C28" s="37" t="s">
        <v>715</v>
      </c>
      <c r="D28" s="6"/>
      <c r="E28" s="11"/>
      <c r="F28" s="37" t="s">
        <v>47</v>
      </c>
      <c r="G28" s="7"/>
      <c r="I28" s="21" t="s">
        <v>562</v>
      </c>
    </row>
    <row r="29" spans="2:9" x14ac:dyDescent="0.2">
      <c r="B29" s="36" t="s">
        <v>742</v>
      </c>
      <c r="C29" s="37" t="s">
        <v>743</v>
      </c>
      <c r="D29" s="6"/>
      <c r="E29" s="11"/>
      <c r="F29" s="37" t="s">
        <v>47</v>
      </c>
      <c r="G29" s="7"/>
    </row>
    <row r="30" spans="2:9" x14ac:dyDescent="0.2">
      <c r="B30" s="36" t="s">
        <v>710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565</v>
      </c>
      <c r="C31" s="37" t="s">
        <v>518</v>
      </c>
      <c r="D31" s="6"/>
      <c r="E31" s="11"/>
      <c r="F31" s="37" t="s">
        <v>105</v>
      </c>
      <c r="G31" s="7"/>
    </row>
    <row r="32" spans="2:9" x14ac:dyDescent="0.2">
      <c r="B32" s="36" t="s">
        <v>566</v>
      </c>
      <c r="C32" s="37" t="s">
        <v>518</v>
      </c>
      <c r="D32" s="6"/>
      <c r="E32" s="11"/>
      <c r="F32" s="37" t="s">
        <v>105</v>
      </c>
      <c r="G32" s="7"/>
    </row>
    <row r="33" spans="2:9" x14ac:dyDescent="0.2">
      <c r="B33" s="36" t="s">
        <v>912</v>
      </c>
      <c r="C33" s="37" t="s">
        <v>913</v>
      </c>
      <c r="D33" s="6"/>
      <c r="E33" s="11"/>
      <c r="F33" s="37" t="s">
        <v>105</v>
      </c>
      <c r="G33" s="7"/>
    </row>
    <row r="34" spans="2:9" x14ac:dyDescent="0.2">
      <c r="B34" s="36" t="s">
        <v>713</v>
      </c>
      <c r="C34" s="37" t="s">
        <v>518</v>
      </c>
      <c r="D34" s="6"/>
      <c r="E34" s="11"/>
      <c r="F34" s="37" t="s">
        <v>105</v>
      </c>
      <c r="G34" s="7"/>
    </row>
    <row r="35" spans="2:9" x14ac:dyDescent="0.2">
      <c r="B35" s="36" t="s">
        <v>716</v>
      </c>
      <c r="C35" s="37" t="s">
        <v>717</v>
      </c>
      <c r="D35" s="6"/>
      <c r="E35" s="11"/>
      <c r="F35" s="37" t="s">
        <v>105</v>
      </c>
      <c r="G35" s="7"/>
      <c r="I35" s="21" t="s">
        <v>544</v>
      </c>
    </row>
    <row r="36" spans="2:9" x14ac:dyDescent="0.2">
      <c r="B36" s="36" t="s">
        <v>718</v>
      </c>
      <c r="C36" s="37" t="s">
        <v>717</v>
      </c>
      <c r="D36" s="6"/>
      <c r="E36" s="11"/>
      <c r="F36" s="37" t="s">
        <v>105</v>
      </c>
      <c r="G36" s="7"/>
    </row>
    <row r="37" spans="2:9" x14ac:dyDescent="0.2">
      <c r="B37" s="36"/>
      <c r="C37" s="37" t="s">
        <v>722</v>
      </c>
      <c r="D37" s="37" t="s">
        <v>721</v>
      </c>
      <c r="E37" s="11"/>
      <c r="F37" s="37" t="s">
        <v>105</v>
      </c>
      <c r="G37" s="7"/>
    </row>
    <row r="38" spans="2:9" x14ac:dyDescent="0.2">
      <c r="B38" s="36" t="s">
        <v>719</v>
      </c>
      <c r="C38" s="37" t="s">
        <v>720</v>
      </c>
      <c r="D38" s="6"/>
      <c r="E38" s="11"/>
      <c r="F38" s="37" t="s">
        <v>105</v>
      </c>
      <c r="G38" s="7"/>
    </row>
    <row r="39" spans="2:9" x14ac:dyDescent="0.2">
      <c r="B39" s="36" t="s">
        <v>723</v>
      </c>
      <c r="C39" s="37" t="s">
        <v>445</v>
      </c>
      <c r="D39" s="6"/>
      <c r="E39" s="11"/>
      <c r="F39" s="37" t="s">
        <v>105</v>
      </c>
      <c r="G39" s="7"/>
    </row>
    <row r="40" spans="2:9" x14ac:dyDescent="0.2">
      <c r="B40" s="36" t="s">
        <v>724</v>
      </c>
      <c r="C40" s="37" t="s">
        <v>725</v>
      </c>
      <c r="D40" s="6"/>
      <c r="E40" s="11"/>
      <c r="F40" s="37" t="s">
        <v>105</v>
      </c>
      <c r="G40" s="7"/>
    </row>
    <row r="41" spans="2:9" x14ac:dyDescent="0.2">
      <c r="B41" s="36"/>
      <c r="C41" s="37" t="s">
        <v>445</v>
      </c>
      <c r="D41" s="37" t="s">
        <v>726</v>
      </c>
      <c r="E41" s="11"/>
      <c r="F41" s="37" t="s">
        <v>105</v>
      </c>
      <c r="G41" s="7"/>
    </row>
    <row r="42" spans="2:9" x14ac:dyDescent="0.2">
      <c r="B42" s="36" t="s">
        <v>727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728</v>
      </c>
      <c r="C43" s="37" t="s">
        <v>239</v>
      </c>
      <c r="D43" s="37"/>
      <c r="E43" s="11"/>
      <c r="F43" s="37" t="s">
        <v>105</v>
      </c>
      <c r="G43" s="7"/>
    </row>
    <row r="44" spans="2:9" x14ac:dyDescent="0.2">
      <c r="B44" s="36" t="s">
        <v>739</v>
      </c>
      <c r="C44" s="37" t="s">
        <v>740</v>
      </c>
      <c r="D44" s="37" t="s">
        <v>741</v>
      </c>
      <c r="E44" s="40"/>
      <c r="F44" s="37" t="s">
        <v>105</v>
      </c>
      <c r="G44" s="7"/>
    </row>
    <row r="45" spans="2:9" x14ac:dyDescent="0.2">
      <c r="B45" s="36" t="s">
        <v>985</v>
      </c>
      <c r="C45" s="37" t="s">
        <v>120</v>
      </c>
      <c r="D45" s="37"/>
      <c r="E45" s="40"/>
      <c r="F45" s="37"/>
      <c r="G45" s="7"/>
    </row>
    <row r="46" spans="2:9" x14ac:dyDescent="0.2">
      <c r="B46" s="36" t="s">
        <v>729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736</v>
      </c>
      <c r="C47" s="37" t="s">
        <v>120</v>
      </c>
      <c r="D47" s="37" t="s">
        <v>736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949</v>
      </c>
      <c r="E48" s="11"/>
      <c r="F48" s="37"/>
      <c r="G48" s="7"/>
    </row>
    <row r="49" spans="2:9" x14ac:dyDescent="0.2">
      <c r="B49" s="36" t="s">
        <v>737</v>
      </c>
      <c r="C49" s="37" t="s">
        <v>194</v>
      </c>
      <c r="D49" s="37"/>
      <c r="E49" s="11"/>
      <c r="F49" s="37" t="s">
        <v>105</v>
      </c>
      <c r="G49" s="7"/>
    </row>
    <row r="50" spans="2:9" x14ac:dyDescent="0.2">
      <c r="B50" s="36" t="s">
        <v>738</v>
      </c>
      <c r="C50" s="37" t="s">
        <v>194</v>
      </c>
      <c r="D50" s="37"/>
      <c r="E50" s="11"/>
      <c r="F50" s="37" t="s">
        <v>105</v>
      </c>
      <c r="G50" s="7"/>
    </row>
    <row r="51" spans="2:9" x14ac:dyDescent="0.2">
      <c r="B51" s="36" t="s">
        <v>564</v>
      </c>
      <c r="C51" s="37" t="s">
        <v>731</v>
      </c>
      <c r="D51" s="37" t="s">
        <v>733</v>
      </c>
      <c r="E51" s="40"/>
      <c r="F51" s="37" t="s">
        <v>105</v>
      </c>
      <c r="G51" s="7"/>
      <c r="I51" s="21"/>
    </row>
    <row r="52" spans="2:9" x14ac:dyDescent="0.2">
      <c r="B52" s="36" t="s">
        <v>732</v>
      </c>
      <c r="C52" s="37" t="s">
        <v>735</v>
      </c>
      <c r="D52" s="37" t="s">
        <v>734</v>
      </c>
      <c r="E52" s="40"/>
      <c r="F52" s="37" t="s">
        <v>105</v>
      </c>
      <c r="G52" s="7"/>
      <c r="I52" s="21"/>
    </row>
    <row r="53" spans="2:9" x14ac:dyDescent="0.2">
      <c r="B53" s="69" t="s">
        <v>526</v>
      </c>
      <c r="C53" s="72" t="s">
        <v>527</v>
      </c>
      <c r="D53" s="72"/>
      <c r="E53" s="73"/>
      <c r="F53" s="72" t="s">
        <v>105</v>
      </c>
      <c r="G53" s="10"/>
    </row>
    <row r="55" spans="2:9" x14ac:dyDescent="0.2">
      <c r="E55" s="33" t="s">
        <v>896</v>
      </c>
    </row>
    <row r="56" spans="2:9" x14ac:dyDescent="0.2">
      <c r="E56" s="33" t="s">
        <v>894</v>
      </c>
    </row>
    <row r="57" spans="2:9" x14ac:dyDescent="0.2">
      <c r="E57" s="33" t="s">
        <v>881</v>
      </c>
      <c r="F57" s="33"/>
    </row>
    <row r="58" spans="2:9" x14ac:dyDescent="0.2">
      <c r="E58" s="33" t="s">
        <v>882</v>
      </c>
      <c r="F58" s="34"/>
    </row>
    <row r="59" spans="2:9" x14ac:dyDescent="0.2">
      <c r="E59" s="33" t="s">
        <v>892</v>
      </c>
      <c r="F59" s="34"/>
    </row>
    <row r="60" spans="2:9" x14ac:dyDescent="0.2">
      <c r="E60" s="33" t="s">
        <v>893</v>
      </c>
      <c r="F60" s="34"/>
    </row>
    <row r="61" spans="2:9" x14ac:dyDescent="0.2">
      <c r="E61" s="33" t="s">
        <v>895</v>
      </c>
      <c r="F61" s="34"/>
    </row>
    <row r="62" spans="2:9" x14ac:dyDescent="0.2">
      <c r="E62" s="33" t="s">
        <v>899</v>
      </c>
      <c r="F62" s="34"/>
    </row>
    <row r="63" spans="2:9" x14ac:dyDescent="0.2">
      <c r="E63" s="33" t="s">
        <v>900</v>
      </c>
      <c r="F63" s="34"/>
    </row>
    <row r="64" spans="2:9" x14ac:dyDescent="0.2">
      <c r="E64" s="33" t="s">
        <v>903</v>
      </c>
      <c r="F64" s="34"/>
    </row>
    <row r="65" spans="2:6" x14ac:dyDescent="0.2">
      <c r="E65" s="33" t="s">
        <v>904</v>
      </c>
      <c r="F65" s="34"/>
    </row>
    <row r="66" spans="2:6" x14ac:dyDescent="0.2">
      <c r="E66" s="33" t="s">
        <v>927</v>
      </c>
      <c r="F66" s="34"/>
    </row>
    <row r="67" spans="2:6" x14ac:dyDescent="0.2">
      <c r="E67" s="33" t="s">
        <v>926</v>
      </c>
      <c r="F67" s="34"/>
    </row>
    <row r="68" spans="2:6" x14ac:dyDescent="0.2">
      <c r="E68" s="33" t="s">
        <v>940</v>
      </c>
      <c r="F68" s="34"/>
    </row>
    <row r="69" spans="2:6" x14ac:dyDescent="0.2">
      <c r="E69" s="33" t="s">
        <v>928</v>
      </c>
      <c r="F69" s="34"/>
    </row>
    <row r="70" spans="2:6" x14ac:dyDescent="0.2">
      <c r="E70" s="33" t="s">
        <v>945</v>
      </c>
      <c r="F70" s="34"/>
    </row>
    <row r="71" spans="2:6" x14ac:dyDescent="0.2">
      <c r="E71" s="33" t="s">
        <v>946</v>
      </c>
      <c r="F71" s="34"/>
    </row>
    <row r="72" spans="2:6" x14ac:dyDescent="0.2">
      <c r="E72" s="33" t="s">
        <v>920</v>
      </c>
      <c r="F72" s="34"/>
    </row>
    <row r="73" spans="2:6" x14ac:dyDescent="0.2">
      <c r="E73" s="33" t="s">
        <v>921</v>
      </c>
      <c r="F73" s="34"/>
    </row>
    <row r="74" spans="2:6" x14ac:dyDescent="0.2">
      <c r="E74" s="33" t="s">
        <v>915</v>
      </c>
      <c r="F74" s="34"/>
    </row>
    <row r="75" spans="2:6" x14ac:dyDescent="0.2">
      <c r="E75" s="33" t="s">
        <v>914</v>
      </c>
      <c r="F75" s="34"/>
    </row>
    <row r="76" spans="2:6" x14ac:dyDescent="0.2">
      <c r="E76" s="33" t="s">
        <v>911</v>
      </c>
      <c r="F76" s="34"/>
    </row>
    <row r="77" spans="2:6" x14ac:dyDescent="0.2">
      <c r="B77" s="74"/>
      <c r="C77" s="74"/>
      <c r="E77" s="33" t="s">
        <v>745</v>
      </c>
      <c r="F77" s="33"/>
    </row>
    <row r="78" spans="2:6" x14ac:dyDescent="0.2">
      <c r="B78" s="74"/>
      <c r="C78" s="74"/>
      <c r="E78" s="33" t="s">
        <v>1007</v>
      </c>
      <c r="F78" s="33"/>
    </row>
    <row r="79" spans="2:6" x14ac:dyDescent="0.2">
      <c r="B79" s="75"/>
      <c r="E79" s="21" t="s">
        <v>543</v>
      </c>
      <c r="F79" s="33"/>
    </row>
    <row r="80" spans="2:6" x14ac:dyDescent="0.2">
      <c r="B80" s="75"/>
      <c r="C80" s="75"/>
      <c r="E80" s="21" t="s">
        <v>529</v>
      </c>
    </row>
    <row r="81" spans="2:5" x14ac:dyDescent="0.2">
      <c r="B81" s="75"/>
      <c r="C81" s="75"/>
      <c r="E81" s="21" t="s">
        <v>503</v>
      </c>
    </row>
    <row r="82" spans="2:5" x14ac:dyDescent="0.2">
      <c r="B82" s="75"/>
      <c r="C82" s="75"/>
    </row>
    <row r="83" spans="2:5" x14ac:dyDescent="0.2">
      <c r="B83" s="75"/>
      <c r="C83" s="75"/>
    </row>
    <row r="84" spans="2:5" x14ac:dyDescent="0.2">
      <c r="B84" s="76"/>
      <c r="C84" s="75"/>
    </row>
    <row r="85" spans="2:5" x14ac:dyDescent="0.2">
      <c r="B85" s="76"/>
      <c r="C85" s="75"/>
    </row>
    <row r="86" spans="2:5" x14ac:dyDescent="0.2">
      <c r="B86" s="76"/>
      <c r="C86" s="75"/>
    </row>
    <row r="87" spans="2:5" x14ac:dyDescent="0.2">
      <c r="B87" s="75"/>
      <c r="C87" s="75"/>
    </row>
    <row r="88" spans="2:5" x14ac:dyDescent="0.2">
      <c r="B88" s="75"/>
      <c r="C88" s="75"/>
    </row>
    <row r="89" spans="2:5" x14ac:dyDescent="0.2">
      <c r="B89" s="76"/>
      <c r="C89" s="75"/>
    </row>
    <row r="90" spans="2:5" x14ac:dyDescent="0.2">
      <c r="B90" s="75"/>
    </row>
    <row r="91" spans="2:5" x14ac:dyDescent="0.2">
      <c r="B91" s="75"/>
    </row>
    <row r="93" spans="2:5" x14ac:dyDescent="0.2">
      <c r="B93" s="75"/>
    </row>
    <row r="94" spans="2:5" x14ac:dyDescent="0.2">
      <c r="C94" s="75"/>
    </row>
    <row r="96" spans="2:5" x14ac:dyDescent="0.2">
      <c r="B96" s="75"/>
    </row>
    <row r="98" spans="3:3" x14ac:dyDescent="0.2">
      <c r="C98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57"/>
  <sheetViews>
    <sheetView zoomScaleNormal="100" workbookViewId="0">
      <pane xSplit="2" ySplit="2" topLeftCell="EV48" activePane="bottomRight" state="frozen"/>
      <selection pane="topRight" activeCell="C1" sqref="C1"/>
      <selection pane="bottomLeft" activeCell="A3" sqref="A3"/>
      <selection pane="bottomRight" activeCell="FE48" sqref="FE48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42578125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3" width="7.5703125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840</v>
      </c>
      <c r="D2" s="48" t="s">
        <v>841</v>
      </c>
      <c r="E2" s="48" t="s">
        <v>842</v>
      </c>
      <c r="F2" s="48" t="s">
        <v>843</v>
      </c>
      <c r="G2" s="48" t="s">
        <v>836</v>
      </c>
      <c r="H2" s="48" t="s">
        <v>837</v>
      </c>
      <c r="I2" s="48" t="s">
        <v>838</v>
      </c>
      <c r="J2" s="48" t="s">
        <v>839</v>
      </c>
      <c r="K2" s="48" t="s">
        <v>832</v>
      </c>
      <c r="L2" s="48" t="s">
        <v>833</v>
      </c>
      <c r="M2" s="48" t="s">
        <v>834</v>
      </c>
      <c r="N2" s="48" t="s">
        <v>835</v>
      </c>
      <c r="O2" s="48" t="s">
        <v>828</v>
      </c>
      <c r="P2" s="48" t="s">
        <v>829</v>
      </c>
      <c r="Q2" s="48" t="s">
        <v>830</v>
      </c>
      <c r="R2" s="48" t="s">
        <v>831</v>
      </c>
      <c r="S2" s="48" t="s">
        <v>826</v>
      </c>
      <c r="T2" s="48" t="s">
        <v>827</v>
      </c>
      <c r="U2" s="48" t="s">
        <v>661</v>
      </c>
      <c r="V2" s="48" t="s">
        <v>660</v>
      </c>
      <c r="W2" s="48" t="s">
        <v>648</v>
      </c>
      <c r="X2" s="48" t="s">
        <v>659</v>
      </c>
      <c r="Y2" s="48" t="s">
        <v>658</v>
      </c>
      <c r="Z2" s="48" t="s">
        <v>657</v>
      </c>
      <c r="AA2" s="48" t="s">
        <v>656</v>
      </c>
      <c r="AB2" s="48" t="s">
        <v>655</v>
      </c>
      <c r="AC2" s="48" t="s">
        <v>654</v>
      </c>
      <c r="AD2" s="48" t="s">
        <v>653</v>
      </c>
      <c r="AE2" s="48" t="s">
        <v>652</v>
      </c>
      <c r="AF2" s="48" t="s">
        <v>651</v>
      </c>
      <c r="AG2" s="48" t="s">
        <v>650</v>
      </c>
      <c r="AH2" s="48" t="s">
        <v>649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691</v>
      </c>
      <c r="DT2" s="48" t="s">
        <v>692</v>
      </c>
      <c r="DU2" s="48" t="s">
        <v>693</v>
      </c>
      <c r="DV2" s="48" t="s">
        <v>694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6371.9000000000005</v>
      </c>
      <c r="DS3" s="52">
        <f t="shared" si="4"/>
        <v>7071.9000000000005</v>
      </c>
      <c r="DT3" s="52">
        <f t="shared" si="4"/>
        <v>7771.9000000000005</v>
      </c>
      <c r="DU3" s="52">
        <f t="shared" si="4"/>
        <v>8471.9000000000015</v>
      </c>
      <c r="DV3" s="52">
        <f t="shared" si="4"/>
        <v>9171.9000000000015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P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 t="shared" si="5"/>
        <v>21403.600000000002</v>
      </c>
      <c r="FL3" s="56">
        <f t="shared" si="5"/>
        <v>27622.924999999999</v>
      </c>
      <c r="FM3" s="56">
        <f t="shared" si="5"/>
        <v>36447.085749999998</v>
      </c>
      <c r="FN3" s="56">
        <f t="shared" si="5"/>
        <v>48912.161262499991</v>
      </c>
      <c r="FO3" s="56">
        <f t="shared" si="5"/>
        <v>57578.998599374994</v>
      </c>
      <c r="FP3" s="56">
        <f t="shared" si="5"/>
        <v>62701.009357406248</v>
      </c>
      <c r="FQ3" s="56">
        <f>SUM(FQ5:FQ7)</f>
        <v>68165.65076406562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f>+DQ5-100</f>
        <v>1201.4000000000001</v>
      </c>
      <c r="DS5" s="52">
        <f>+DR5-100</f>
        <v>1101.4000000000001</v>
      </c>
      <c r="DT5" s="52">
        <f>+DS5-100</f>
        <v>1001.4000000000001</v>
      </c>
      <c r="DU5" s="52">
        <f>+DT5-100</f>
        <v>901.40000000000009</v>
      </c>
      <c r="DV5" s="52">
        <f>+DU5-100</f>
        <v>801.40000000000009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5204.7</v>
      </c>
      <c r="FL5" s="49">
        <f>+FK5*0.95</f>
        <v>4944.4649999999992</v>
      </c>
      <c r="FM5" s="49">
        <f>+FL5*0.95</f>
        <v>4697.2417499999992</v>
      </c>
      <c r="FN5" s="49">
        <f>+FM5*0.95</f>
        <v>4462.3796624999986</v>
      </c>
      <c r="FO5" s="49">
        <f>+FN5*0.95</f>
        <v>4239.2606793749983</v>
      </c>
      <c r="FP5" s="49">
        <f>+FO5*0.95</f>
        <v>4027.2976454062482</v>
      </c>
      <c r="FQ5" s="49">
        <f>+FP5*0.9</f>
        <v>3624.5678808656235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f>+DQ6+500</f>
        <v>3612.7</v>
      </c>
      <c r="DS6" s="52">
        <f>+DR6+500</f>
        <v>4112.7</v>
      </c>
      <c r="DT6" s="52">
        <f>+DS6+500</f>
        <v>4612.7</v>
      </c>
      <c r="DU6" s="52">
        <f>+DT6+500</f>
        <v>5112.7</v>
      </c>
      <c r="DV6" s="52">
        <f>+DU6+500</f>
        <v>5612.7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37" si="6">SUM(DG6:DJ6)</f>
        <v>482.5</v>
      </c>
      <c r="FJ6" s="49">
        <f t="shared" ref="FJ6:FJ37" si="7">SUM(DK6:DN6)</f>
        <v>5163.1000000000004</v>
      </c>
      <c r="FK6" s="49">
        <f>SUM(Model!DO6:DR6)</f>
        <v>11622.7</v>
      </c>
      <c r="FL6" s="49">
        <f t="shared" ref="FL6:FN7" si="8">FK6*1.4</f>
        <v>16271.78</v>
      </c>
      <c r="FM6" s="49">
        <f t="shared" si="8"/>
        <v>22780.491999999998</v>
      </c>
      <c r="FN6" s="49">
        <f t="shared" si="8"/>
        <v>31892.688799999996</v>
      </c>
      <c r="FO6" s="49">
        <f>FN6*1.2</f>
        <v>38271.226559999996</v>
      </c>
      <c r="FP6" s="49">
        <f t="shared" ref="FP6:FP7" si="9">FO6*1.1</f>
        <v>42098.349215999995</v>
      </c>
      <c r="FQ6" s="49">
        <f>+FP6*1.1</f>
        <v>46308.184137600001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f>DQ7+300</f>
        <v>1557.8</v>
      </c>
      <c r="DS7" s="52">
        <f>DR7+300</f>
        <v>1857.8</v>
      </c>
      <c r="DT7" s="52">
        <f>DS7+300</f>
        <v>2157.8000000000002</v>
      </c>
      <c r="DU7" s="52">
        <f>DT7+300</f>
        <v>2457.8000000000002</v>
      </c>
      <c r="DV7" s="52">
        <f>DU7+300</f>
        <v>2757.8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7"/>
        <v>175.8</v>
      </c>
      <c r="FK7" s="49">
        <f>SUM(Model!DO7:DR7)</f>
        <v>4576.2</v>
      </c>
      <c r="FL7" s="49">
        <f t="shared" si="8"/>
        <v>6406.6799999999994</v>
      </c>
      <c r="FM7" s="49">
        <f t="shared" si="8"/>
        <v>8969.351999999999</v>
      </c>
      <c r="FN7" s="49">
        <f t="shared" si="8"/>
        <v>12557.092799999999</v>
      </c>
      <c r="FO7" s="49">
        <f>FN7*1.2</f>
        <v>15068.511359999997</v>
      </c>
      <c r="FP7" s="49">
        <f t="shared" si="9"/>
        <v>16575.362495999998</v>
      </c>
      <c r="FQ7" s="49">
        <f>+FP7*1.1</f>
        <v>18232.8987456</v>
      </c>
    </row>
    <row r="8" spans="1:178" s="49" customFormat="1" x14ac:dyDescent="0.2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52"/>
      <c r="CU8" s="52"/>
      <c r="CV8" s="52"/>
      <c r="CW8" s="52"/>
      <c r="CX8" s="52"/>
      <c r="CY8" s="52"/>
      <c r="CZ8" s="52"/>
      <c r="DA8" s="52"/>
      <c r="DB8" s="52">
        <v>871.2</v>
      </c>
      <c r="DC8" s="52">
        <v>810.1</v>
      </c>
      <c r="DD8" s="52">
        <v>148.9</v>
      </c>
      <c r="DE8" s="52">
        <v>217.1</v>
      </c>
      <c r="DF8" s="52">
        <v>1063.0999999999999</v>
      </c>
      <c r="DG8" s="52">
        <v>1469.8</v>
      </c>
      <c r="DH8" s="52">
        <v>129.1</v>
      </c>
      <c r="DI8" s="52">
        <v>386.6</v>
      </c>
      <c r="DJ8" s="52">
        <v>38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105"/>
      <c r="DR8" s="105"/>
      <c r="DS8" s="105"/>
      <c r="DT8" s="105"/>
      <c r="DU8" s="105"/>
      <c r="DV8" s="105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49">
        <f t="shared" ref="FG8:FG40" si="10">SUM(CY8:DB8)</f>
        <v>871.2</v>
      </c>
      <c r="FH8" s="49">
        <f t="shared" ref="FH8:FH40" si="11">SUM(DC8:DF8)</f>
        <v>2239.1999999999998</v>
      </c>
      <c r="FI8" s="49">
        <f t="shared" si="6"/>
        <v>2023.5</v>
      </c>
      <c r="FJ8" s="98"/>
      <c r="FK8" s="98"/>
      <c r="FL8" s="98"/>
      <c r="FM8" s="98"/>
      <c r="FN8" s="98"/>
      <c r="FO8" s="98"/>
      <c r="FP8" s="98"/>
      <c r="FQ8" s="98"/>
    </row>
    <row r="9" spans="1:178" x14ac:dyDescent="0.2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52"/>
      <c r="CJ9" s="52">
        <v>19.3</v>
      </c>
      <c r="CK9" s="52">
        <v>32.5</v>
      </c>
      <c r="CL9" s="52">
        <v>61.3</v>
      </c>
      <c r="CM9" s="52">
        <v>96.6</v>
      </c>
      <c r="CN9" s="52">
        <v>138.69999999999999</v>
      </c>
      <c r="CO9" s="52">
        <v>151.30000000000001</v>
      </c>
      <c r="CP9" s="52">
        <v>172.5</v>
      </c>
      <c r="CQ9" s="52">
        <v>146.5</v>
      </c>
      <c r="CR9" s="52">
        <v>220.1</v>
      </c>
      <c r="CS9" s="52">
        <v>263.89999999999998</v>
      </c>
      <c r="CT9" s="52">
        <v>307</v>
      </c>
      <c r="CU9" s="52">
        <v>252.5</v>
      </c>
      <c r="CV9" s="52">
        <v>353.8</v>
      </c>
      <c r="CW9" s="52">
        <v>340</v>
      </c>
      <c r="CX9" s="52">
        <v>420.1</v>
      </c>
      <c r="CY9" s="52">
        <v>443.5</v>
      </c>
      <c r="CZ9" s="52">
        <v>395.2</v>
      </c>
      <c r="DA9" s="52">
        <v>454.5</v>
      </c>
      <c r="DB9" s="52">
        <v>495.3</v>
      </c>
      <c r="DC9" s="52">
        <v>403.2</v>
      </c>
      <c r="DD9" s="52">
        <v>569.1</v>
      </c>
      <c r="DE9" s="52">
        <v>593.1</v>
      </c>
      <c r="DF9" s="52">
        <v>647.4</v>
      </c>
      <c r="DG9" s="52">
        <v>488.1</v>
      </c>
      <c r="DH9" s="52">
        <v>606.20000000000005</v>
      </c>
      <c r="DI9" s="52">
        <v>679.9</v>
      </c>
      <c r="DJ9" s="52">
        <v>707.8</v>
      </c>
      <c r="DK9" s="52">
        <v>527</v>
      </c>
      <c r="DL9" s="52">
        <v>703.9</v>
      </c>
      <c r="DM9" s="52">
        <v>744.2</v>
      </c>
      <c r="DN9" s="52">
        <v>784.6</v>
      </c>
      <c r="DO9" s="52">
        <v>604.1</v>
      </c>
      <c r="DP9" s="52">
        <v>824.7</v>
      </c>
      <c r="DQ9" s="52">
        <v>879.6</v>
      </c>
      <c r="DR9" s="52">
        <f>+DN9*1.2</f>
        <v>941.52</v>
      </c>
      <c r="DS9" s="52">
        <f>+DO9*1.2</f>
        <v>724.92</v>
      </c>
      <c r="DT9" s="52">
        <f>+DP9*1.2</f>
        <v>989.64</v>
      </c>
      <c r="DU9" s="52">
        <f>+DQ9*1.2</f>
        <v>1055.52</v>
      </c>
      <c r="DV9" s="52">
        <f>+DR9*1.2</f>
        <v>1129.8239999999998</v>
      </c>
      <c r="DW9" s="49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51">
        <f>SUM(CI9:CL9)</f>
        <v>113.1</v>
      </c>
      <c r="FD9" s="51">
        <f t="shared" ref="FD9:FD15" si="12">SUM(CM9:CP9)</f>
        <v>559.1</v>
      </c>
      <c r="FE9" s="49">
        <f t="shared" ref="FE9:FE19" si="13">SUM(CQ9:CT9)</f>
        <v>937.5</v>
      </c>
      <c r="FF9" s="49">
        <f t="shared" ref="FF9:FF40" si="14">SUM(CU9:CX9)</f>
        <v>1366.4</v>
      </c>
      <c r="FG9" s="49">
        <f t="shared" si="10"/>
        <v>1788.5</v>
      </c>
      <c r="FH9" s="49">
        <f t="shared" si="11"/>
        <v>2212.8000000000002</v>
      </c>
      <c r="FI9" s="49">
        <f t="shared" si="6"/>
        <v>2482</v>
      </c>
      <c r="FJ9" s="49">
        <f t="shared" si="7"/>
        <v>2759.7000000000003</v>
      </c>
      <c r="FK9" s="49">
        <f>SUM(Model!DO9:DR9)</f>
        <v>3249.92</v>
      </c>
      <c r="FL9" s="49">
        <f>+FK9*1.2</f>
        <v>3899.904</v>
      </c>
      <c r="FM9" s="49">
        <f>+FL9*1.2</f>
        <v>4679.8847999999998</v>
      </c>
      <c r="FN9" s="49">
        <f>+FM9*1.1</f>
        <v>5147.8732799999998</v>
      </c>
      <c r="FO9" s="49">
        <f>+FN9*1.1</f>
        <v>5662.6606080000001</v>
      </c>
      <c r="FP9" s="49">
        <f>+FO9*1.1</f>
        <v>6228.9266688000007</v>
      </c>
      <c r="FQ9" s="49">
        <f>+FP9*1.05</f>
        <v>6540.3730022400014</v>
      </c>
    </row>
    <row r="10" spans="1:178" x14ac:dyDescent="0.2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51"/>
      <c r="CP10" s="51">
        <v>21</v>
      </c>
      <c r="CQ10" s="51">
        <v>29.7</v>
      </c>
      <c r="CR10" s="51">
        <v>57.7</v>
      </c>
      <c r="CS10" s="51">
        <v>84.5</v>
      </c>
      <c r="CT10" s="51">
        <v>83.1</v>
      </c>
      <c r="CU10" s="51">
        <v>109.4</v>
      </c>
      <c r="CV10" s="51">
        <v>133.9</v>
      </c>
      <c r="CW10" s="51">
        <v>157.19999999999999</v>
      </c>
      <c r="CX10" s="51">
        <v>179.1</v>
      </c>
      <c r="CY10" s="51">
        <v>188</v>
      </c>
      <c r="CZ10" s="51">
        <v>208.6</v>
      </c>
      <c r="DA10" s="51">
        <v>234.4</v>
      </c>
      <c r="DB10" s="51">
        <v>281.60000000000002</v>
      </c>
      <c r="DC10" s="51">
        <v>269</v>
      </c>
      <c r="DD10" s="51">
        <v>341.3</v>
      </c>
      <c r="DE10" s="51">
        <v>335.5</v>
      </c>
      <c r="DF10" s="51">
        <v>404.1</v>
      </c>
      <c r="DG10" s="51">
        <v>469.4</v>
      </c>
      <c r="DH10" s="51">
        <v>588.5</v>
      </c>
      <c r="DI10" s="51">
        <v>617.70000000000005</v>
      </c>
      <c r="DJ10" s="51">
        <v>808</v>
      </c>
      <c r="DK10" s="51">
        <v>750.9</v>
      </c>
      <c r="DL10" s="51">
        <v>926.8</v>
      </c>
      <c r="DM10" s="51">
        <v>1040.2</v>
      </c>
      <c r="DN10" s="51">
        <v>1145.4000000000001</v>
      </c>
      <c r="DO10" s="51">
        <v>1050.3</v>
      </c>
      <c r="DP10" s="51">
        <v>1331.9</v>
      </c>
      <c r="DQ10" s="51">
        <v>1369.3</v>
      </c>
      <c r="DR10" s="51">
        <f>+DN10*1.35</f>
        <v>1546.2900000000002</v>
      </c>
      <c r="DS10" s="51">
        <f>+DO10*1.35</f>
        <v>1417.905</v>
      </c>
      <c r="DT10" s="51">
        <f>+DP10*1.35</f>
        <v>1798.0650000000003</v>
      </c>
      <c r="DU10" s="51">
        <f>+DQ10*1.35</f>
        <v>1848.5550000000001</v>
      </c>
      <c r="DV10" s="51">
        <f>+DR10*1.35</f>
        <v>2087.4915000000005</v>
      </c>
      <c r="DW10" s="49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51">
        <f t="shared" si="12"/>
        <v>21</v>
      </c>
      <c r="FE10" s="49">
        <f t="shared" si="13"/>
        <v>255</v>
      </c>
      <c r="FF10" s="49">
        <f t="shared" si="14"/>
        <v>579.6</v>
      </c>
      <c r="FG10" s="49">
        <f t="shared" si="10"/>
        <v>912.6</v>
      </c>
      <c r="FH10" s="49">
        <f t="shared" si="11"/>
        <v>1349.9</v>
      </c>
      <c r="FI10" s="49">
        <f t="shared" si="6"/>
        <v>2483.6000000000004</v>
      </c>
      <c r="FJ10" s="49">
        <f t="shared" si="7"/>
        <v>3863.2999999999997</v>
      </c>
      <c r="FK10" s="49">
        <f>SUM(Model!DO10:DR10)</f>
        <v>5297.79</v>
      </c>
      <c r="FL10" s="49">
        <f>+FK10*1.01</f>
        <v>5350.7678999999998</v>
      </c>
      <c r="FM10" s="49">
        <f>+FL10*1.01</f>
        <v>5404.2755790000001</v>
      </c>
      <c r="FN10" s="49">
        <f>+FM10*1.01</f>
        <v>5458.3183347900003</v>
      </c>
      <c r="FO10" s="49">
        <f>+FN10*1.01</f>
        <v>5512.9015181379</v>
      </c>
      <c r="FP10" s="49">
        <f>+FO10*1.01</f>
        <v>5568.0305333192791</v>
      </c>
      <c r="FQ10" s="49">
        <f>+FP10*0.1</f>
        <v>556.80305333192791</v>
      </c>
    </row>
    <row r="11" spans="1:178" x14ac:dyDescent="0.2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51"/>
      <c r="CB11" s="51"/>
      <c r="CC11" s="51"/>
      <c r="CD11" s="51"/>
      <c r="CE11" s="51">
        <v>19.3</v>
      </c>
      <c r="CF11" s="51">
        <v>11.1</v>
      </c>
      <c r="CG11" s="51">
        <v>15.4</v>
      </c>
      <c r="CH11" s="51">
        <v>14.6</v>
      </c>
      <c r="CI11" s="51">
        <v>38.200000000000003</v>
      </c>
      <c r="CJ11" s="51">
        <v>40.1</v>
      </c>
      <c r="CK11" s="51">
        <v>47.5</v>
      </c>
      <c r="CL11" s="51">
        <v>76.099999999999994</v>
      </c>
      <c r="CM11" s="51">
        <v>74</v>
      </c>
      <c r="CN11" s="51">
        <v>103.2</v>
      </c>
      <c r="CO11" s="51">
        <v>127.2</v>
      </c>
      <c r="CP11" s="51">
        <v>143.19999999999999</v>
      </c>
      <c r="CQ11" s="51">
        <v>151</v>
      </c>
      <c r="CR11" s="51">
        <v>147.19999999999999</v>
      </c>
      <c r="CS11" s="51">
        <v>166.9</v>
      </c>
      <c r="CT11" s="51">
        <v>193.2</v>
      </c>
      <c r="CU11" s="51">
        <v>203.6</v>
      </c>
      <c r="CV11" s="51">
        <v>231.9</v>
      </c>
      <c r="CW11" s="51">
        <v>240.7</v>
      </c>
      <c r="CX11" s="51">
        <v>268</v>
      </c>
      <c r="CY11" s="51">
        <v>267.5</v>
      </c>
      <c r="CZ11" s="51">
        <v>262</v>
      </c>
      <c r="DA11" s="51">
        <v>310.8</v>
      </c>
      <c r="DB11" s="51">
        <v>313.60000000000002</v>
      </c>
      <c r="DC11" s="51">
        <v>312</v>
      </c>
      <c r="DD11" s="51">
        <v>356.5</v>
      </c>
      <c r="DE11" s="51">
        <v>390.4</v>
      </c>
      <c r="DF11" s="51">
        <v>431.9</v>
      </c>
      <c r="DG11" s="51">
        <v>419.4</v>
      </c>
      <c r="DH11" s="51">
        <v>461</v>
      </c>
      <c r="DI11" s="51">
        <v>573.29999999999995</v>
      </c>
      <c r="DJ11" s="51">
        <v>612.29999999999995</v>
      </c>
      <c r="DK11" s="51">
        <v>577.5</v>
      </c>
      <c r="DL11" s="51">
        <v>668.3</v>
      </c>
      <c r="DM11" s="51">
        <v>700.8</v>
      </c>
      <c r="DN11" s="51">
        <v>798.1</v>
      </c>
      <c r="DO11" s="51">
        <v>686.5</v>
      </c>
      <c r="DP11" s="51">
        <v>769.6</v>
      </c>
      <c r="DQ11" s="51">
        <v>686.4</v>
      </c>
      <c r="DR11" s="51">
        <f t="shared" ref="DR11:DV11" si="15">+DQ11+20</f>
        <v>706.4</v>
      </c>
      <c r="DS11" s="51">
        <f t="shared" si="15"/>
        <v>726.4</v>
      </c>
      <c r="DT11" s="51">
        <f t="shared" si="15"/>
        <v>746.4</v>
      </c>
      <c r="DU11" s="51">
        <f t="shared" si="15"/>
        <v>766.4</v>
      </c>
      <c r="DV11" s="51">
        <f t="shared" si="15"/>
        <v>786.4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51">
        <f>SUM(CE11:CH11)</f>
        <v>60.4</v>
      </c>
      <c r="FC11" s="51">
        <f>SUM(CI11:CL11)</f>
        <v>201.9</v>
      </c>
      <c r="FD11" s="51">
        <f t="shared" si="12"/>
        <v>447.59999999999997</v>
      </c>
      <c r="FE11" s="49">
        <f t="shared" si="13"/>
        <v>658.3</v>
      </c>
      <c r="FF11" s="49">
        <f t="shared" si="14"/>
        <v>944.2</v>
      </c>
      <c r="FG11" s="49">
        <f t="shared" si="10"/>
        <v>1153.9000000000001</v>
      </c>
      <c r="FH11" s="49">
        <f t="shared" si="11"/>
        <v>1490.8000000000002</v>
      </c>
      <c r="FI11" s="49">
        <f t="shared" si="6"/>
        <v>2066</v>
      </c>
      <c r="FJ11" s="49">
        <f t="shared" si="7"/>
        <v>2744.7</v>
      </c>
      <c r="FK11" s="49">
        <f>SUM(Model!DO11:DR11)</f>
        <v>2848.9</v>
      </c>
      <c r="FL11" s="49">
        <f>+FK11*1.2</f>
        <v>3418.68</v>
      </c>
      <c r="FM11" s="49">
        <f>+FL11*1.2</f>
        <v>4102.4159999999993</v>
      </c>
      <c r="FN11" s="49">
        <f>+FM11*1.1</f>
        <v>4512.6575999999995</v>
      </c>
      <c r="FO11" s="49">
        <f>+FN11*1.1</f>
        <v>4963.9233599999998</v>
      </c>
      <c r="FP11" s="49">
        <f>+FO11*1.1</f>
        <v>5460.3156960000006</v>
      </c>
      <c r="FQ11" s="49">
        <f>+FP11*0.1</f>
        <v>546.03156960000013</v>
      </c>
    </row>
    <row r="12" spans="1:178" x14ac:dyDescent="0.2">
      <c r="A12" s="102"/>
      <c r="B12" t="s">
        <v>54</v>
      </c>
      <c r="C12" s="51"/>
      <c r="D12" s="51"/>
      <c r="E12" s="51"/>
      <c r="F12" s="51"/>
      <c r="G12" s="51"/>
      <c r="H12" s="51"/>
      <c r="I12" s="51">
        <v>1</v>
      </c>
      <c r="J12" s="51">
        <v>2</v>
      </c>
      <c r="K12" s="51">
        <v>3</v>
      </c>
      <c r="L12" s="51">
        <v>5</v>
      </c>
      <c r="M12" s="51">
        <v>10</v>
      </c>
      <c r="N12" s="51">
        <v>15</v>
      </c>
      <c r="O12" s="51">
        <v>25</v>
      </c>
      <c r="P12" s="51">
        <v>30</v>
      </c>
      <c r="Q12" s="51">
        <v>32</v>
      </c>
      <c r="R12" s="51">
        <f>129.6-Q12-P12-O12</f>
        <v>42.599999999999994</v>
      </c>
      <c r="S12" s="51">
        <v>42.5</v>
      </c>
      <c r="T12" s="51">
        <v>50.4</v>
      </c>
      <c r="U12" s="51">
        <v>58.7</v>
      </c>
      <c r="V12" s="51">
        <f>224.5-U12-T12-S12</f>
        <v>72.900000000000006</v>
      </c>
      <c r="W12" s="51">
        <v>72.099999999999994</v>
      </c>
      <c r="X12" s="51">
        <v>76.7</v>
      </c>
      <c r="Y12" s="51">
        <v>90.6</v>
      </c>
      <c r="Z12" s="51">
        <f>350.2-Y12-X12-W12</f>
        <v>110.80000000000004</v>
      </c>
      <c r="AA12" s="51">
        <v>125.2</v>
      </c>
      <c r="AB12" s="51">
        <v>145.6</v>
      </c>
      <c r="AC12" s="51">
        <v>164.3</v>
      </c>
      <c r="AD12" s="51">
        <f>627.8-AC12-AB12-AA12</f>
        <v>192.7</v>
      </c>
      <c r="AE12" s="51">
        <v>177.4</v>
      </c>
      <c r="AF12" s="51">
        <v>204.8</v>
      </c>
      <c r="AG12" s="51">
        <v>214.1</v>
      </c>
      <c r="AH12" s="51">
        <f>834.2-AG12-AF12-AE12</f>
        <v>237.9</v>
      </c>
      <c r="AI12" s="51">
        <v>248.8</v>
      </c>
      <c r="AJ12" s="51">
        <v>254.1</v>
      </c>
      <c r="AK12" s="51">
        <v>240.2</v>
      </c>
      <c r="AL12" s="51">
        <f>1020-AK12-AJ12-AI12</f>
        <v>276.89999999999992</v>
      </c>
      <c r="AM12" s="51">
        <v>267.2</v>
      </c>
      <c r="AN12" s="51">
        <v>285.3</v>
      </c>
      <c r="AO12" s="51">
        <v>264.60000000000002</v>
      </c>
      <c r="AP12" s="51">
        <v>284.60000000000002</v>
      </c>
      <c r="AQ12" s="51">
        <v>286.2</v>
      </c>
      <c r="AR12" s="51">
        <v>296.2</v>
      </c>
      <c r="AS12" s="51">
        <f>AW12/1.05</f>
        <v>306.66666666666663</v>
      </c>
      <c r="AT12" s="51">
        <v>309.10000000000002</v>
      </c>
      <c r="AU12" s="51">
        <v>305</v>
      </c>
      <c r="AV12" s="51">
        <v>321</v>
      </c>
      <c r="AW12" s="51">
        <v>322</v>
      </c>
      <c r="AX12" s="51">
        <v>352.2</v>
      </c>
      <c r="AY12" s="51">
        <v>339.5</v>
      </c>
      <c r="AZ12" s="51">
        <v>358.4</v>
      </c>
      <c r="BA12" s="51">
        <v>362.5</v>
      </c>
      <c r="BB12" s="51">
        <v>414.2</v>
      </c>
      <c r="BC12" s="51">
        <v>407.4</v>
      </c>
      <c r="BD12" s="51">
        <v>437.9</v>
      </c>
      <c r="BE12" s="51">
        <v>432.6</v>
      </c>
      <c r="BF12" s="51">
        <v>457.9</v>
      </c>
      <c r="BG12" s="51">
        <v>450.6</v>
      </c>
      <c r="BH12" s="51">
        <v>477.5</v>
      </c>
      <c r="BI12" s="51">
        <v>500.2</v>
      </c>
      <c r="BJ12" s="51">
        <v>530.79999999999995</v>
      </c>
      <c r="BK12" s="51">
        <v>506.4</v>
      </c>
      <c r="BL12" s="51">
        <v>504.6</v>
      </c>
      <c r="BM12" s="51">
        <v>494</v>
      </c>
      <c r="BN12" s="51">
        <v>549.1</v>
      </c>
      <c r="BO12" s="51">
        <v>525.4</v>
      </c>
      <c r="BP12" s="51">
        <v>586.9</v>
      </c>
      <c r="BQ12" s="51">
        <v>593.20000000000005</v>
      </c>
      <c r="BR12" s="51">
        <v>662</v>
      </c>
      <c r="BS12" s="51">
        <v>590.29999999999995</v>
      </c>
      <c r="BT12" s="51">
        <v>613.4</v>
      </c>
      <c r="BU12" s="51">
        <v>575.79999999999995</v>
      </c>
      <c r="BV12" s="51">
        <v>616</v>
      </c>
      <c r="BW12" s="51">
        <v>632.70000000000005</v>
      </c>
      <c r="BX12" s="51">
        <v>628.6</v>
      </c>
      <c r="BY12" s="51">
        <v>616</v>
      </c>
      <c r="BZ12" s="51">
        <v>733.9</v>
      </c>
      <c r="CA12" s="51">
        <v>650</v>
      </c>
      <c r="CB12" s="51">
        <v>700.1</v>
      </c>
      <c r="CC12" s="51">
        <v>706.1</v>
      </c>
      <c r="CD12" s="51">
        <v>729.1</v>
      </c>
      <c r="CE12" s="51">
        <v>684</v>
      </c>
      <c r="CF12" s="51">
        <v>654.29999999999995</v>
      </c>
      <c r="CG12" s="51">
        <v>705</v>
      </c>
      <c r="CH12" s="51">
        <v>798.7</v>
      </c>
      <c r="CI12" s="51">
        <v>606.29999999999995</v>
      </c>
      <c r="CJ12" s="51">
        <v>701.9</v>
      </c>
      <c r="CK12" s="51">
        <v>640.79999999999995</v>
      </c>
      <c r="CL12" s="51">
        <v>819.8</v>
      </c>
      <c r="CM12" s="51">
        <v>708.4</v>
      </c>
      <c r="CN12" s="51">
        <v>678.4</v>
      </c>
      <c r="CO12" s="51">
        <v>696.2</v>
      </c>
      <c r="CP12" s="51">
        <v>782.2</v>
      </c>
      <c r="CQ12" s="51">
        <v>791.7</v>
      </c>
      <c r="CR12" s="51">
        <v>769.8</v>
      </c>
      <c r="CS12" s="51">
        <v>664.6</v>
      </c>
      <c r="CT12" s="51">
        <v>770.4</v>
      </c>
      <c r="CU12" s="51">
        <v>730.8</v>
      </c>
      <c r="CV12" s="51">
        <v>677.6</v>
      </c>
      <c r="CW12" s="51">
        <v>648.9</v>
      </c>
      <c r="CX12" s="51">
        <v>763.4</v>
      </c>
      <c r="CY12" s="51">
        <v>695.8</v>
      </c>
      <c r="CZ12" s="51">
        <v>555.1</v>
      </c>
      <c r="DA12" s="51">
        <v>656.9</v>
      </c>
      <c r="DB12" s="51">
        <v>718.1</v>
      </c>
      <c r="DC12" s="51">
        <f>332.7+284.4</f>
        <v>617.09999999999991</v>
      </c>
      <c r="DD12" s="51">
        <v>607.6</v>
      </c>
      <c r="DE12" s="51">
        <v>626.70000000000005</v>
      </c>
      <c r="DF12" s="51">
        <v>601.70000000000005</v>
      </c>
      <c r="DG12" s="51">
        <f>368.9+249.3</f>
        <v>618.20000000000005</v>
      </c>
      <c r="DH12" s="51">
        <v>447.1</v>
      </c>
      <c r="DI12" s="51">
        <v>447</v>
      </c>
      <c r="DJ12" s="51">
        <v>548.29999999999995</v>
      </c>
      <c r="DK12" s="51">
        <v>460.9</v>
      </c>
      <c r="DL12" s="51">
        <v>440.4</v>
      </c>
      <c r="DM12" s="51">
        <v>395.4</v>
      </c>
      <c r="DN12" s="51">
        <v>366.6</v>
      </c>
      <c r="DO12" s="51">
        <v>538.70000000000005</v>
      </c>
      <c r="DP12" s="51">
        <v>631.6</v>
      </c>
      <c r="DQ12" s="51">
        <v>534.6</v>
      </c>
      <c r="DR12" s="51">
        <f>+DQ12-5</f>
        <v>529.6</v>
      </c>
      <c r="DS12" s="51">
        <f>+DR12-5</f>
        <v>524.6</v>
      </c>
      <c r="DT12" s="51">
        <f>+DS12-5</f>
        <v>519.6</v>
      </c>
      <c r="DU12" s="51">
        <f>+DT12-5</f>
        <v>514.6</v>
      </c>
      <c r="DV12" s="51">
        <f>+DU12-5</f>
        <v>509.6</v>
      </c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>
        <v>129.6</v>
      </c>
      <c r="EL12" s="49">
        <v>224.5</v>
      </c>
      <c r="EM12" s="49">
        <v>350.2</v>
      </c>
      <c r="EN12" s="51">
        <v>627.79999999999995</v>
      </c>
      <c r="EO12" s="51">
        <v>834.2</v>
      </c>
      <c r="EP12" s="51">
        <v>1021</v>
      </c>
      <c r="EQ12" s="51">
        <v>1101</v>
      </c>
      <c r="ER12" s="51">
        <v>1198</v>
      </c>
      <c r="ES12" s="51">
        <f>SUM(AU12:AX12)</f>
        <v>1300.2</v>
      </c>
      <c r="ET12" s="51">
        <f>SUM(AY12:BB12)</f>
        <v>1474.6000000000001</v>
      </c>
      <c r="EU12" s="51">
        <f>SUM(BC12:BF12)</f>
        <v>1735.8000000000002</v>
      </c>
      <c r="EV12" s="51">
        <f>SUM(BG12:BJ12)</f>
        <v>1959.1</v>
      </c>
      <c r="EW12" s="51">
        <f>SUM(BK12:BN12)</f>
        <v>2054.1</v>
      </c>
      <c r="EX12" s="51">
        <f>SUM(BO12:BR12)</f>
        <v>2367.5</v>
      </c>
      <c r="EY12" s="51">
        <f>SUM(BS12:BV12)</f>
        <v>2395.5</v>
      </c>
      <c r="EZ12" s="51">
        <v>2611.1999999999998</v>
      </c>
      <c r="FA12" s="51">
        <f>SUM(CA12:CD12)</f>
        <v>2785.2999999999997</v>
      </c>
      <c r="FB12" s="51">
        <f>SUM(CE12:CH12)</f>
        <v>2842</v>
      </c>
      <c r="FC12" s="51">
        <f>SUM(CI12:CL12)</f>
        <v>2768.7999999999997</v>
      </c>
      <c r="FD12" s="51">
        <f t="shared" si="12"/>
        <v>2865.2</v>
      </c>
      <c r="FE12" s="49">
        <f t="shared" si="13"/>
        <v>2996.5</v>
      </c>
      <c r="FF12" s="49">
        <f t="shared" si="14"/>
        <v>2820.7000000000003</v>
      </c>
      <c r="FG12" s="49">
        <f>SUM(CY12:DB12)</f>
        <v>2625.9</v>
      </c>
      <c r="FH12" s="49">
        <f t="shared" si="11"/>
        <v>2453.1</v>
      </c>
      <c r="FI12" s="49">
        <f t="shared" si="6"/>
        <v>2060.6000000000004</v>
      </c>
      <c r="FJ12" s="49">
        <f t="shared" si="7"/>
        <v>1663.2999999999997</v>
      </c>
      <c r="FK12" s="49">
        <f>SUM(Model!DO12:DR12)</f>
        <v>2234.5</v>
      </c>
      <c r="FL12" s="49">
        <f t="shared" ref="FL12:FQ12" si="16">+FK12*0.95</f>
        <v>2122.7750000000001</v>
      </c>
      <c r="FM12" s="49">
        <f t="shared" si="16"/>
        <v>2016.63625</v>
      </c>
      <c r="FN12" s="49">
        <f t="shared" si="16"/>
        <v>1915.8044374999999</v>
      </c>
      <c r="FO12" s="49">
        <f t="shared" si="16"/>
        <v>1820.0142156249999</v>
      </c>
      <c r="FP12" s="49">
        <f t="shared" si="16"/>
        <v>1729.0135048437498</v>
      </c>
      <c r="FQ12" s="49">
        <f t="shared" si="16"/>
        <v>1642.5628296015623</v>
      </c>
    </row>
    <row r="13" spans="1:178" x14ac:dyDescent="0.2">
      <c r="A13" s="102"/>
      <c r="B13" t="s">
        <v>19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>
        <v>11.6</v>
      </c>
      <c r="AN13" s="51">
        <v>17.8</v>
      </c>
      <c r="AO13" s="51">
        <v>40</v>
      </c>
      <c r="AP13" s="51">
        <v>73.099999999999994</v>
      </c>
      <c r="AQ13" s="51">
        <v>93.9</v>
      </c>
      <c r="AR13" s="51">
        <v>111.2</v>
      </c>
      <c r="AS13" s="51">
        <v>122.3</v>
      </c>
      <c r="AT13" s="51">
        <v>135.80000000000001</v>
      </c>
      <c r="AU13" s="51">
        <v>130</v>
      </c>
      <c r="AV13" s="51">
        <v>153</v>
      </c>
      <c r="AW13" s="51">
        <v>157</v>
      </c>
      <c r="AX13" s="51">
        <v>171.4</v>
      </c>
      <c r="AY13" s="51">
        <v>187.8</v>
      </c>
      <c r="AZ13" s="51">
        <v>207.1</v>
      </c>
      <c r="BA13" s="51">
        <v>215</v>
      </c>
      <c r="BB13" s="51">
        <v>244.1</v>
      </c>
      <c r="BC13" s="51">
        <v>247.2</v>
      </c>
      <c r="BD13" s="51">
        <v>275</v>
      </c>
      <c r="BE13" s="51">
        <v>313.89999999999998</v>
      </c>
      <c r="BF13" s="51">
        <v>318.7</v>
      </c>
      <c r="BG13" s="51">
        <v>335.3</v>
      </c>
      <c r="BH13" s="51">
        <v>385.3</v>
      </c>
      <c r="BI13" s="51">
        <v>461.9</v>
      </c>
      <c r="BJ13" s="51">
        <v>523.6</v>
      </c>
      <c r="BK13" s="51">
        <v>527.4</v>
      </c>
      <c r="BL13" s="51">
        <v>551.79999999999995</v>
      </c>
      <c r="BM13" s="51">
        <v>560.29999999999995</v>
      </c>
      <c r="BN13" s="51">
        <v>569</v>
      </c>
      <c r="BO13" s="51">
        <v>579.9</v>
      </c>
      <c r="BP13" s="51">
        <v>613.4</v>
      </c>
      <c r="BQ13" s="51">
        <v>629.70000000000005</v>
      </c>
      <c r="BR13" s="51">
        <v>638.1</v>
      </c>
      <c r="BS13" s="51">
        <v>606.79999999999995</v>
      </c>
      <c r="BT13" s="51">
        <v>659.5</v>
      </c>
      <c r="BU13" s="51">
        <v>643.6</v>
      </c>
      <c r="BV13" s="51">
        <v>684.3</v>
      </c>
      <c r="BW13" s="51">
        <v>616.79999999999995</v>
      </c>
      <c r="BX13" s="51">
        <v>669.4</v>
      </c>
      <c r="BY13" s="51">
        <v>690.5</v>
      </c>
      <c r="BZ13" s="51">
        <v>726.2</v>
      </c>
      <c r="CA13" s="51">
        <v>632</v>
      </c>
      <c r="CB13" s="51">
        <v>711.6</v>
      </c>
      <c r="CC13" s="51">
        <v>723.4</v>
      </c>
      <c r="CD13" s="51">
        <v>725</v>
      </c>
      <c r="CE13" s="51">
        <v>573</v>
      </c>
      <c r="CF13" s="51">
        <v>664.3</v>
      </c>
      <c r="CG13" s="51">
        <v>628.5</v>
      </c>
      <c r="CH13" s="51">
        <v>627.20000000000005</v>
      </c>
      <c r="CI13" s="51">
        <v>564.20000000000005</v>
      </c>
      <c r="CJ13" s="51">
        <v>607.1</v>
      </c>
      <c r="CK13" s="51">
        <v>570.4</v>
      </c>
      <c r="CL13" s="51">
        <v>541.6</v>
      </c>
      <c r="CM13" s="51">
        <v>489.9</v>
      </c>
      <c r="CN13" s="51">
        <v>532.9</v>
      </c>
      <c r="CO13" s="51">
        <v>514.5</v>
      </c>
      <c r="CP13" s="51">
        <v>525.20000000000005</v>
      </c>
      <c r="CQ13" s="51">
        <v>499.6</v>
      </c>
      <c r="CR13" s="51">
        <v>555.9</v>
      </c>
      <c r="CS13" s="51">
        <v>520.5</v>
      </c>
      <c r="CT13" s="51">
        <v>556.9</v>
      </c>
      <c r="CU13" s="51">
        <v>499.2</v>
      </c>
      <c r="CV13" s="51">
        <v>577.79999999999995</v>
      </c>
      <c r="CW13" s="51">
        <v>508.2</v>
      </c>
      <c r="CX13" s="51">
        <v>530.70000000000005</v>
      </c>
      <c r="CY13" s="51">
        <v>560.1</v>
      </c>
      <c r="CZ13" s="51">
        <v>539.1</v>
      </c>
      <c r="DA13" s="51">
        <v>578</v>
      </c>
      <c r="DB13" s="51">
        <v>652.70000000000005</v>
      </c>
      <c r="DC13" s="51">
        <v>559</v>
      </c>
      <c r="DD13" s="51">
        <v>610.6</v>
      </c>
      <c r="DE13" s="51">
        <v>457</v>
      </c>
      <c r="DF13" s="51">
        <v>434.9</v>
      </c>
      <c r="DG13" s="51">
        <v>343.9</v>
      </c>
      <c r="DH13" s="51">
        <v>227.7</v>
      </c>
      <c r="DI13" s="51">
        <v>119.4</v>
      </c>
      <c r="DJ13" s="51">
        <v>236.6</v>
      </c>
      <c r="DK13" s="51">
        <v>58.2</v>
      </c>
      <c r="DL13" s="51">
        <v>60.9</v>
      </c>
      <c r="DM13" s="51">
        <v>53.5</v>
      </c>
      <c r="DN13" s="51">
        <v>44.9</v>
      </c>
      <c r="DO13" s="51">
        <v>69.5</v>
      </c>
      <c r="DP13" s="51">
        <v>33.9</v>
      </c>
      <c r="DQ13" s="51">
        <v>48</v>
      </c>
      <c r="DR13" s="51">
        <f>+DQ13-1</f>
        <v>47</v>
      </c>
      <c r="DS13" s="51">
        <f>+DR13-1</f>
        <v>46</v>
      </c>
      <c r="DT13" s="51">
        <f>+DS13-1</f>
        <v>45</v>
      </c>
      <c r="DU13" s="51">
        <f>+DT13-1</f>
        <v>44</v>
      </c>
      <c r="DV13" s="51">
        <f>+DU13-1</f>
        <v>43</v>
      </c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51"/>
      <c r="EO13" s="51"/>
      <c r="EP13" s="51"/>
      <c r="EQ13" s="51">
        <v>143</v>
      </c>
      <c r="ER13" s="51">
        <v>463</v>
      </c>
      <c r="ES13" s="51">
        <v>619</v>
      </c>
      <c r="ET13" s="51">
        <f>SUM(AY13:BB13)</f>
        <v>854</v>
      </c>
      <c r="EU13" s="51">
        <f>SUM(BC13:BF13)</f>
        <v>1154.8</v>
      </c>
      <c r="EV13" s="51">
        <f>SUM(BG13:BJ13)</f>
        <v>1706.1</v>
      </c>
      <c r="EW13" s="51">
        <f>SUM(BK13:BN13)</f>
        <v>2208.5</v>
      </c>
      <c r="EX13" s="51">
        <f>SUM(BO13:BR13)</f>
        <v>2461.1</v>
      </c>
      <c r="EY13" s="51">
        <f>SUM(BS13:BV13)</f>
        <v>2594.1999999999998</v>
      </c>
      <c r="EZ13" s="51">
        <v>2703</v>
      </c>
      <c r="FA13" s="51">
        <f>SUM(CA13:CD13)</f>
        <v>2792</v>
      </c>
      <c r="FB13" s="51">
        <f>SUM(CE13:CH13)</f>
        <v>2493</v>
      </c>
      <c r="FC13" s="51">
        <v>2283.3000000000002</v>
      </c>
      <c r="FD13" s="51">
        <f t="shared" si="12"/>
        <v>2062.5</v>
      </c>
      <c r="FE13" s="49">
        <f t="shared" si="13"/>
        <v>2132.9</v>
      </c>
      <c r="FF13" s="49">
        <f t="shared" si="14"/>
        <v>2115.9</v>
      </c>
      <c r="FG13" s="49">
        <f t="shared" si="10"/>
        <v>2329.9</v>
      </c>
      <c r="FH13" s="49">
        <f t="shared" si="11"/>
        <v>2061.5</v>
      </c>
      <c r="FI13" s="49">
        <f t="shared" si="6"/>
        <v>927.59999999999991</v>
      </c>
      <c r="FJ13" s="49">
        <f t="shared" si="7"/>
        <v>217.5</v>
      </c>
      <c r="FK13" s="49">
        <f>SUM(Model!DO13:DR13)</f>
        <v>198.4</v>
      </c>
      <c r="FL13" s="49">
        <f t="shared" ref="FL13:FQ13" si="17">+FK13*0.5</f>
        <v>99.2</v>
      </c>
      <c r="FM13" s="49">
        <f t="shared" si="17"/>
        <v>49.6</v>
      </c>
      <c r="FN13" s="49">
        <f t="shared" si="17"/>
        <v>24.8</v>
      </c>
      <c r="FO13" s="49">
        <f t="shared" si="17"/>
        <v>12.4</v>
      </c>
      <c r="FP13" s="49">
        <f t="shared" si="17"/>
        <v>6.2</v>
      </c>
      <c r="FQ13" s="49">
        <f t="shared" si="17"/>
        <v>3.1</v>
      </c>
    </row>
    <row r="14" spans="1:178" x14ac:dyDescent="0.2">
      <c r="A14" s="102"/>
      <c r="B14" t="s">
        <v>57</v>
      </c>
      <c r="C14">
        <v>170</v>
      </c>
      <c r="D14">
        <v>190</v>
      </c>
      <c r="E14">
        <v>210</v>
      </c>
      <c r="F14">
        <f>794-E14-D14-C14</f>
        <v>224</v>
      </c>
      <c r="G14" s="51">
        <v>207</v>
      </c>
      <c r="H14" s="51">
        <v>212</v>
      </c>
      <c r="I14" s="51">
        <v>225.6</v>
      </c>
      <c r="J14" s="51">
        <f>884-I14-H14-G14</f>
        <v>239.39999999999998</v>
      </c>
      <c r="K14" s="51">
        <v>209.8</v>
      </c>
      <c r="L14" s="51">
        <v>219.1</v>
      </c>
      <c r="M14" s="51">
        <v>226.4</v>
      </c>
      <c r="N14" s="51">
        <f>936-M14-L14-K14</f>
        <v>280.7</v>
      </c>
      <c r="O14" s="51">
        <v>195</v>
      </c>
      <c r="P14" s="51">
        <f>291-P12-30</f>
        <v>231</v>
      </c>
      <c r="Q14" s="51">
        <f>288-Q12-30</f>
        <v>226</v>
      </c>
      <c r="R14" s="51">
        <f>1150-Q14-P14-O14-SUM(O12:R12)-120</f>
        <v>248.39999999999998</v>
      </c>
      <c r="S14" s="51">
        <v>202.9</v>
      </c>
      <c r="T14" s="51">
        <v>278.3</v>
      </c>
      <c r="U14" s="51">
        <v>292.3</v>
      </c>
      <c r="V14" s="51">
        <f>1090-U14-T14-S14</f>
        <v>316.50000000000011</v>
      </c>
      <c r="W14" s="51">
        <v>273.7</v>
      </c>
      <c r="X14" s="51">
        <v>265</v>
      </c>
      <c r="Y14" s="51">
        <v>282.60000000000002</v>
      </c>
      <c r="Z14" s="51">
        <f>1110-Y14-X14-W14</f>
        <v>288.7</v>
      </c>
      <c r="AA14" s="51">
        <v>273.5</v>
      </c>
      <c r="AB14" s="51">
        <v>264.7</v>
      </c>
      <c r="AC14" s="51">
        <v>254.7</v>
      </c>
      <c r="AD14" s="51">
        <f>1060-AC14-AB14-AA14</f>
        <v>267.09999999999991</v>
      </c>
      <c r="AE14" s="51">
        <v>234.5</v>
      </c>
      <c r="AF14" s="51">
        <v>257.60000000000002</v>
      </c>
      <c r="AG14" s="51">
        <v>257.39999999999998</v>
      </c>
      <c r="AH14" s="51">
        <f>1000-AG14-AF14-AE14</f>
        <v>250.5</v>
      </c>
      <c r="AI14" s="51">
        <v>241</v>
      </c>
      <c r="AJ14" s="51">
        <v>255.5</v>
      </c>
      <c r="AK14" s="51">
        <v>264.5</v>
      </c>
      <c r="AL14" s="51">
        <f>1060-AK14-AJ14-AI14</f>
        <v>299</v>
      </c>
      <c r="AM14" s="51">
        <v>249.4</v>
      </c>
      <c r="AN14" s="51">
        <v>259.3</v>
      </c>
      <c r="AO14" s="51">
        <v>243.7</v>
      </c>
      <c r="AP14" s="51">
        <v>245.2</v>
      </c>
      <c r="AQ14" s="51">
        <v>256.89999999999998</v>
      </c>
      <c r="AR14" s="51">
        <v>249.8</v>
      </c>
      <c r="AS14" s="51">
        <v>250.9</v>
      </c>
      <c r="AT14" s="51">
        <v>247.2</v>
      </c>
      <c r="AU14" s="51">
        <v>219</v>
      </c>
      <c r="AV14" s="51">
        <v>220</v>
      </c>
      <c r="AW14" s="51">
        <v>230</v>
      </c>
      <c r="AX14" s="51">
        <v>257</v>
      </c>
      <c r="AY14" s="51">
        <v>225.8</v>
      </c>
      <c r="AZ14" s="51">
        <v>242.8</v>
      </c>
      <c r="BA14" s="51">
        <v>243.3</v>
      </c>
      <c r="BB14" s="51">
        <v>273.39999999999998</v>
      </c>
      <c r="BC14" s="51">
        <v>257.7</v>
      </c>
      <c r="BD14" s="51">
        <v>271.39999999999998</v>
      </c>
      <c r="BE14" s="51">
        <v>271.60000000000002</v>
      </c>
      <c r="BF14" s="51">
        <v>262.39999999999998</v>
      </c>
      <c r="BG14" s="51">
        <v>240.6</v>
      </c>
      <c r="BH14" s="51">
        <v>248.1</v>
      </c>
      <c r="BI14" s="51">
        <v>260.39999999999998</v>
      </c>
      <c r="BJ14" s="51">
        <v>273</v>
      </c>
      <c r="BK14" s="51">
        <v>257.8</v>
      </c>
      <c r="BL14" s="51">
        <v>265.2</v>
      </c>
      <c r="BM14" s="51">
        <v>278</v>
      </c>
      <c r="BN14" s="51">
        <v>287.89999999999998</v>
      </c>
      <c r="BO14" s="51">
        <v>289.8</v>
      </c>
      <c r="BP14" s="51">
        <v>311.8</v>
      </c>
      <c r="BQ14" s="51">
        <v>301.5</v>
      </c>
      <c r="BR14" s="51">
        <v>345.6</v>
      </c>
      <c r="BS14" s="51">
        <v>307.7</v>
      </c>
      <c r="BT14" s="51">
        <v>303</v>
      </c>
      <c r="BU14" s="51">
        <v>285.39999999999998</v>
      </c>
      <c r="BV14" s="51">
        <v>343</v>
      </c>
      <c r="BW14" s="51">
        <v>311.89999999999998</v>
      </c>
      <c r="BX14" s="51">
        <v>327.5</v>
      </c>
      <c r="BY14" s="51">
        <v>307</v>
      </c>
      <c r="BZ14" s="51">
        <v>369.5</v>
      </c>
      <c r="CA14" s="51">
        <v>316.2</v>
      </c>
      <c r="CB14" s="51">
        <v>352.4</v>
      </c>
      <c r="CC14" s="51">
        <v>335.9</v>
      </c>
      <c r="CD14" s="51">
        <v>395.6</v>
      </c>
      <c r="CE14" s="51">
        <v>315.7</v>
      </c>
      <c r="CF14" s="51">
        <v>316.39999999999998</v>
      </c>
      <c r="CG14" s="51">
        <v>316.7</v>
      </c>
      <c r="CH14" s="51">
        <v>358.6</v>
      </c>
      <c r="CI14" s="51">
        <v>356.4</v>
      </c>
      <c r="CJ14" s="51">
        <v>332.3</v>
      </c>
      <c r="CK14" s="51">
        <v>322</v>
      </c>
      <c r="CL14" s="51">
        <v>355.3</v>
      </c>
      <c r="CM14" s="51">
        <v>314.5</v>
      </c>
      <c r="CN14" s="51">
        <v>357.8</v>
      </c>
      <c r="CO14" s="51">
        <v>300.5</v>
      </c>
      <c r="CP14" s="51">
        <v>362.6</v>
      </c>
      <c r="CQ14" s="51">
        <v>325.89999999999998</v>
      </c>
      <c r="CR14" s="51">
        <v>346</v>
      </c>
      <c r="CS14" s="51">
        <v>322.10000000000002</v>
      </c>
      <c r="CT14" s="51">
        <v>337.4</v>
      </c>
      <c r="CU14" s="51">
        <v>297.7</v>
      </c>
      <c r="CV14" s="51">
        <v>322.60000000000002</v>
      </c>
      <c r="CW14" s="51">
        <v>321.8</v>
      </c>
      <c r="CX14" s="51">
        <v>348</v>
      </c>
      <c r="CY14" s="51">
        <v>315.7</v>
      </c>
      <c r="CZ14" s="51">
        <v>313.60000000000002</v>
      </c>
      <c r="DA14" s="51">
        <v>305.89999999999998</v>
      </c>
      <c r="DB14" s="51">
        <v>324.39999999999998</v>
      </c>
      <c r="DC14" s="51">
        <f>219+102.7</f>
        <v>321.7</v>
      </c>
      <c r="DD14" s="51">
        <v>315.3</v>
      </c>
      <c r="DE14" s="51">
        <v>286.7</v>
      </c>
      <c r="DF14" s="51">
        <v>298.8</v>
      </c>
      <c r="DG14" s="51">
        <f>190.4+82.8</f>
        <v>273.2</v>
      </c>
      <c r="DH14" s="51">
        <v>274</v>
      </c>
      <c r="DI14" s="51">
        <v>238.2</v>
      </c>
      <c r="DJ14" s="51">
        <v>234</v>
      </c>
      <c r="DK14" s="51">
        <v>252</v>
      </c>
      <c r="DL14" s="51">
        <v>205.3</v>
      </c>
      <c r="DM14" s="51">
        <v>206.7</v>
      </c>
      <c r="DN14" s="51">
        <f>852.1-DM14-DL14-DK14</f>
        <v>188.10000000000008</v>
      </c>
      <c r="DO14" s="51">
        <v>206.2</v>
      </c>
      <c r="DP14" s="51">
        <v>223.6</v>
      </c>
      <c r="DQ14" s="51">
        <v>207.1</v>
      </c>
      <c r="DR14" s="51">
        <f>+DN14</f>
        <v>188.10000000000008</v>
      </c>
      <c r="DS14" s="51">
        <f>+DO14</f>
        <v>206.2</v>
      </c>
      <c r="DT14" s="51">
        <f>+DP14</f>
        <v>223.6</v>
      </c>
      <c r="DU14" s="51">
        <f>+DQ14</f>
        <v>207.1</v>
      </c>
      <c r="DV14" s="51">
        <f>+DR14</f>
        <v>188.10000000000008</v>
      </c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>
        <v>794</v>
      </c>
      <c r="EI14" s="49"/>
      <c r="EJ14" s="49"/>
      <c r="EK14" s="49">
        <v>959.3</v>
      </c>
      <c r="EL14" s="49">
        <v>1090</v>
      </c>
      <c r="EM14" s="49">
        <v>1114.5</v>
      </c>
      <c r="EN14" s="51">
        <v>1060</v>
      </c>
      <c r="EO14" s="51">
        <v>1004</v>
      </c>
      <c r="EP14" s="51">
        <v>1060</v>
      </c>
      <c r="EQ14" s="51">
        <v>997</v>
      </c>
      <c r="ER14" s="51">
        <v>1005</v>
      </c>
      <c r="ES14" s="51">
        <v>905</v>
      </c>
      <c r="ET14" s="51">
        <f t="shared" ref="ET14" si="18">SUM(AY14:BB14)</f>
        <v>985.30000000000007</v>
      </c>
      <c r="EU14" s="51">
        <f t="shared" ref="EU14:EU44" si="19">SUM(BC14:BF14)</f>
        <v>1063.0999999999999</v>
      </c>
      <c r="EV14" s="51">
        <f t="shared" ref="EV14:EV44" si="20">SUM(BG14:BJ14)</f>
        <v>1022.0999999999999</v>
      </c>
      <c r="EW14" s="51">
        <f t="shared" ref="EW14:EW44" si="21">SUM(BK14:BN14)</f>
        <v>1088.9000000000001</v>
      </c>
      <c r="EX14" s="51">
        <f t="shared" ref="EX14:EX45" si="22">SUM(BO14:BR14)</f>
        <v>1248.7</v>
      </c>
      <c r="EY14" s="51">
        <f>SUM(BS14:BV14)</f>
        <v>1239.0999999999999</v>
      </c>
      <c r="EZ14" s="51">
        <v>1315.8</v>
      </c>
      <c r="FA14" s="51">
        <f>SUM(CA14:CD14)</f>
        <v>1400.1</v>
      </c>
      <c r="FB14" s="51">
        <f>SUM(CE14:CH14)</f>
        <v>1307.4000000000001</v>
      </c>
      <c r="FC14" s="51">
        <f>SUM(CI14:CL14)</f>
        <v>1366</v>
      </c>
      <c r="FD14" s="51">
        <f t="shared" si="12"/>
        <v>1335.4</v>
      </c>
      <c r="FE14" s="49">
        <f t="shared" si="13"/>
        <v>1331.4</v>
      </c>
      <c r="FF14" s="49">
        <f t="shared" si="14"/>
        <v>1290.0999999999999</v>
      </c>
      <c r="FG14" s="49">
        <f t="shared" si="10"/>
        <v>1259.5999999999999</v>
      </c>
      <c r="FH14" s="49">
        <f t="shared" si="11"/>
        <v>1222.5</v>
      </c>
      <c r="FI14" s="49">
        <f t="shared" si="6"/>
        <v>1019.4000000000001</v>
      </c>
      <c r="FJ14" s="49">
        <f t="shared" si="7"/>
        <v>852.10000000000014</v>
      </c>
      <c r="FK14" s="49">
        <f>SUM(Model!DO14:DR14)</f>
        <v>825</v>
      </c>
      <c r="FL14" s="49">
        <f t="shared" ref="FL14:FQ14" si="23">+FK14*0.95</f>
        <v>783.75</v>
      </c>
      <c r="FM14" s="49">
        <f t="shared" si="23"/>
        <v>744.5625</v>
      </c>
      <c r="FN14" s="49">
        <f t="shared" si="23"/>
        <v>707.33437500000002</v>
      </c>
      <c r="FO14" s="49">
        <f t="shared" si="23"/>
        <v>671.96765625</v>
      </c>
      <c r="FP14" s="49">
        <f t="shared" si="23"/>
        <v>638.36927343749994</v>
      </c>
      <c r="FQ14" s="49">
        <f t="shared" si="23"/>
        <v>606.45080976562497</v>
      </c>
    </row>
    <row r="15" spans="1:178" x14ac:dyDescent="0.2">
      <c r="A15" s="102"/>
      <c r="B15" s="38" t="s">
        <v>373</v>
      </c>
      <c r="C15"/>
      <c r="D15"/>
      <c r="E15"/>
      <c r="F15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>
        <v>1.9</v>
      </c>
      <c r="CN15" s="52">
        <v>4.8</v>
      </c>
      <c r="CO15" s="52">
        <v>16.2</v>
      </c>
      <c r="CP15" s="52">
        <v>23</v>
      </c>
      <c r="CQ15" s="52">
        <v>32.200000000000003</v>
      </c>
      <c r="CR15" s="52">
        <v>44.7</v>
      </c>
      <c r="CS15" s="52">
        <v>55.6</v>
      </c>
      <c r="CT15" s="52">
        <v>70.099999999999994</v>
      </c>
      <c r="CU15" s="52">
        <v>82.1</v>
      </c>
      <c r="CV15" s="52">
        <v>102.4</v>
      </c>
      <c r="CW15" s="52">
        <v>114.6</v>
      </c>
      <c r="CX15" s="52">
        <v>127.8</v>
      </c>
      <c r="CY15" s="52">
        <v>139.69999999999999</v>
      </c>
      <c r="CZ15" s="52">
        <v>145</v>
      </c>
      <c r="DA15" s="52">
        <v>162</v>
      </c>
      <c r="DB15" s="52">
        <v>192.2</v>
      </c>
      <c r="DC15" s="52">
        <v>193.8</v>
      </c>
      <c r="DD15" s="52">
        <v>208.4</v>
      </c>
      <c r="DE15" s="52">
        <v>406.9</v>
      </c>
      <c r="DF15" s="52">
        <v>306</v>
      </c>
      <c r="DG15" s="52">
        <v>255.6</v>
      </c>
      <c r="DH15" s="52">
        <v>186.2</v>
      </c>
      <c r="DI15" s="52">
        <v>182.9</v>
      </c>
      <c r="DJ15" s="52">
        <v>205.8</v>
      </c>
      <c r="DK15" s="52">
        <v>228.9</v>
      </c>
      <c r="DL15" s="52">
        <v>218.9</v>
      </c>
      <c r="DM15" s="52">
        <v>231.4</v>
      </c>
      <c r="DN15" s="52">
        <v>243.5</v>
      </c>
      <c r="DO15" s="52">
        <v>217.4</v>
      </c>
      <c r="DP15" s="52">
        <v>227.7</v>
      </c>
      <c r="DQ15" s="51">
        <v>250.8</v>
      </c>
      <c r="DR15" s="51">
        <f t="shared" ref="DR15:DV29" si="24">+DN15</f>
        <v>243.5</v>
      </c>
      <c r="DS15" s="51">
        <f t="shared" si="24"/>
        <v>217.4</v>
      </c>
      <c r="DT15" s="51">
        <f t="shared" si="24"/>
        <v>227.7</v>
      </c>
      <c r="DU15" s="51">
        <f t="shared" si="24"/>
        <v>250.8</v>
      </c>
      <c r="DV15" s="51">
        <f t="shared" si="24"/>
        <v>243.5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51">
        <f t="shared" si="12"/>
        <v>45.9</v>
      </c>
      <c r="FE15" s="49">
        <f t="shared" si="13"/>
        <v>202.6</v>
      </c>
      <c r="FF15" s="49">
        <f t="shared" si="14"/>
        <v>426.90000000000003</v>
      </c>
      <c r="FG15" s="49">
        <f t="shared" si="10"/>
        <v>638.9</v>
      </c>
      <c r="FH15" s="49">
        <f t="shared" si="11"/>
        <v>1115.0999999999999</v>
      </c>
      <c r="FI15" s="49">
        <f t="shared" si="6"/>
        <v>830.5</v>
      </c>
      <c r="FJ15" s="49">
        <f t="shared" si="7"/>
        <v>922.7</v>
      </c>
      <c r="FK15" s="49">
        <f>SUM(Model!DO15:DR15)</f>
        <v>939.40000000000009</v>
      </c>
      <c r="FL15" s="49">
        <f t="shared" ref="FL15:FP15" si="25">+FK15*1.01</f>
        <v>948.7940000000001</v>
      </c>
      <c r="FM15" s="49">
        <f t="shared" si="25"/>
        <v>958.28194000000008</v>
      </c>
      <c r="FN15" s="49">
        <f t="shared" si="25"/>
        <v>967.86475940000014</v>
      </c>
      <c r="FO15" s="49">
        <f t="shared" si="25"/>
        <v>977.54340699400018</v>
      </c>
      <c r="FP15" s="49">
        <f t="shared" si="25"/>
        <v>987.31884106394023</v>
      </c>
      <c r="FQ15" s="49">
        <f>+FP15*0.1</f>
        <v>98.731884106394034</v>
      </c>
    </row>
    <row r="16" spans="1:178" x14ac:dyDescent="0.2">
      <c r="A16" s="102"/>
      <c r="B16" s="38" t="s">
        <v>370</v>
      </c>
      <c r="C16"/>
      <c r="D16"/>
      <c r="E16"/>
      <c r="F1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>
        <v>13.7</v>
      </c>
      <c r="CC16" s="51">
        <v>28.4</v>
      </c>
      <c r="CD16" s="51">
        <v>33.6</v>
      </c>
      <c r="CE16" s="51">
        <v>67.5</v>
      </c>
      <c r="CF16" s="51">
        <v>87.7</v>
      </c>
      <c r="CG16" s="51">
        <v>111.2</v>
      </c>
      <c r="CH16" s="51">
        <v>117.5</v>
      </c>
      <c r="CI16" s="51">
        <v>131</v>
      </c>
      <c r="CJ16" s="51">
        <v>147</v>
      </c>
      <c r="CK16" s="51">
        <v>159</v>
      </c>
      <c r="CL16" s="51">
        <v>177.1</v>
      </c>
      <c r="CM16" s="51">
        <v>171.2</v>
      </c>
      <c r="CN16" s="51">
        <v>186.3</v>
      </c>
      <c r="CO16" s="51">
        <v>196</v>
      </c>
      <c r="CP16" s="51">
        <v>204.8</v>
      </c>
      <c r="CQ16" s="51">
        <v>183.6</v>
      </c>
      <c r="CR16" s="51">
        <v>218.8</v>
      </c>
      <c r="CS16" s="51">
        <v>198.4</v>
      </c>
      <c r="CT16" s="51">
        <v>220.6</v>
      </c>
      <c r="CU16" s="51">
        <v>198.3</v>
      </c>
      <c r="CV16" s="51">
        <v>241.8</v>
      </c>
      <c r="CW16" s="51">
        <v>240</v>
      </c>
      <c r="CX16" s="51">
        <v>245.1</v>
      </c>
      <c r="CY16" s="51">
        <v>239</v>
      </c>
      <c r="CZ16" s="51">
        <v>256.7</v>
      </c>
      <c r="DA16" s="51">
        <v>252.7</v>
      </c>
      <c r="DB16" s="51">
        <v>284.2</v>
      </c>
      <c r="DC16" s="51">
        <v>240.5</v>
      </c>
      <c r="DD16" s="51">
        <v>268.7</v>
      </c>
      <c r="DE16" s="51">
        <v>253.4</v>
      </c>
      <c r="DF16" s="51">
        <v>270.39999999999998</v>
      </c>
      <c r="DG16" s="51">
        <v>230.3</v>
      </c>
      <c r="DH16" s="51">
        <v>231.3</v>
      </c>
      <c r="DI16" s="51">
        <v>232.1</v>
      </c>
      <c r="DJ16" s="51">
        <v>277.8</v>
      </c>
      <c r="DK16" s="51">
        <v>236.8</v>
      </c>
      <c r="DL16" s="51">
        <v>260.3</v>
      </c>
      <c r="DM16" s="51">
        <v>224.1</v>
      </c>
      <c r="DN16" s="51">
        <v>253.6</v>
      </c>
      <c r="DO16" s="51">
        <v>229.9</v>
      </c>
      <c r="DP16" s="51">
        <v>248.9</v>
      </c>
      <c r="DQ16" s="51">
        <v>236</v>
      </c>
      <c r="DR16" s="51">
        <f t="shared" si="24"/>
        <v>253.6</v>
      </c>
      <c r="DS16" s="51">
        <f t="shared" si="24"/>
        <v>229.9</v>
      </c>
      <c r="DT16" s="51">
        <f t="shared" si="24"/>
        <v>248.9</v>
      </c>
      <c r="DU16" s="51">
        <f t="shared" si="24"/>
        <v>236</v>
      </c>
      <c r="DV16" s="51">
        <f t="shared" si="24"/>
        <v>253.6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51">
        <v>75.599999999999994</v>
      </c>
      <c r="FB16" s="51">
        <v>383.8</v>
      </c>
      <c r="FC16" s="51">
        <f>SUM(CI16:CL16)</f>
        <v>614.1</v>
      </c>
      <c r="FD16" s="51">
        <v>758.3</v>
      </c>
      <c r="FE16" s="49">
        <f t="shared" si="13"/>
        <v>821.4</v>
      </c>
      <c r="FF16" s="49">
        <f t="shared" si="14"/>
        <v>925.2</v>
      </c>
      <c r="FG16" s="49">
        <f t="shared" si="10"/>
        <v>1032.5999999999999</v>
      </c>
      <c r="FH16" s="49">
        <f t="shared" si="11"/>
        <v>1033</v>
      </c>
      <c r="FI16" s="49">
        <f t="shared" si="6"/>
        <v>971.5</v>
      </c>
      <c r="FJ16" s="49">
        <f t="shared" si="7"/>
        <v>974.80000000000007</v>
      </c>
      <c r="FK16" s="49">
        <f>SUM(Model!DO16:DR16)</f>
        <v>968.4</v>
      </c>
      <c r="FL16" s="49">
        <f t="shared" ref="FL16:FQ16" si="26">+FK16*0.95</f>
        <v>919.9799999999999</v>
      </c>
      <c r="FM16" s="49">
        <f t="shared" si="26"/>
        <v>873.98099999999988</v>
      </c>
      <c r="FN16" s="49">
        <f t="shared" si="26"/>
        <v>830.28194999999982</v>
      </c>
      <c r="FO16" s="49">
        <f t="shared" si="26"/>
        <v>788.76785249999978</v>
      </c>
      <c r="FP16" s="49">
        <f t="shared" si="26"/>
        <v>749.32945987499977</v>
      </c>
      <c r="FQ16" s="49">
        <f t="shared" si="26"/>
        <v>711.86298688124975</v>
      </c>
    </row>
    <row r="17" spans="1:173" x14ac:dyDescent="0.2">
      <c r="A17" s="102"/>
      <c r="B17" t="s">
        <v>18</v>
      </c>
      <c r="C17"/>
      <c r="D17"/>
      <c r="E17"/>
      <c r="F17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21.5</v>
      </c>
      <c r="AJ17" s="51">
        <v>37.5</v>
      </c>
      <c r="AK17" s="51">
        <v>50.2</v>
      </c>
      <c r="AL17" s="51">
        <f>203.3-AK17-AJ17-AI17</f>
        <v>94.100000000000023</v>
      </c>
      <c r="AM17" s="51">
        <v>108.3</v>
      </c>
      <c r="AN17" s="111">
        <v>125</v>
      </c>
      <c r="AO17" s="51">
        <v>154.1</v>
      </c>
      <c r="AP17" s="51">
        <v>152.69999999999999</v>
      </c>
      <c r="AQ17" s="51">
        <v>150.1</v>
      </c>
      <c r="AR17" s="111">
        <f t="shared" ref="AR17:AW17" si="27">+AQ17+15</f>
        <v>165.1</v>
      </c>
      <c r="AS17" s="111">
        <f t="shared" si="27"/>
        <v>180.1</v>
      </c>
      <c r="AT17" s="111">
        <f t="shared" si="27"/>
        <v>195.1</v>
      </c>
      <c r="AU17" s="111">
        <f t="shared" si="27"/>
        <v>210.1</v>
      </c>
      <c r="AV17" s="111">
        <f t="shared" si="27"/>
        <v>225.1</v>
      </c>
      <c r="AW17" s="111">
        <f t="shared" si="27"/>
        <v>240.1</v>
      </c>
      <c r="AX17" s="51">
        <v>268</v>
      </c>
      <c r="AY17" s="51">
        <v>266</v>
      </c>
      <c r="AZ17" s="51">
        <v>293.10000000000002</v>
      </c>
      <c r="BA17" s="51">
        <v>311</v>
      </c>
      <c r="BB17" s="51">
        <v>346.2</v>
      </c>
      <c r="BC17" s="51">
        <v>336.9</v>
      </c>
      <c r="BD17" s="51">
        <v>362.2</v>
      </c>
      <c r="BE17" s="51">
        <v>376.6</v>
      </c>
      <c r="BF17" s="51">
        <v>368.8</v>
      </c>
      <c r="BG17" s="51">
        <v>358.8</v>
      </c>
      <c r="BH17" s="51">
        <v>363.6</v>
      </c>
      <c r="BI17" s="51">
        <v>397.2</v>
      </c>
      <c r="BJ17" s="51">
        <v>439.5</v>
      </c>
      <c r="BK17" s="51">
        <v>408.3</v>
      </c>
      <c r="BL17" s="51">
        <v>418.7</v>
      </c>
      <c r="BM17" s="51">
        <v>406.5</v>
      </c>
      <c r="BN17" s="51">
        <v>465.9</v>
      </c>
      <c r="BO17" s="51">
        <v>434.4</v>
      </c>
      <c r="BP17" s="51">
        <v>477.2</v>
      </c>
      <c r="BQ17" s="51">
        <v>469.8</v>
      </c>
      <c r="BR17" s="51">
        <v>494.2</v>
      </c>
      <c r="BS17" s="51">
        <v>461.8</v>
      </c>
      <c r="BT17" s="51">
        <v>469.5</v>
      </c>
      <c r="BU17" s="51">
        <v>482.1</v>
      </c>
      <c r="BV17" s="51">
        <v>513.4</v>
      </c>
      <c r="BW17" s="51">
        <v>515</v>
      </c>
      <c r="BX17" s="51">
        <v>529.4</v>
      </c>
      <c r="BY17" s="51">
        <v>526.70000000000005</v>
      </c>
      <c r="BZ17" s="51">
        <v>588.29999999999995</v>
      </c>
      <c r="CA17" s="51">
        <v>532.4</v>
      </c>
      <c r="CB17" s="51">
        <v>567.79999999999995</v>
      </c>
      <c r="CC17" s="51">
        <v>568.4</v>
      </c>
      <c r="CD17" s="51">
        <v>622.4</v>
      </c>
      <c r="CE17" s="51">
        <v>538.29999999999995</v>
      </c>
      <c r="CF17" s="51">
        <v>567.9</v>
      </c>
      <c r="CG17" s="51">
        <v>566.1</v>
      </c>
      <c r="CH17" s="51">
        <v>638.4</v>
      </c>
      <c r="CI17" s="51">
        <v>576.70000000000005</v>
      </c>
      <c r="CJ17" s="51">
        <v>630.5</v>
      </c>
      <c r="CK17" s="51">
        <v>588.20000000000005</v>
      </c>
      <c r="CL17" s="51">
        <v>676.3</v>
      </c>
      <c r="CM17" s="51">
        <v>533.6</v>
      </c>
      <c r="CN17" s="51">
        <v>627.29999999999995</v>
      </c>
      <c r="CO17" s="51">
        <v>564.9</v>
      </c>
      <c r="CP17" s="51">
        <v>597.4</v>
      </c>
      <c r="CQ17" s="51">
        <v>495.4</v>
      </c>
      <c r="CR17" s="51">
        <v>538.70000000000005</v>
      </c>
      <c r="CS17" s="51">
        <v>467.1</v>
      </c>
      <c r="CT17" s="51">
        <v>350.7</v>
      </c>
      <c r="CU17" s="51">
        <v>308.2</v>
      </c>
      <c r="CV17" s="51">
        <v>200.2</v>
      </c>
      <c r="CW17" s="51">
        <v>184.3</v>
      </c>
      <c r="CX17" s="51">
        <f>890.5-CW17-CV17-CU17</f>
        <v>197.80000000000007</v>
      </c>
      <c r="CY17" s="51">
        <v>193</v>
      </c>
      <c r="CZ17" s="51">
        <v>130.69999999999999</v>
      </c>
      <c r="DA17" s="52">
        <v>162.5</v>
      </c>
      <c r="DB17" s="51">
        <f>607.1-DA17-CZ17-CY17</f>
        <v>120.90000000000003</v>
      </c>
      <c r="DC17" s="51">
        <v>126.8</v>
      </c>
      <c r="DD17" s="51">
        <v>281</v>
      </c>
      <c r="DE17" s="51">
        <v>130.9</v>
      </c>
      <c r="DF17" s="51">
        <f>718.4-DE17-DD17-DC17</f>
        <v>179.7</v>
      </c>
      <c r="DG17" s="51">
        <v>217.7</v>
      </c>
      <c r="DH17" s="51">
        <v>147</v>
      </c>
      <c r="DI17" s="51">
        <v>115.7</v>
      </c>
      <c r="DJ17" s="51">
        <f>587.3-DI17-DH17-DG17</f>
        <v>106.89999999999998</v>
      </c>
      <c r="DK17" s="51">
        <v>100.3</v>
      </c>
      <c r="DL17" s="51">
        <v>115.6</v>
      </c>
      <c r="DM17" s="51">
        <v>86.8</v>
      </c>
      <c r="DN17" s="51">
        <f>381.5-DM17-DL17-DK17</f>
        <v>78.8</v>
      </c>
      <c r="DO17" s="51">
        <v>139.30000000000001</v>
      </c>
      <c r="DP17" s="51">
        <v>87.7</v>
      </c>
      <c r="DQ17" s="51">
        <v>91.5</v>
      </c>
      <c r="DR17" s="51">
        <f t="shared" si="24"/>
        <v>78.8</v>
      </c>
      <c r="DS17" s="51">
        <f t="shared" si="24"/>
        <v>139.30000000000001</v>
      </c>
      <c r="DT17" s="51">
        <f t="shared" si="24"/>
        <v>87.7</v>
      </c>
      <c r="DU17" s="51">
        <f t="shared" si="24"/>
        <v>91.5</v>
      </c>
      <c r="DV17" s="51">
        <f t="shared" si="24"/>
        <v>78.8</v>
      </c>
      <c r="DW17" s="49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7"/>
      <c r="EO17" s="97"/>
      <c r="EP17" s="51">
        <v>74</v>
      </c>
      <c r="EQ17" s="51">
        <v>130</v>
      </c>
      <c r="ER17" s="51">
        <v>170</v>
      </c>
      <c r="ES17" s="51">
        <v>212</v>
      </c>
      <c r="ET17" s="51">
        <f>SUM(AY17:BB17)</f>
        <v>1216.3</v>
      </c>
      <c r="EU17" s="51">
        <f>SUM(BC17:BF17)</f>
        <v>1444.4999999999998</v>
      </c>
      <c r="EV17" s="51">
        <f>SUM(BG17:BJ17)</f>
        <v>1559.1000000000001</v>
      </c>
      <c r="EW17" s="51">
        <f>SUM(BK17:BN17)</f>
        <v>1699.4</v>
      </c>
      <c r="EX17" s="51">
        <f>SUM(BO17:BR17)</f>
        <v>1875.6</v>
      </c>
      <c r="EY17" s="51">
        <f>SUM(BS17:BV17)</f>
        <v>1926.8000000000002</v>
      </c>
      <c r="EZ17" s="51">
        <v>2159.4</v>
      </c>
      <c r="FA17" s="51">
        <v>2291</v>
      </c>
      <c r="FB17" s="51">
        <v>2310.6999999999998</v>
      </c>
      <c r="FC17" s="51">
        <f>SUM(CI17:CL17)</f>
        <v>2471.6999999999998</v>
      </c>
      <c r="FD17" s="51">
        <v>2323.1</v>
      </c>
      <c r="FE17" s="49">
        <f t="shared" si="13"/>
        <v>1851.8999999999999</v>
      </c>
      <c r="FF17" s="49">
        <f t="shared" si="14"/>
        <v>890.50000000000011</v>
      </c>
      <c r="FG17" s="49">
        <f t="shared" si="10"/>
        <v>607.1</v>
      </c>
      <c r="FH17" s="49">
        <f t="shared" si="11"/>
        <v>718.40000000000009</v>
      </c>
      <c r="FI17" s="49">
        <f t="shared" si="6"/>
        <v>587.29999999999995</v>
      </c>
      <c r="FJ17" s="49">
        <f t="shared" si="7"/>
        <v>381.5</v>
      </c>
      <c r="FK17" s="49">
        <f>SUM(Model!DO17:DR17)</f>
        <v>397.3</v>
      </c>
      <c r="FL17" s="49">
        <f t="shared" ref="FL17:FQ18" si="28">+FK17*0.9</f>
        <v>357.57</v>
      </c>
      <c r="FM17" s="49">
        <f t="shared" si="28"/>
        <v>321.81299999999999</v>
      </c>
      <c r="FN17" s="49">
        <f t="shared" si="28"/>
        <v>289.63170000000002</v>
      </c>
      <c r="FO17" s="49">
        <f t="shared" si="28"/>
        <v>260.66853000000003</v>
      </c>
      <c r="FP17" s="49">
        <f t="shared" si="28"/>
        <v>234.60167700000002</v>
      </c>
      <c r="FQ17" s="49">
        <f t="shared" si="28"/>
        <v>211.14150930000002</v>
      </c>
    </row>
    <row r="18" spans="1:173" x14ac:dyDescent="0.2">
      <c r="A18" s="102"/>
      <c r="B18" s="38" t="s">
        <v>366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>
        <v>3.8</v>
      </c>
      <c r="CH18" s="51">
        <v>7.3</v>
      </c>
      <c r="CI18" s="51">
        <v>10.9</v>
      </c>
      <c r="CJ18" s="51">
        <v>16.3</v>
      </c>
      <c r="CK18" s="51">
        <v>19.399999999999999</v>
      </c>
      <c r="CL18" s="51">
        <v>39.5</v>
      </c>
      <c r="CM18" s="51">
        <v>46</v>
      </c>
      <c r="CN18" s="51">
        <v>86.6</v>
      </c>
      <c r="CO18" s="51">
        <v>145.69999999999999</v>
      </c>
      <c r="CP18" s="51">
        <v>153.80000000000001</v>
      </c>
      <c r="CQ18" s="51">
        <v>166</v>
      </c>
      <c r="CR18" s="51">
        <v>201.8</v>
      </c>
      <c r="CS18" s="51">
        <v>201.2</v>
      </c>
      <c r="CT18" s="51">
        <v>232.2</v>
      </c>
      <c r="CU18" s="51">
        <v>251.4</v>
      </c>
      <c r="CV18" s="51">
        <v>290.7</v>
      </c>
      <c r="CW18" s="51">
        <v>263.2</v>
      </c>
      <c r="CX18" s="51">
        <v>307.2</v>
      </c>
      <c r="CY18" s="51">
        <v>303.7</v>
      </c>
      <c r="CZ18" s="51">
        <v>290.39999999999998</v>
      </c>
      <c r="DA18" s="51">
        <v>248.2</v>
      </c>
      <c r="DB18" s="51">
        <v>282.10000000000002</v>
      </c>
      <c r="DC18" s="51">
        <v>246.6</v>
      </c>
      <c r="DD18" s="51">
        <v>210.7</v>
      </c>
      <c r="DE18" s="51">
        <v>192.8</v>
      </c>
      <c r="DF18" s="51">
        <v>242.4</v>
      </c>
      <c r="DG18" s="51">
        <v>191.5</v>
      </c>
      <c r="DH18" s="51">
        <v>174.2</v>
      </c>
      <c r="DI18" s="51">
        <v>193</v>
      </c>
      <c r="DJ18" s="51">
        <v>201.7</v>
      </c>
      <c r="DK18" s="51">
        <v>209.3</v>
      </c>
      <c r="DL18" s="51">
        <v>154.19999999999999</v>
      </c>
      <c r="DM18" s="51">
        <v>179.6</v>
      </c>
      <c r="DN18" s="51">
        <f>728.3-DM18-DL18-DK18</f>
        <v>185.19999999999993</v>
      </c>
      <c r="DO18" s="51">
        <v>157.6</v>
      </c>
      <c r="DP18" s="51">
        <v>180.8</v>
      </c>
      <c r="DQ18" s="51">
        <v>161.6</v>
      </c>
      <c r="DR18" s="51">
        <f t="shared" si="24"/>
        <v>185.19999999999993</v>
      </c>
      <c r="DS18" s="51">
        <f t="shared" si="24"/>
        <v>157.6</v>
      </c>
      <c r="DT18" s="51">
        <f t="shared" ref="DT18" si="29">+DP18</f>
        <v>180.8</v>
      </c>
      <c r="DU18" s="51">
        <f t="shared" ref="DU18" si="30">+DQ18</f>
        <v>161.6</v>
      </c>
      <c r="DV18" s="51">
        <f t="shared" ref="DV18" si="31">+DR18</f>
        <v>185.19999999999993</v>
      </c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51">
        <f>SUM(CE18:CH18)</f>
        <v>11.1</v>
      </c>
      <c r="FC18" s="51">
        <f>SUM(CI18:CL18)</f>
        <v>86.1</v>
      </c>
      <c r="FD18" s="51">
        <v>432.1</v>
      </c>
      <c r="FE18" s="49">
        <f t="shared" si="13"/>
        <v>801.2</v>
      </c>
      <c r="FF18" s="49">
        <f t="shared" si="14"/>
        <v>1112.5</v>
      </c>
      <c r="FG18" s="49">
        <f t="shared" si="10"/>
        <v>1124.4000000000001</v>
      </c>
      <c r="FH18" s="49">
        <f t="shared" si="11"/>
        <v>892.49999999999989</v>
      </c>
      <c r="FI18" s="49">
        <f t="shared" si="6"/>
        <v>760.40000000000009</v>
      </c>
      <c r="FJ18" s="49">
        <f t="shared" si="7"/>
        <v>728.3</v>
      </c>
      <c r="FK18" s="49">
        <f>SUM(Model!DO18:DR18)</f>
        <v>685.19999999999993</v>
      </c>
      <c r="FL18" s="49">
        <f t="shared" si="28"/>
        <v>616.67999999999995</v>
      </c>
      <c r="FM18" s="49">
        <f t="shared" si="28"/>
        <v>555.01199999999994</v>
      </c>
      <c r="FN18" s="49">
        <f t="shared" si="28"/>
        <v>499.51079999999996</v>
      </c>
      <c r="FO18" s="49">
        <f t="shared" si="28"/>
        <v>449.55971999999997</v>
      </c>
      <c r="FP18" s="49">
        <f t="shared" si="28"/>
        <v>404.603748</v>
      </c>
      <c r="FQ18" s="49">
        <f t="shared" si="28"/>
        <v>364.14337319999998</v>
      </c>
    </row>
    <row r="19" spans="1:173" x14ac:dyDescent="0.2">
      <c r="A19" s="102"/>
      <c r="B19" s="38" t="s">
        <v>375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>
        <v>0</v>
      </c>
      <c r="CR19" s="52">
        <v>0</v>
      </c>
      <c r="CS19" s="52">
        <v>0</v>
      </c>
      <c r="CT19" s="52">
        <v>4.9000000000000004</v>
      </c>
      <c r="CU19" s="52">
        <v>14.2</v>
      </c>
      <c r="CV19" s="52">
        <v>34.299999999999997</v>
      </c>
      <c r="CW19" s="52">
        <v>47.7</v>
      </c>
      <c r="CX19" s="52">
        <v>66.3</v>
      </c>
      <c r="CY19" s="52">
        <v>74</v>
      </c>
      <c r="CZ19" s="52">
        <v>87.4</v>
      </c>
      <c r="DA19" s="52">
        <v>91.5</v>
      </c>
      <c r="DB19" s="52">
        <v>109.9</v>
      </c>
      <c r="DC19" s="52">
        <v>119.5</v>
      </c>
      <c r="DD19" s="52">
        <v>156.30000000000001</v>
      </c>
      <c r="DE19" s="52">
        <v>140</v>
      </c>
      <c r="DF19" s="52">
        <v>161.5</v>
      </c>
      <c r="DG19" s="52">
        <v>149.30000000000001</v>
      </c>
      <c r="DH19" s="52">
        <v>157.5</v>
      </c>
      <c r="DI19" s="52">
        <v>168.5</v>
      </c>
      <c r="DJ19" s="52">
        <v>175.6</v>
      </c>
      <c r="DK19" s="52">
        <v>154.30000000000001</v>
      </c>
      <c r="DL19" s="52">
        <v>169.3</v>
      </c>
      <c r="DM19" s="52">
        <v>168.5</v>
      </c>
      <c r="DN19" s="52">
        <v>186.1</v>
      </c>
      <c r="DO19" s="52">
        <v>225.7</v>
      </c>
      <c r="DP19" s="52">
        <v>192</v>
      </c>
      <c r="DQ19" s="51">
        <v>202.9</v>
      </c>
      <c r="DR19" s="51">
        <f>+DN19*1.1</f>
        <v>204.71</v>
      </c>
      <c r="DS19" s="51">
        <f>+DO19*1.1</f>
        <v>248.27</v>
      </c>
      <c r="DT19" s="51">
        <f t="shared" ref="DT19:DV19" si="32">+DP19*1.1</f>
        <v>211.20000000000002</v>
      </c>
      <c r="DU19" s="51">
        <f t="shared" si="32"/>
        <v>223.19000000000003</v>
      </c>
      <c r="DV19" s="51">
        <f t="shared" si="32"/>
        <v>225.18100000000004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v>0</v>
      </c>
      <c r="FE19" s="49">
        <f t="shared" si="13"/>
        <v>4.9000000000000004</v>
      </c>
      <c r="FF19" s="49">
        <f t="shared" si="14"/>
        <v>162.5</v>
      </c>
      <c r="FG19" s="49">
        <f t="shared" si="10"/>
        <v>362.8</v>
      </c>
      <c r="FH19" s="49">
        <f t="shared" si="11"/>
        <v>577.29999999999995</v>
      </c>
      <c r="FI19" s="49">
        <f t="shared" si="6"/>
        <v>650.9</v>
      </c>
      <c r="FJ19" s="49">
        <f t="shared" si="7"/>
        <v>678.2</v>
      </c>
      <c r="FK19" s="49">
        <f>SUM(Model!DO19:DR19)</f>
        <v>825.31000000000006</v>
      </c>
      <c r="FL19" s="49">
        <f t="shared" ref="FL19:FQ19" si="33">+FK19*1.01</f>
        <v>833.56310000000008</v>
      </c>
      <c r="FM19" s="49">
        <f t="shared" si="33"/>
        <v>841.89873100000011</v>
      </c>
      <c r="FN19" s="49">
        <f t="shared" si="33"/>
        <v>850.31771831000015</v>
      </c>
      <c r="FO19" s="49">
        <f t="shared" si="33"/>
        <v>858.82089549310012</v>
      </c>
      <c r="FP19" s="49">
        <f t="shared" si="33"/>
        <v>867.40910444803114</v>
      </c>
      <c r="FQ19" s="49">
        <f t="shared" si="33"/>
        <v>876.08319549251144</v>
      </c>
    </row>
    <row r="20" spans="1:173" x14ac:dyDescent="0.2">
      <c r="A20" s="102"/>
      <c r="B20" s="38" t="s">
        <v>367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>
        <v>131.5</v>
      </c>
      <c r="CR20" s="51">
        <v>134.1</v>
      </c>
      <c r="CS20" s="51">
        <v>140.4</v>
      </c>
      <c r="CT20" s="51"/>
      <c r="CU20" s="51">
        <v>122.1</v>
      </c>
      <c r="CV20" s="51">
        <v>141.19999999999999</v>
      </c>
      <c r="CW20" s="51">
        <v>132.1</v>
      </c>
      <c r="CX20" s="51">
        <f>293.7+230.1-CW20-CV20-CU20-CW31</f>
        <v>122.19999999999995</v>
      </c>
      <c r="CY20" s="51">
        <v>17.8</v>
      </c>
      <c r="CZ20" s="51">
        <v>15</v>
      </c>
      <c r="DA20" s="51">
        <v>17.2</v>
      </c>
      <c r="DB20" s="51">
        <v>20</v>
      </c>
      <c r="DC20" s="51">
        <v>20.6</v>
      </c>
      <c r="DD20" s="51">
        <v>25.4</v>
      </c>
      <c r="DE20" s="51">
        <v>39</v>
      </c>
      <c r="DF20" s="51">
        <v>36.6</v>
      </c>
      <c r="DG20" s="51">
        <f>144.6-DG31</f>
        <v>144.6</v>
      </c>
      <c r="DH20" s="51">
        <f>170-DH31-DH6</f>
        <v>154</v>
      </c>
      <c r="DI20" s="51">
        <f>173.4-DI31</f>
        <v>130.4</v>
      </c>
      <c r="DJ20" s="51">
        <f>268.4+367.8-DI20-DH20-DG20-DJ31-DI31</f>
        <v>121.20000000000007</v>
      </c>
      <c r="DK20" s="51">
        <v>27.8</v>
      </c>
      <c r="DL20" s="51">
        <v>136.6</v>
      </c>
      <c r="DM20" s="51">
        <v>141.9</v>
      </c>
      <c r="DN20" s="51">
        <f>175+355.2-DM20-DL20-DK20</f>
        <v>223.90000000000006</v>
      </c>
      <c r="DO20" s="51">
        <v>34.9</v>
      </c>
      <c r="DP20" s="51">
        <v>52.9</v>
      </c>
      <c r="DQ20" s="51">
        <f>53.7-DQ31</f>
        <v>40.300000000000004</v>
      </c>
      <c r="DR20" s="51">
        <f t="shared" si="24"/>
        <v>223.90000000000006</v>
      </c>
      <c r="DS20" s="51">
        <f t="shared" si="24"/>
        <v>34.9</v>
      </c>
      <c r="DT20" s="51">
        <f t="shared" ref="DT20:DT24" si="34">+DP20</f>
        <v>52.9</v>
      </c>
      <c r="DU20" s="51">
        <f t="shared" ref="DU20:DU25" si="35">+DQ20</f>
        <v>40.300000000000004</v>
      </c>
      <c r="DV20" s="51">
        <f t="shared" ref="DV20:DV24" si="36">+DR20</f>
        <v>223.90000000000006</v>
      </c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>
        <v>0</v>
      </c>
      <c r="FA20" s="51">
        <v>0</v>
      </c>
      <c r="FB20" s="51">
        <v>0</v>
      </c>
      <c r="FC20" s="51">
        <v>0</v>
      </c>
      <c r="FD20" s="51">
        <f>380.9+307.7</f>
        <v>688.59999999999991</v>
      </c>
      <c r="FE20" s="49">
        <f>292.7+272.5</f>
        <v>565.20000000000005</v>
      </c>
      <c r="FF20" s="49">
        <f t="shared" si="14"/>
        <v>517.59999999999991</v>
      </c>
      <c r="FG20" s="49">
        <f t="shared" si="10"/>
        <v>70</v>
      </c>
      <c r="FH20" s="49">
        <f t="shared" si="11"/>
        <v>121.6</v>
      </c>
      <c r="FI20" s="49">
        <f t="shared" si="6"/>
        <v>550.20000000000005</v>
      </c>
      <c r="FJ20" s="49">
        <f t="shared" si="7"/>
        <v>530.20000000000005</v>
      </c>
      <c r="FK20" s="49">
        <f>SUM(Model!DO20:DR20)</f>
        <v>352.00000000000006</v>
      </c>
      <c r="FL20" s="49">
        <f t="shared" ref="FL20:FQ20" si="37">+FK20*0.9</f>
        <v>316.80000000000007</v>
      </c>
      <c r="FM20" s="49">
        <f t="shared" si="37"/>
        <v>285.12000000000006</v>
      </c>
      <c r="FN20" s="49">
        <f t="shared" si="37"/>
        <v>256.60800000000006</v>
      </c>
      <c r="FO20" s="49">
        <f t="shared" si="37"/>
        <v>230.94720000000007</v>
      </c>
      <c r="FP20" s="49">
        <f t="shared" si="37"/>
        <v>207.85248000000007</v>
      </c>
      <c r="FQ20" s="49">
        <f t="shared" si="37"/>
        <v>187.06723200000008</v>
      </c>
    </row>
    <row r="21" spans="1:173" x14ac:dyDescent="0.2">
      <c r="A21" s="102"/>
      <c r="B21" s="38" t="s">
        <v>256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>
        <v>99.7</v>
      </c>
      <c r="BI21" s="51">
        <v>101.9</v>
      </c>
      <c r="BJ21" s="51">
        <v>95</v>
      </c>
      <c r="BK21" s="51">
        <v>92.4</v>
      </c>
      <c r="BL21" s="51">
        <v>103.8</v>
      </c>
      <c r="BM21" s="51">
        <v>95.4</v>
      </c>
      <c r="BN21" s="51">
        <v>94.5</v>
      </c>
      <c r="BO21" s="51">
        <v>104</v>
      </c>
      <c r="BP21" s="51">
        <v>100.1</v>
      </c>
      <c r="BQ21" s="51">
        <v>97.2</v>
      </c>
      <c r="BR21" s="51">
        <v>107.9</v>
      </c>
      <c r="BS21" s="51">
        <v>113.3</v>
      </c>
      <c r="BT21" s="51">
        <v>110</v>
      </c>
      <c r="BU21" s="51">
        <v>86.6</v>
      </c>
      <c r="BV21" s="52"/>
      <c r="BW21" s="52"/>
      <c r="BX21" s="52"/>
      <c r="BY21" s="52"/>
      <c r="BZ21" s="52"/>
      <c r="CA21" s="52"/>
      <c r="CB21" s="52"/>
      <c r="CC21" s="52"/>
      <c r="CD21" s="52">
        <v>96</v>
      </c>
      <c r="CE21" s="52">
        <v>88.2</v>
      </c>
      <c r="CF21" s="52">
        <v>134.6</v>
      </c>
      <c r="CG21" s="52">
        <v>85.9</v>
      </c>
      <c r="CH21" s="52">
        <v>176.2</v>
      </c>
      <c r="CI21" s="52">
        <v>168.1</v>
      </c>
      <c r="CJ21" s="52">
        <v>180.6</v>
      </c>
      <c r="CK21" s="52">
        <v>184.6</v>
      </c>
      <c r="CL21" s="52">
        <v>153.69999999999999</v>
      </c>
      <c r="CM21" s="52">
        <v>154.4</v>
      </c>
      <c r="CN21" s="52">
        <v>159.1</v>
      </c>
      <c r="CO21" s="52">
        <v>163.5</v>
      </c>
      <c r="CP21" s="52">
        <v>168.9</v>
      </c>
      <c r="CQ21" s="52">
        <v>149.6</v>
      </c>
      <c r="CR21" s="52">
        <v>166.4</v>
      </c>
      <c r="CS21" s="52">
        <v>159.5</v>
      </c>
      <c r="CT21" s="52">
        <v>159.80000000000001</v>
      </c>
      <c r="CU21" s="52">
        <v>118.4</v>
      </c>
      <c r="CV21" s="52">
        <v>159.30000000000001</v>
      </c>
      <c r="CW21" s="52">
        <v>128.6</v>
      </c>
      <c r="CX21" s="52">
        <f>543.4-CW21-CV21-CU21</f>
        <v>137.09999999999994</v>
      </c>
      <c r="CY21" s="52">
        <v>130.80000000000001</v>
      </c>
      <c r="CZ21" s="52">
        <v>129.5</v>
      </c>
      <c r="DA21" s="52">
        <v>136.4</v>
      </c>
      <c r="DB21" s="52">
        <f>480.1+56.3-DA21-CZ21-CY21</f>
        <v>139.69999999999999</v>
      </c>
      <c r="DC21" s="52">
        <v>122.4</v>
      </c>
      <c r="DD21" s="52">
        <v>147</v>
      </c>
      <c r="DE21" s="52">
        <v>134.30000000000001</v>
      </c>
      <c r="DF21" s="52">
        <f>548.3-DE21-DD21-DC21</f>
        <v>144.59999999999994</v>
      </c>
      <c r="DG21" s="52">
        <v>122.7</v>
      </c>
      <c r="DH21" s="52">
        <v>140.80000000000001</v>
      </c>
      <c r="DI21" s="52">
        <v>144.9</v>
      </c>
      <c r="DJ21" s="52">
        <f>566.5-DI21-DH21-DG21</f>
        <v>158.10000000000002</v>
      </c>
      <c r="DK21" s="52">
        <v>129.9</v>
      </c>
      <c r="DL21" s="52">
        <v>162.5</v>
      </c>
      <c r="DM21" s="52">
        <v>153.9</v>
      </c>
      <c r="DN21" s="52">
        <f>596.5-DM21-DL21-DK21</f>
        <v>150.20000000000002</v>
      </c>
      <c r="DO21" s="52">
        <v>144.6</v>
      </c>
      <c r="DP21" s="52">
        <v>155.80000000000001</v>
      </c>
      <c r="DQ21" s="51">
        <v>152</v>
      </c>
      <c r="DR21" s="51">
        <f t="shared" si="24"/>
        <v>150.20000000000002</v>
      </c>
      <c r="DS21" s="51">
        <f t="shared" si="24"/>
        <v>144.6</v>
      </c>
      <c r="DT21" s="51">
        <f t="shared" si="34"/>
        <v>155.80000000000001</v>
      </c>
      <c r="DU21" s="51">
        <f t="shared" si="35"/>
        <v>152</v>
      </c>
      <c r="DV21" s="51">
        <f t="shared" si="36"/>
        <v>150.20000000000002</v>
      </c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51"/>
      <c r="EO21" s="51"/>
      <c r="EP21" s="51"/>
      <c r="EQ21" s="51"/>
      <c r="ER21" s="51"/>
      <c r="ES21" s="51"/>
      <c r="ET21" s="51"/>
      <c r="EU21" s="51"/>
      <c r="EV21" s="51">
        <f>SUM(BG21:BJ21)</f>
        <v>296.60000000000002</v>
      </c>
      <c r="EW21" s="51">
        <f>SUM(BK21:BN21)</f>
        <v>386.1</v>
      </c>
      <c r="EX21" s="51">
        <f>SUM(BO21:BR21)</f>
        <v>409.20000000000005</v>
      </c>
      <c r="EY21" s="51">
        <f>SUM(BS21:BV21)</f>
        <v>309.89999999999998</v>
      </c>
      <c r="EZ21" s="51">
        <v>373.7</v>
      </c>
      <c r="FA21" s="51">
        <v>373.3</v>
      </c>
      <c r="FB21" s="51">
        <v>485</v>
      </c>
      <c r="FC21" s="51">
        <v>687</v>
      </c>
      <c r="FD21" s="51">
        <v>645.9</v>
      </c>
      <c r="FE21" s="49">
        <f>SUM(CQ21:CT21)</f>
        <v>635.29999999999995</v>
      </c>
      <c r="FF21" s="49">
        <f t="shared" si="14"/>
        <v>543.4</v>
      </c>
      <c r="FG21" s="49">
        <f t="shared" si="10"/>
        <v>536.40000000000009</v>
      </c>
      <c r="FH21" s="49">
        <f t="shared" si="11"/>
        <v>548.29999999999995</v>
      </c>
      <c r="FI21" s="49">
        <f t="shared" si="6"/>
        <v>566.5</v>
      </c>
      <c r="FJ21" s="49">
        <f t="shared" si="7"/>
        <v>596.5</v>
      </c>
      <c r="FK21" s="49">
        <f>SUM(Model!DO21:DR21)</f>
        <v>602.6</v>
      </c>
      <c r="FL21" s="49">
        <f t="shared" ref="FL21:FQ21" si="38">+FK21*0.9</f>
        <v>542.34</v>
      </c>
      <c r="FM21" s="49">
        <f t="shared" si="38"/>
        <v>488.10600000000005</v>
      </c>
      <c r="FN21" s="49">
        <f t="shared" si="38"/>
        <v>439.29540000000003</v>
      </c>
      <c r="FO21" s="49">
        <f t="shared" si="38"/>
        <v>395.36586000000005</v>
      </c>
      <c r="FP21" s="49">
        <f t="shared" si="38"/>
        <v>355.82927400000005</v>
      </c>
      <c r="FQ21" s="49">
        <f t="shared" si="38"/>
        <v>320.24634660000004</v>
      </c>
    </row>
    <row r="22" spans="1:173" x14ac:dyDescent="0.2">
      <c r="A22" s="102"/>
      <c r="B22" t="s">
        <v>77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>
        <f>94.1-CQ43</f>
        <v>29.699999999999989</v>
      </c>
      <c r="CR22" s="51">
        <v>111.3</v>
      </c>
      <c r="CS22" s="51">
        <v>101.3</v>
      </c>
      <c r="CT22" s="51"/>
      <c r="CU22" s="52">
        <f>87.4-CU26</f>
        <v>77.5</v>
      </c>
      <c r="CV22" s="51">
        <f>84.4-CV26</f>
        <v>44.300000000000004</v>
      </c>
      <c r="CW22" s="51">
        <f>113.4-CW26-CW31</f>
        <v>60.600000000000009</v>
      </c>
      <c r="CX22" s="51">
        <f>111+339.3-CW22-CV22-CU22-CU26-CV26-CW26-CX26</f>
        <v>133.9</v>
      </c>
      <c r="CY22" s="51">
        <v>26.2</v>
      </c>
      <c r="CZ22" s="51">
        <v>64.3</v>
      </c>
      <c r="DA22" s="51">
        <v>35.9</v>
      </c>
      <c r="DB22" s="51">
        <v>36.200000000000003</v>
      </c>
      <c r="DC22" s="51">
        <v>54.8</v>
      </c>
      <c r="DD22" s="51">
        <v>55.7</v>
      </c>
      <c r="DE22" s="51">
        <v>66.7</v>
      </c>
      <c r="DF22" s="51">
        <v>38.5</v>
      </c>
      <c r="DG22" s="51">
        <f>101.2-DG30</f>
        <v>59.400000000000006</v>
      </c>
      <c r="DH22" s="51">
        <f>106.8-DH30</f>
        <v>61.8</v>
      </c>
      <c r="DI22" s="51">
        <f>102.4-DI30</f>
        <v>61.900000000000006</v>
      </c>
      <c r="DJ22" s="51">
        <f>423.8-DI22-DH22-DG22-DJ30-DI30-DH30-DG30</f>
        <v>48.799999999999969</v>
      </c>
      <c r="DK22" s="51">
        <v>34.4</v>
      </c>
      <c r="DL22" s="51">
        <f>260.5-DL30-DL26</f>
        <v>91.5</v>
      </c>
      <c r="DM22" s="51">
        <f>275.4-DM30-DM26</f>
        <v>96.899999999999977</v>
      </c>
      <c r="DN22" s="51">
        <v>103</v>
      </c>
      <c r="DO22" s="51">
        <v>49.1</v>
      </c>
      <c r="DP22" s="51">
        <v>53</v>
      </c>
      <c r="DQ22" s="51">
        <v>52.1</v>
      </c>
      <c r="DR22" s="51">
        <f t="shared" si="24"/>
        <v>103</v>
      </c>
      <c r="DS22" s="51">
        <f t="shared" si="24"/>
        <v>49.1</v>
      </c>
      <c r="DT22" s="51">
        <f t="shared" si="34"/>
        <v>53</v>
      </c>
      <c r="DU22" s="51">
        <f t="shared" si="35"/>
        <v>52.1</v>
      </c>
      <c r="DV22" s="51">
        <f t="shared" si="36"/>
        <v>103</v>
      </c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51"/>
      <c r="EO22" s="51">
        <v>19</v>
      </c>
      <c r="EP22" s="51">
        <v>19</v>
      </c>
      <c r="EQ22" s="51">
        <v>9</v>
      </c>
      <c r="ER22" s="51">
        <v>3</v>
      </c>
      <c r="ES22" s="51"/>
      <c r="ET22" s="51"/>
      <c r="EU22" s="51"/>
      <c r="EV22" s="51"/>
      <c r="EW22" s="51"/>
      <c r="EX22" s="51"/>
      <c r="FD22" s="51">
        <f>174.6+149.6</f>
        <v>324.2</v>
      </c>
      <c r="FE22" s="49">
        <f>215.1+200.6</f>
        <v>415.7</v>
      </c>
      <c r="FF22" s="49">
        <f t="shared" si="14"/>
        <v>316.30000000000007</v>
      </c>
      <c r="FG22" s="49">
        <f t="shared" si="10"/>
        <v>162.60000000000002</v>
      </c>
      <c r="FH22" s="49">
        <f t="shared" si="11"/>
        <v>215.7</v>
      </c>
      <c r="FI22" s="49">
        <f t="shared" si="6"/>
        <v>231.89999999999998</v>
      </c>
      <c r="FJ22" s="49">
        <f t="shared" si="7"/>
        <v>325.79999999999995</v>
      </c>
      <c r="FK22" s="49">
        <f>SUM(Model!DO22:DR22)</f>
        <v>257.2</v>
      </c>
      <c r="FL22" s="49">
        <f t="shared" ref="FL22:FQ22" si="39">+FK22*0.9</f>
        <v>231.48</v>
      </c>
      <c r="FM22" s="49">
        <f t="shared" si="39"/>
        <v>208.33199999999999</v>
      </c>
      <c r="FN22" s="49">
        <f t="shared" si="39"/>
        <v>187.49879999999999</v>
      </c>
      <c r="FO22" s="49">
        <f t="shared" si="39"/>
        <v>168.74892</v>
      </c>
      <c r="FP22" s="49">
        <f t="shared" si="39"/>
        <v>151.87402800000001</v>
      </c>
      <c r="FQ22" s="49">
        <f t="shared" si="39"/>
        <v>136.68662520000001</v>
      </c>
    </row>
    <row r="23" spans="1:173" x14ac:dyDescent="0.2">
      <c r="A23" s="102"/>
      <c r="B23" t="s">
        <v>16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>
        <v>4.0999999999999996</v>
      </c>
      <c r="AJ23" s="51">
        <v>13.7</v>
      </c>
      <c r="AK23" s="51">
        <v>21.6</v>
      </c>
      <c r="AL23" s="51">
        <f>65.3-AK23-AJ23-AI23</f>
        <v>25.9</v>
      </c>
      <c r="AM23" s="51">
        <v>40.799999999999997</v>
      </c>
      <c r="AN23" s="51">
        <v>65.3</v>
      </c>
      <c r="AO23" s="51">
        <v>58.1</v>
      </c>
      <c r="AP23" s="51">
        <v>74.3</v>
      </c>
      <c r="AQ23" s="51">
        <v>67</v>
      </c>
      <c r="AR23" s="51">
        <v>101.9</v>
      </c>
      <c r="AS23" s="51">
        <v>102.6</v>
      </c>
      <c r="AT23" s="51">
        <v>118</v>
      </c>
      <c r="AU23" s="51">
        <v>127</v>
      </c>
      <c r="AV23" s="51">
        <v>146</v>
      </c>
      <c r="AW23" s="51">
        <v>149</v>
      </c>
      <c r="AX23" s="51">
        <v>172.1</v>
      </c>
      <c r="AY23" s="51">
        <v>153.4</v>
      </c>
      <c r="AZ23" s="51">
        <v>177.2</v>
      </c>
      <c r="BA23" s="51">
        <v>180.5</v>
      </c>
      <c r="BB23" s="51">
        <v>198.2</v>
      </c>
      <c r="BC23" s="51">
        <v>185</v>
      </c>
      <c r="BD23" s="51">
        <v>206.6</v>
      </c>
      <c r="BE23" s="51">
        <v>192.7</v>
      </c>
      <c r="BF23" s="51">
        <v>194.5</v>
      </c>
      <c r="BG23" s="51">
        <v>187.5</v>
      </c>
      <c r="BH23" s="51">
        <v>203.3</v>
      </c>
      <c r="BI23" s="51">
        <v>213.1</v>
      </c>
      <c r="BJ23" s="51">
        <v>212.8</v>
      </c>
      <c r="BK23" s="51">
        <v>194.5</v>
      </c>
      <c r="BL23" s="51">
        <v>209.6</v>
      </c>
      <c r="BM23" s="51">
        <v>199.7</v>
      </c>
      <c r="BN23" s="51">
        <v>226.3</v>
      </c>
      <c r="BO23" s="51">
        <v>216.1</v>
      </c>
      <c r="BP23" s="51">
        <v>231</v>
      </c>
      <c r="BQ23" s="51">
        <v>240.3</v>
      </c>
      <c r="BR23" s="51">
        <v>262.5</v>
      </c>
      <c r="BS23" s="51">
        <v>271.3</v>
      </c>
      <c r="BT23" s="51">
        <v>276.39999999999998</v>
      </c>
      <c r="BU23" s="51">
        <v>288.7</v>
      </c>
      <c r="BV23" s="51">
        <v>314.60000000000002</v>
      </c>
      <c r="BW23" s="51">
        <v>281.5</v>
      </c>
      <c r="BX23" s="51">
        <v>296.89999999999998</v>
      </c>
      <c r="BY23" s="51">
        <v>306.7</v>
      </c>
      <c r="BZ23" s="51">
        <v>359.8</v>
      </c>
      <c r="CA23" s="51">
        <v>300.39999999999998</v>
      </c>
      <c r="CB23" s="51">
        <v>308.60000000000002</v>
      </c>
      <c r="CC23" s="51">
        <v>332.2</v>
      </c>
      <c r="CD23" s="51">
        <v>380.8</v>
      </c>
      <c r="CE23" s="51">
        <v>293</v>
      </c>
      <c r="CF23" s="51">
        <v>328.4</v>
      </c>
      <c r="CG23" s="51">
        <v>348.9</v>
      </c>
      <c r="CH23" s="51">
        <v>377.9</v>
      </c>
      <c r="CI23" s="51">
        <v>318.60000000000002</v>
      </c>
      <c r="CJ23" s="51">
        <v>367.6</v>
      </c>
      <c r="CK23" s="51">
        <v>391.2</v>
      </c>
      <c r="CL23" s="51">
        <v>422.5</v>
      </c>
      <c r="CM23" s="51">
        <v>347.5</v>
      </c>
      <c r="CN23" s="51">
        <v>446.7</v>
      </c>
      <c r="CO23" s="51">
        <v>441.7</v>
      </c>
      <c r="CP23" s="51">
        <v>513.20000000000005</v>
      </c>
      <c r="CQ23" s="51">
        <v>313.2</v>
      </c>
      <c r="CR23" s="51">
        <v>434.5</v>
      </c>
      <c r="CS23" s="51">
        <v>390.8</v>
      </c>
      <c r="CT23" s="51">
        <v>437.1</v>
      </c>
      <c r="CU23" s="51">
        <v>312.89999999999998</v>
      </c>
      <c r="CV23" s="51">
        <v>360.8</v>
      </c>
      <c r="CW23" s="51">
        <v>370.7</v>
      </c>
      <c r="CX23" s="51">
        <v>360.2</v>
      </c>
      <c r="CY23" s="51">
        <v>272.39999999999998</v>
      </c>
      <c r="CZ23" s="51">
        <v>252.7</v>
      </c>
      <c r="DA23" s="51">
        <v>266.89999999999998</v>
      </c>
      <c r="DB23" s="51">
        <v>254.4</v>
      </c>
      <c r="DC23" s="51">
        <v>198.5</v>
      </c>
      <c r="DD23" s="51">
        <v>218.4</v>
      </c>
      <c r="DE23" s="51">
        <v>200.9</v>
      </c>
      <c r="DF23" s="51">
        <v>184</v>
      </c>
      <c r="DG23" s="51">
        <v>137.4</v>
      </c>
      <c r="DH23" s="51">
        <v>138.5</v>
      </c>
      <c r="DI23" s="51">
        <v>177.1</v>
      </c>
      <c r="DJ23" s="51">
        <v>160</v>
      </c>
      <c r="DK23" s="51">
        <v>122.3</v>
      </c>
      <c r="DL23" s="51">
        <v>148</v>
      </c>
      <c r="DM23" s="51">
        <v>146.4</v>
      </c>
      <c r="DN23" s="51">
        <f>533.2-DM23-DL23-DK23</f>
        <v>116.50000000000007</v>
      </c>
      <c r="DO23" s="51">
        <v>61.3</v>
      </c>
      <c r="DP23" s="51">
        <v>69.900000000000006</v>
      </c>
      <c r="DQ23" s="51">
        <v>118.1</v>
      </c>
      <c r="DR23" s="51">
        <f t="shared" si="24"/>
        <v>116.50000000000007</v>
      </c>
      <c r="DS23" s="51">
        <f t="shared" si="24"/>
        <v>61.3</v>
      </c>
      <c r="DT23" s="51">
        <f t="shared" si="34"/>
        <v>69.900000000000006</v>
      </c>
      <c r="DU23" s="51">
        <f t="shared" si="35"/>
        <v>118.1</v>
      </c>
      <c r="DV23" s="51">
        <f t="shared" si="36"/>
        <v>116.50000000000007</v>
      </c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51"/>
      <c r="EO23" s="51">
        <v>6</v>
      </c>
      <c r="EP23" s="51">
        <v>65</v>
      </c>
      <c r="EQ23" s="51">
        <v>237</v>
      </c>
      <c r="ER23" s="51">
        <v>389</v>
      </c>
      <c r="ES23" s="51">
        <v>581</v>
      </c>
      <c r="ET23" s="51">
        <f>ES23*1.05</f>
        <v>610.05000000000007</v>
      </c>
      <c r="EU23" s="51">
        <f>SUM(BC23:BF23)</f>
        <v>778.8</v>
      </c>
      <c r="EV23" s="51">
        <f>SUM(BG23:BJ23)</f>
        <v>816.7</v>
      </c>
      <c r="EW23" s="51">
        <f>SUM(BK23:BN23)</f>
        <v>830.09999999999991</v>
      </c>
      <c r="EX23" s="51">
        <f>SUM(BO23:BR23)</f>
        <v>949.90000000000009</v>
      </c>
      <c r="EY23" s="51">
        <f>SUM(BS23:BV23)</f>
        <v>1151</v>
      </c>
      <c r="EZ23" s="51">
        <v>1244.9000000000001</v>
      </c>
      <c r="FA23" s="51">
        <v>1322</v>
      </c>
      <c r="FB23" s="51">
        <v>1348.3</v>
      </c>
      <c r="FC23" s="51">
        <v>1500</v>
      </c>
      <c r="FD23" s="51">
        <v>1749</v>
      </c>
      <c r="FE23" s="49">
        <f>SUM(CQ23:CT23)</f>
        <v>1575.6</v>
      </c>
      <c r="FF23" s="49">
        <f t="shared" si="14"/>
        <v>1404.6000000000001</v>
      </c>
      <c r="FG23" s="49">
        <f t="shared" si="10"/>
        <v>1046.3999999999999</v>
      </c>
      <c r="FH23" s="49">
        <f t="shared" si="11"/>
        <v>801.8</v>
      </c>
      <c r="FI23" s="49">
        <f t="shared" si="6"/>
        <v>613</v>
      </c>
      <c r="FJ23" s="49">
        <f t="shared" si="7"/>
        <v>533.20000000000016</v>
      </c>
      <c r="FK23" s="49">
        <f>SUM(Model!DO23:DR23)</f>
        <v>365.80000000000007</v>
      </c>
      <c r="FL23" s="49">
        <f t="shared" ref="FL23:FQ23" si="40">+FK23*0.9</f>
        <v>329.22000000000008</v>
      </c>
      <c r="FM23" s="49">
        <f t="shared" si="40"/>
        <v>296.29800000000006</v>
      </c>
      <c r="FN23" s="49">
        <f t="shared" si="40"/>
        <v>266.66820000000007</v>
      </c>
      <c r="FO23" s="49">
        <f t="shared" si="40"/>
        <v>240.00138000000007</v>
      </c>
      <c r="FP23" s="49">
        <f t="shared" si="40"/>
        <v>216.00124200000008</v>
      </c>
      <c r="FQ23" s="49">
        <f t="shared" si="40"/>
        <v>194.40111780000007</v>
      </c>
    </row>
    <row r="24" spans="1:173" x14ac:dyDescent="0.2">
      <c r="A24" s="102"/>
      <c r="B24" t="s">
        <v>78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>
        <f>4459.9-SUM(AX25:AX65)</f>
        <v>1686.4532721010328</v>
      </c>
      <c r="AY24" s="51">
        <v>406</v>
      </c>
      <c r="AZ24" s="51"/>
      <c r="BA24" s="51">
        <f>4587-(SUM(BA25:BA65))</f>
        <v>1697.9</v>
      </c>
      <c r="BB24" s="51">
        <f>5189.6-(SUM(BB25:BB65))</f>
        <v>1904.6000000000004</v>
      </c>
      <c r="BC24" s="51">
        <f>4807.6-(SUM(BC25:BC65))</f>
        <v>2080.2000000000007</v>
      </c>
      <c r="BD24" s="51">
        <f>5150.4-(SUM(BD25:BD65))</f>
        <v>2045.4999999999995</v>
      </c>
      <c r="BE24" s="51">
        <f>5209.5-(SUM(BE25:BE65))</f>
        <v>2061.9000000000005</v>
      </c>
      <c r="BN24" s="51">
        <v>432</v>
      </c>
      <c r="BP24" s="51">
        <v>422</v>
      </c>
      <c r="BQ24" s="51">
        <v>410</v>
      </c>
      <c r="BR24" s="51">
        <v>407</v>
      </c>
      <c r="BS24" s="51">
        <v>552</v>
      </c>
      <c r="BT24" s="51">
        <v>524</v>
      </c>
      <c r="BU24" s="51">
        <f>5443.3-4955</f>
        <v>488.30000000000018</v>
      </c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161.69999999999999</v>
      </c>
      <c r="CR24" s="51">
        <v>245.6</v>
      </c>
      <c r="CS24" s="51">
        <v>191</v>
      </c>
      <c r="CT24" s="51"/>
      <c r="CU24" s="51">
        <v>113.4</v>
      </c>
      <c r="CV24" s="51">
        <v>123.3</v>
      </c>
      <c r="CW24" s="51">
        <v>119.2</v>
      </c>
      <c r="CX24" s="51">
        <f>156.2+327.7-CW24-CV24-CU24</f>
        <v>127.99999999999997</v>
      </c>
      <c r="CY24" s="51">
        <v>86</v>
      </c>
      <c r="CZ24" s="51">
        <v>51.4</v>
      </c>
      <c r="DA24" s="51">
        <v>46.3</v>
      </c>
      <c r="DB24" s="51">
        <v>88</v>
      </c>
      <c r="DC24" s="51">
        <v>42.6</v>
      </c>
      <c r="DD24" s="51">
        <v>42.2</v>
      </c>
      <c r="DE24" s="51">
        <v>38.6</v>
      </c>
      <c r="DF24" s="51">
        <v>58.1</v>
      </c>
      <c r="DG24" s="51">
        <v>98.1</v>
      </c>
      <c r="DH24" s="51">
        <v>80.099999999999994</v>
      </c>
      <c r="DI24" s="51">
        <v>66.599999999999994</v>
      </c>
      <c r="DJ24" s="51">
        <f>295.5-DI24-DH24-DG24</f>
        <v>50.700000000000017</v>
      </c>
      <c r="DK24" s="51">
        <v>20.6</v>
      </c>
      <c r="DL24" s="51">
        <v>51</v>
      </c>
      <c r="DM24" s="51">
        <v>42.9</v>
      </c>
      <c r="DN24" s="51">
        <v>114</v>
      </c>
      <c r="DO24" s="51">
        <v>22.3</v>
      </c>
      <c r="DP24" s="51">
        <v>30.6</v>
      </c>
      <c r="DQ24" s="51">
        <v>30.7</v>
      </c>
      <c r="DR24" s="51">
        <f t="shared" si="24"/>
        <v>114</v>
      </c>
      <c r="DS24" s="51">
        <f t="shared" si="24"/>
        <v>22.3</v>
      </c>
      <c r="DT24" s="51">
        <f t="shared" si="34"/>
        <v>30.6</v>
      </c>
      <c r="DU24" s="51">
        <f t="shared" si="35"/>
        <v>30.7</v>
      </c>
      <c r="DV24" s="51">
        <f t="shared" si="36"/>
        <v>114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2">
        <f>176+152</f>
        <v>328</v>
      </c>
      <c r="EP24" s="51">
        <f>165+100</f>
        <v>265</v>
      </c>
      <c r="EQ24" s="51">
        <f>83+70+4+154</f>
        <v>311</v>
      </c>
      <c r="ER24" s="51">
        <f>41+54+18+117</f>
        <v>230</v>
      </c>
      <c r="ES24" s="51">
        <f>56+54+25+91</f>
        <v>226</v>
      </c>
      <c r="ET24" s="51">
        <f>50+54+50+87</f>
        <v>241</v>
      </c>
      <c r="EU24" s="51">
        <v>54</v>
      </c>
      <c r="EV24" s="51">
        <v>54</v>
      </c>
      <c r="EW24" s="51">
        <f>SUM(BK24:BN24)</f>
        <v>432</v>
      </c>
      <c r="EX24" s="51">
        <f>SUM(BO24:BR24)</f>
        <v>1239</v>
      </c>
      <c r="EY24" s="51">
        <f>SUM(BS24:BV24)</f>
        <v>1564.3000000000002</v>
      </c>
      <c r="EZ24" s="51">
        <f>1672.3-EZ21</f>
        <v>1298.5999999999999</v>
      </c>
      <c r="FA24" s="51">
        <v>1887.1</v>
      </c>
      <c r="FB24" s="51">
        <f>1727.1-FB61</f>
        <v>1489.8</v>
      </c>
      <c r="FC24" s="51">
        <v>1965.4</v>
      </c>
      <c r="FD24" s="51">
        <f>555.4+422</f>
        <v>977.4</v>
      </c>
      <c r="FE24" s="49">
        <f>393+325.1</f>
        <v>718.1</v>
      </c>
      <c r="FF24" s="49">
        <f t="shared" si="14"/>
        <v>483.9</v>
      </c>
      <c r="FG24" s="49">
        <f t="shared" si="10"/>
        <v>271.7</v>
      </c>
      <c r="FH24" s="49">
        <f t="shared" si="11"/>
        <v>181.5</v>
      </c>
      <c r="FI24" s="49">
        <f t="shared" si="6"/>
        <v>295.5</v>
      </c>
      <c r="FJ24" s="49">
        <f t="shared" si="7"/>
        <v>228.5</v>
      </c>
      <c r="FK24" s="49">
        <f>SUM(Model!DO24:DR24)</f>
        <v>197.60000000000002</v>
      </c>
      <c r="FL24" s="49">
        <f t="shared" ref="FL24:FQ24" si="41">+FK24*0.9</f>
        <v>177.84000000000003</v>
      </c>
      <c r="FM24" s="49">
        <f t="shared" si="41"/>
        <v>160.05600000000004</v>
      </c>
      <c r="FN24" s="49">
        <f t="shared" si="41"/>
        <v>144.05040000000005</v>
      </c>
      <c r="FO24" s="49">
        <f t="shared" si="41"/>
        <v>129.64536000000004</v>
      </c>
      <c r="FP24" s="49">
        <f t="shared" si="41"/>
        <v>116.68082400000004</v>
      </c>
      <c r="FQ24" s="49">
        <f t="shared" si="41"/>
        <v>105.01274160000004</v>
      </c>
    </row>
    <row r="25" spans="1:173" x14ac:dyDescent="0.2">
      <c r="A25" s="102"/>
      <c r="B25" t="s">
        <v>7</v>
      </c>
      <c r="C25"/>
      <c r="D25"/>
      <c r="E25"/>
      <c r="F25"/>
      <c r="G25" s="97"/>
      <c r="H25" s="97"/>
      <c r="I25" s="97"/>
      <c r="J25" s="51">
        <v>87</v>
      </c>
      <c r="K25" s="51">
        <v>105.4</v>
      </c>
      <c r="L25" s="51">
        <v>156</v>
      </c>
      <c r="M25" s="51">
        <v>201.8</v>
      </c>
      <c r="N25" s="51">
        <f>730.2-M25-L25-K25</f>
        <v>267.00000000000011</v>
      </c>
      <c r="O25" s="51">
        <v>287</v>
      </c>
      <c r="P25" s="51">
        <v>328</v>
      </c>
      <c r="Q25" s="51">
        <v>396</v>
      </c>
      <c r="R25" s="51">
        <f>1440-Q25-P25-O25</f>
        <v>429</v>
      </c>
      <c r="S25" s="51">
        <v>401.2</v>
      </c>
      <c r="T25" s="51">
        <v>393</v>
      </c>
      <c r="U25" s="51">
        <v>502.9</v>
      </c>
      <c r="V25" s="51">
        <f>1890-U25-T25-S25</f>
        <v>592.89999999999986</v>
      </c>
      <c r="W25" s="51">
        <v>458.1</v>
      </c>
      <c r="X25" s="51">
        <v>550.70000000000005</v>
      </c>
      <c r="Y25" s="51">
        <v>644.9</v>
      </c>
      <c r="Z25" s="51">
        <f>2350-Y25-X25-W25</f>
        <v>696.29999999999984</v>
      </c>
      <c r="AA25" s="51">
        <v>637</v>
      </c>
      <c r="AB25" s="51">
        <v>736.6</v>
      </c>
      <c r="AC25" s="51">
        <v>812.5</v>
      </c>
      <c r="AD25" s="51">
        <f>3090-AC25-AB25-AA25</f>
        <v>903.90000000000009</v>
      </c>
      <c r="AE25" s="51">
        <v>819.4</v>
      </c>
      <c r="AF25" s="51">
        <v>906.8</v>
      </c>
      <c r="AG25" s="51">
        <v>974</v>
      </c>
      <c r="AH25" s="51">
        <f>3690-AG25-AF25-AE25</f>
        <v>989.80000000000007</v>
      </c>
      <c r="AI25" s="51">
        <v>958.3</v>
      </c>
      <c r="AJ25" s="51">
        <v>1050</v>
      </c>
      <c r="AK25" s="51">
        <v>1130</v>
      </c>
      <c r="AL25" s="51">
        <v>1145.5</v>
      </c>
      <c r="AM25" s="51">
        <v>1098.3</v>
      </c>
      <c r="AN25" s="51">
        <v>1212.3</v>
      </c>
      <c r="AO25" s="51">
        <v>1023.7</v>
      </c>
      <c r="AP25" s="51">
        <v>1085.5</v>
      </c>
      <c r="AQ25" s="51">
        <v>1038.2</v>
      </c>
      <c r="AR25" s="51">
        <v>1096.8</v>
      </c>
      <c r="AS25" s="51">
        <v>1035.0999999999999</v>
      </c>
      <c r="AT25" s="51">
        <v>1032.2</v>
      </c>
      <c r="AU25" s="51">
        <v>1007.4</v>
      </c>
      <c r="AV25" s="51">
        <v>1115</v>
      </c>
      <c r="AW25" s="51">
        <v>1084.7</v>
      </c>
      <c r="AX25" s="51">
        <v>1156.5</v>
      </c>
      <c r="AY25" s="51">
        <v>1108</v>
      </c>
      <c r="AZ25" s="51">
        <v>1213</v>
      </c>
      <c r="BA25" s="51">
        <v>1166.0999999999999</v>
      </c>
      <c r="BB25" s="51">
        <v>1273.9000000000001</v>
      </c>
      <c r="BC25" s="51">
        <v>1120.2</v>
      </c>
      <c r="BD25" s="51">
        <v>1239.7</v>
      </c>
      <c r="BE25" s="51">
        <v>1189.5</v>
      </c>
      <c r="BF25" s="51">
        <v>1146.7</v>
      </c>
      <c r="BG25" s="51">
        <v>1123</v>
      </c>
      <c r="BH25" s="51">
        <v>1203.2</v>
      </c>
      <c r="BI25" s="51">
        <v>1223</v>
      </c>
      <c r="BJ25" s="51">
        <v>1366.5</v>
      </c>
      <c r="BK25" s="51">
        <v>1215</v>
      </c>
      <c r="BL25" s="51">
        <v>1262.9000000000001</v>
      </c>
      <c r="BM25" s="51">
        <v>1212.7</v>
      </c>
      <c r="BN25" s="51">
        <v>1335.8</v>
      </c>
      <c r="BO25" s="51">
        <v>1281.9000000000001</v>
      </c>
      <c r="BP25" s="51">
        <v>1408.3</v>
      </c>
      <c r="BQ25" s="51">
        <v>1182.3</v>
      </c>
      <c r="BR25" s="51">
        <v>749.6</v>
      </c>
      <c r="BS25" s="51">
        <v>562.70000000000005</v>
      </c>
      <c r="BT25" s="51">
        <v>379.5</v>
      </c>
      <c r="BU25" s="51">
        <v>374.5</v>
      </c>
      <c r="BV25" s="51">
        <v>384.8</v>
      </c>
      <c r="BW25" s="51">
        <v>284.8</v>
      </c>
      <c r="BX25" s="51">
        <v>283.2</v>
      </c>
      <c r="BY25" s="51">
        <v>278.7</v>
      </c>
      <c r="BZ25" s="51">
        <v>348.2</v>
      </c>
      <c r="CA25" s="51">
        <v>283.10000000000002</v>
      </c>
      <c r="CB25" s="51">
        <v>243.8</v>
      </c>
      <c r="CC25" s="51">
        <v>257.39999999999998</v>
      </c>
      <c r="CD25" s="51">
        <v>253.1</v>
      </c>
      <c r="CE25" s="51">
        <v>219.5</v>
      </c>
      <c r="CF25" s="51">
        <v>253.7</v>
      </c>
      <c r="CG25" s="51">
        <v>237.9</v>
      </c>
      <c r="CH25" s="51">
        <v>229.1</v>
      </c>
      <c r="CI25" s="51">
        <v>212.8</v>
      </c>
      <c r="CJ25" s="51">
        <v>210.7</v>
      </c>
      <c r="CK25" s="51">
        <v>148.9</v>
      </c>
      <c r="CL25" s="51">
        <v>153</v>
      </c>
      <c r="CM25" s="51">
        <v>147.5</v>
      </c>
      <c r="CN25" s="51">
        <v>140.80000000000001</v>
      </c>
      <c r="CO25" s="51">
        <v>140.6</v>
      </c>
      <c r="CP25" s="51">
        <v>152.19999999999999</v>
      </c>
      <c r="CQ25" s="51">
        <v>122.6</v>
      </c>
      <c r="CR25" s="51">
        <v>128</v>
      </c>
      <c r="CS25" s="51">
        <v>109.9</v>
      </c>
      <c r="CT25" s="51">
        <v>110.8</v>
      </c>
      <c r="CU25" s="51">
        <v>107.2</v>
      </c>
      <c r="CV25" s="51">
        <v>104.3</v>
      </c>
      <c r="CW25" s="51">
        <v>105.4</v>
      </c>
      <c r="CX25" s="51">
        <f>418.7-CW25-CV25-CU25</f>
        <v>101.79999999999994</v>
      </c>
      <c r="CY25" s="51">
        <v>98.4</v>
      </c>
      <c r="CZ25" s="51">
        <v>96.6</v>
      </c>
      <c r="DA25" s="51">
        <v>112.7</v>
      </c>
      <c r="DB25" s="51">
        <f>46.1+360.5-DA25-CZ25-CY25</f>
        <v>98.900000000000034</v>
      </c>
      <c r="DC25" s="51">
        <v>95.8</v>
      </c>
      <c r="DD25" s="51">
        <v>95.4</v>
      </c>
      <c r="DE25" s="51">
        <v>101.7</v>
      </c>
      <c r="DF25" s="51">
        <f>430.3-DE25-DD25-DC25</f>
        <v>137.40000000000003</v>
      </c>
      <c r="DG25" s="51">
        <v>93.1</v>
      </c>
      <c r="DH25" s="51">
        <v>87.3</v>
      </c>
      <c r="DI25" s="51">
        <v>81.400000000000006</v>
      </c>
      <c r="DJ25" s="51">
        <f>336.9-DI25-DH25-DG25</f>
        <v>75.099999999999994</v>
      </c>
      <c r="DK25" s="51">
        <v>82.7</v>
      </c>
      <c r="DL25" s="51">
        <v>106.5</v>
      </c>
      <c r="DM25" s="51">
        <f>1481.4-1420</f>
        <v>61.400000000000091</v>
      </c>
      <c r="DN25" s="51"/>
      <c r="DO25" s="51"/>
      <c r="DP25" s="51"/>
      <c r="DQ25" s="51">
        <v>31.7</v>
      </c>
      <c r="DR25" s="51"/>
      <c r="DS25" s="51"/>
      <c r="DT25" s="51"/>
      <c r="DU25" s="51">
        <f t="shared" si="35"/>
        <v>31.7</v>
      </c>
      <c r="DV25" s="51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>
        <v>1440</v>
      </c>
      <c r="EL25" s="49">
        <v>1885</v>
      </c>
      <c r="EM25" s="49">
        <v>2349.5</v>
      </c>
      <c r="EN25" s="51">
        <v>3090</v>
      </c>
      <c r="EO25" s="51">
        <v>3689</v>
      </c>
      <c r="EP25" s="51">
        <v>4277</v>
      </c>
      <c r="EQ25" s="51">
        <v>4419</v>
      </c>
      <c r="ER25" s="51">
        <v>4200</v>
      </c>
      <c r="ES25" s="51">
        <f>SUM(AU25:AX25)</f>
        <v>4363.6000000000004</v>
      </c>
      <c r="ET25" s="51">
        <f>SUM(AY25:BB25)</f>
        <v>4761</v>
      </c>
      <c r="EU25" s="51">
        <f>SUM(BC25:BF25)</f>
        <v>4696.1000000000004</v>
      </c>
      <c r="EV25" s="51">
        <f>SUM(BG25:BJ25)</f>
        <v>4915.7</v>
      </c>
      <c r="EW25" s="51">
        <f>SUM(BK25:BN25)</f>
        <v>5026.4000000000005</v>
      </c>
      <c r="EX25" s="51">
        <f>SUM(BO25:BR25)</f>
        <v>4622.1000000000004</v>
      </c>
      <c r="EY25" s="51">
        <f>SUM(BS25:BV25)</f>
        <v>1701.5</v>
      </c>
      <c r="EZ25" s="51">
        <v>1194.8</v>
      </c>
      <c r="FA25" s="51">
        <v>1037.3</v>
      </c>
      <c r="FB25" s="51">
        <v>940.3</v>
      </c>
      <c r="FC25" s="51">
        <v>725.3</v>
      </c>
      <c r="FD25" s="51">
        <v>581.20000000000005</v>
      </c>
      <c r="FE25" s="49">
        <f>SUM(CQ25:CT25)</f>
        <v>471.3</v>
      </c>
      <c r="FF25" s="49">
        <f t="shared" si="14"/>
        <v>418.69999999999993</v>
      </c>
      <c r="FG25" s="49">
        <f t="shared" si="10"/>
        <v>406.6</v>
      </c>
      <c r="FH25" s="49">
        <f t="shared" si="11"/>
        <v>430.3</v>
      </c>
      <c r="FI25" s="49">
        <f t="shared" si="6"/>
        <v>336.9</v>
      </c>
      <c r="FJ25" s="49">
        <f t="shared" si="7"/>
        <v>250.60000000000008</v>
      </c>
      <c r="FK25" s="49">
        <f>SUM(Model!DO25:DR25)</f>
        <v>31.7</v>
      </c>
      <c r="FL25" s="49">
        <f t="shared" ref="FL25:FQ25" si="42">+FK25*0.9</f>
        <v>28.53</v>
      </c>
      <c r="FM25" s="49">
        <f t="shared" si="42"/>
        <v>25.677000000000003</v>
      </c>
      <c r="FN25" s="49">
        <f t="shared" si="42"/>
        <v>23.109300000000005</v>
      </c>
      <c r="FO25" s="49">
        <f t="shared" si="42"/>
        <v>20.798370000000006</v>
      </c>
      <c r="FP25" s="49">
        <f t="shared" si="42"/>
        <v>18.718533000000004</v>
      </c>
      <c r="FQ25" s="49">
        <f t="shared" si="42"/>
        <v>16.846679700000003</v>
      </c>
    </row>
    <row r="26" spans="1:173" x14ac:dyDescent="0.2">
      <c r="A26" s="102"/>
      <c r="B26" s="38" t="s">
        <v>371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>
        <v>0</v>
      </c>
      <c r="CR26" s="52"/>
      <c r="CS26" s="52"/>
      <c r="CT26" s="52"/>
      <c r="CU26" s="52">
        <v>9.9</v>
      </c>
      <c r="CV26" s="52">
        <v>40.1</v>
      </c>
      <c r="CW26" s="52">
        <v>46.6</v>
      </c>
      <c r="CX26" s="52">
        <v>37.4</v>
      </c>
      <c r="CY26" s="52">
        <v>57.4</v>
      </c>
      <c r="CZ26" s="52">
        <v>64.099999999999994</v>
      </c>
      <c r="DA26" s="52">
        <v>84.4</v>
      </c>
      <c r="DB26" s="52">
        <v>102.8</v>
      </c>
      <c r="DC26" s="52">
        <v>109.7</v>
      </c>
      <c r="DD26" s="52">
        <v>105</v>
      </c>
      <c r="DE26" s="52">
        <v>125.6</v>
      </c>
      <c r="DF26" s="52">
        <v>77.8</v>
      </c>
      <c r="DG26" s="52">
        <v>85.5</v>
      </c>
      <c r="DH26" s="52">
        <v>73.599999999999994</v>
      </c>
      <c r="DI26" s="52">
        <v>76.8</v>
      </c>
      <c r="DJ26" s="52">
        <v>57.5</v>
      </c>
      <c r="DK26" s="52">
        <v>61</v>
      </c>
      <c r="DL26" s="52">
        <v>103.6</v>
      </c>
      <c r="DM26" s="52">
        <v>115.1</v>
      </c>
      <c r="DN26" s="52">
        <v>113.6</v>
      </c>
      <c r="DO26" s="52">
        <v>116.7</v>
      </c>
      <c r="DP26" s="52">
        <v>123</v>
      </c>
      <c r="DQ26" s="51">
        <v>150.19999999999999</v>
      </c>
      <c r="DR26" s="51">
        <f t="shared" si="24"/>
        <v>113.6</v>
      </c>
      <c r="DS26" s="51">
        <f t="shared" si="24"/>
        <v>116.7</v>
      </c>
      <c r="DT26" s="51">
        <f t="shared" si="24"/>
        <v>123</v>
      </c>
      <c r="DU26" s="51">
        <f t="shared" si="24"/>
        <v>150.19999999999999</v>
      </c>
      <c r="DV26" s="51">
        <f t="shared" si="24"/>
        <v>113.6</v>
      </c>
      <c r="DW26" s="49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51"/>
      <c r="FC26" s="51"/>
      <c r="FD26" s="51"/>
      <c r="FE26" s="49">
        <v>0</v>
      </c>
      <c r="FF26" s="49">
        <f t="shared" si="14"/>
        <v>134</v>
      </c>
      <c r="FG26" s="49">
        <f t="shared" si="10"/>
        <v>308.7</v>
      </c>
      <c r="FH26" s="49">
        <f t="shared" si="11"/>
        <v>418.09999999999997</v>
      </c>
      <c r="FI26" s="49">
        <f t="shared" si="6"/>
        <v>293.39999999999998</v>
      </c>
      <c r="FJ26" s="49">
        <f t="shared" si="7"/>
        <v>393.29999999999995</v>
      </c>
      <c r="FK26" s="49">
        <f>SUM(Model!DO26:DR26)</f>
        <v>503.5</v>
      </c>
      <c r="FL26" s="49">
        <f t="shared" ref="FL26:FQ26" si="43">+FK26*0.9</f>
        <v>453.15000000000003</v>
      </c>
      <c r="FM26" s="49">
        <f t="shared" si="43"/>
        <v>407.83500000000004</v>
      </c>
      <c r="FN26" s="49">
        <f t="shared" si="43"/>
        <v>367.05150000000003</v>
      </c>
      <c r="FO26" s="49">
        <f t="shared" si="43"/>
        <v>330.34635000000003</v>
      </c>
      <c r="FP26" s="49">
        <f t="shared" si="43"/>
        <v>297.31171500000005</v>
      </c>
      <c r="FQ26" s="49">
        <f t="shared" si="43"/>
        <v>267.58054350000003</v>
      </c>
    </row>
    <row r="27" spans="1:173" x14ac:dyDescent="0.2">
      <c r="A27" s="102"/>
      <c r="B27" t="s">
        <v>14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>
        <v>32.5</v>
      </c>
      <c r="AP27" s="51">
        <v>61.3</v>
      </c>
      <c r="AQ27" s="51">
        <v>106.8</v>
      </c>
      <c r="AR27" s="51">
        <v>161.4</v>
      </c>
      <c r="AS27" s="51">
        <v>182.8</v>
      </c>
      <c r="AT27" s="51">
        <v>228.8</v>
      </c>
      <c r="AU27" s="51">
        <v>233</v>
      </c>
      <c r="AV27" s="51">
        <v>310</v>
      </c>
      <c r="AW27" s="51">
        <v>349</v>
      </c>
      <c r="AX27" s="51">
        <v>424.1</v>
      </c>
      <c r="AY27" s="51">
        <v>441.8</v>
      </c>
      <c r="AZ27" s="51">
        <v>519.5</v>
      </c>
      <c r="BA27" s="51">
        <v>513.20000000000005</v>
      </c>
      <c r="BB27" s="51">
        <v>628.29999999999995</v>
      </c>
      <c r="BC27" s="51">
        <v>605.1</v>
      </c>
      <c r="BD27" s="51">
        <v>654.4</v>
      </c>
      <c r="BE27" s="51">
        <v>716.4</v>
      </c>
      <c r="BF27" s="51">
        <v>721.2</v>
      </c>
      <c r="BG27" s="51">
        <v>709.3</v>
      </c>
      <c r="BH27" s="51">
        <v>744.4</v>
      </c>
      <c r="BI27" s="51">
        <v>790.2</v>
      </c>
      <c r="BJ27" s="51">
        <v>830.8</v>
      </c>
      <c r="BK27" s="51">
        <v>803.2</v>
      </c>
      <c r="BL27" s="51">
        <v>867.7</v>
      </c>
      <c r="BM27" s="51">
        <v>825.3</v>
      </c>
      <c r="BN27" s="51">
        <v>984.6</v>
      </c>
      <c r="BO27" s="51">
        <v>908.8</v>
      </c>
      <c r="BP27" s="51">
        <v>1003.4</v>
      </c>
      <c r="BQ27" s="51">
        <v>1068.5999999999999</v>
      </c>
      <c r="BR27" s="51">
        <v>1180.7</v>
      </c>
      <c r="BS27" s="51">
        <v>1114.9000000000001</v>
      </c>
      <c r="BT27" s="51">
        <v>1223.0999999999999</v>
      </c>
      <c r="BU27" s="51">
        <v>1235.8</v>
      </c>
      <c r="BV27" s="51">
        <v>1420.4</v>
      </c>
      <c r="BW27" s="51">
        <v>1328.2</v>
      </c>
      <c r="BX27" s="51">
        <v>1497.2</v>
      </c>
      <c r="BY27" s="51">
        <v>1375.8</v>
      </c>
      <c r="BZ27" s="51">
        <v>883.2</v>
      </c>
      <c r="CA27" s="51">
        <v>478.2</v>
      </c>
      <c r="CB27" s="51">
        <v>401.3</v>
      </c>
      <c r="CC27" s="51">
        <v>368</v>
      </c>
      <c r="CD27" s="51">
        <v>367.3</v>
      </c>
      <c r="CE27" s="51">
        <v>287</v>
      </c>
      <c r="CF27" s="51">
        <v>274.10000000000002</v>
      </c>
      <c r="CG27" s="51">
        <v>242.9</v>
      </c>
      <c r="CH27" s="51">
        <v>223.6</v>
      </c>
      <c r="CI27" s="51">
        <v>198.7</v>
      </c>
      <c r="CJ27" s="51">
        <v>236.5</v>
      </c>
      <c r="CK27" s="51">
        <v>313.5</v>
      </c>
      <c r="CL27" s="51">
        <v>181.8</v>
      </c>
      <c r="CM27" s="51">
        <v>174.6</v>
      </c>
      <c r="CN27" s="51">
        <v>206.6</v>
      </c>
      <c r="CO27" s="51">
        <v>183.2</v>
      </c>
      <c r="CP27" s="51">
        <v>192.8</v>
      </c>
      <c r="CQ27" s="51">
        <v>169.6</v>
      </c>
      <c r="CR27" s="51">
        <v>181.9</v>
      </c>
      <c r="CS27" s="51">
        <v>172</v>
      </c>
      <c r="CT27" s="51">
        <v>184.5</v>
      </c>
      <c r="CU27" s="51">
        <v>164.1</v>
      </c>
      <c r="CV27" s="51">
        <v>187.2</v>
      </c>
      <c r="CW27" s="51">
        <v>178.6</v>
      </c>
      <c r="CX27" s="51">
        <f>725.4-CW27-CV27-CU27</f>
        <v>195.49999999999997</v>
      </c>
      <c r="CY27" s="51">
        <v>210.4</v>
      </c>
      <c r="CZ27" s="51">
        <v>179.9</v>
      </c>
      <c r="DA27" s="51">
        <v>186.6</v>
      </c>
      <c r="DB27" s="51">
        <f>42.1+725.6-DA27-CZ27-CY27</f>
        <v>190.80000000000004</v>
      </c>
      <c r="DC27" s="51">
        <v>176.6</v>
      </c>
      <c r="DD27" s="51">
        <v>175.6</v>
      </c>
      <c r="DE27" s="51">
        <v>132</v>
      </c>
      <c r="DF27" s="51">
        <f>581.5-DE27-DD27-DC27</f>
        <v>97.299999999999983</v>
      </c>
      <c r="DG27" s="51">
        <v>81.099999999999994</v>
      </c>
      <c r="DH27" s="51">
        <v>75.5</v>
      </c>
      <c r="DI27" s="51">
        <v>62.7</v>
      </c>
      <c r="DJ27" s="51">
        <f>283.3-DI27-DH27-DG27</f>
        <v>64.000000000000028</v>
      </c>
      <c r="DK27" s="51">
        <v>60.2</v>
      </c>
      <c r="DL27" s="51"/>
      <c r="DM27" s="51"/>
      <c r="DN27" s="51"/>
      <c r="DO27" s="51">
        <v>54.4</v>
      </c>
      <c r="DP27" s="51">
        <v>49.8</v>
      </c>
      <c r="DQ27" s="51">
        <v>44.7</v>
      </c>
      <c r="DR27" s="51">
        <v>44.7</v>
      </c>
      <c r="DS27" s="51">
        <v>44.7</v>
      </c>
      <c r="DT27" s="51">
        <v>44.7</v>
      </c>
      <c r="DU27" s="51">
        <v>44.7</v>
      </c>
      <c r="DV27" s="51">
        <v>44.7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/>
      <c r="EP27" s="51"/>
      <c r="EQ27" s="51">
        <v>92</v>
      </c>
      <c r="ER27" s="51">
        <v>680</v>
      </c>
      <c r="ES27" s="51">
        <f>SUM(AU27:AX27)</f>
        <v>1316.1</v>
      </c>
      <c r="ET27" s="51">
        <f>SUM(AY27:BB27)</f>
        <v>2102.8000000000002</v>
      </c>
      <c r="EU27" s="51">
        <f>SUM(BC27:BF27)</f>
        <v>2697.1000000000004</v>
      </c>
      <c r="EV27" s="51">
        <f>SUM(BG27:BJ27)</f>
        <v>3074.7</v>
      </c>
      <c r="EW27" s="51">
        <f>SUM(BK27:BN27)</f>
        <v>3480.7999999999997</v>
      </c>
      <c r="EX27" s="51">
        <f>SUM(BO27:BR27)</f>
        <v>4161.5</v>
      </c>
      <c r="EY27" s="51">
        <f>SUM(BS27:BV27)</f>
        <v>4994.2000000000007</v>
      </c>
      <c r="EZ27" s="51">
        <v>5084.3999999999996</v>
      </c>
      <c r="FA27" s="51">
        <v>1614.7</v>
      </c>
      <c r="FB27" s="51">
        <v>1027.5999999999999</v>
      </c>
      <c r="FC27" s="51">
        <v>930.5</v>
      </c>
      <c r="FD27" s="51">
        <v>757.2</v>
      </c>
      <c r="FE27" s="51">
        <v>708</v>
      </c>
      <c r="FF27" s="49">
        <f t="shared" si="14"/>
        <v>725.4</v>
      </c>
      <c r="FG27" s="49">
        <f t="shared" si="10"/>
        <v>767.7</v>
      </c>
      <c r="FH27" s="49">
        <f t="shared" si="11"/>
        <v>581.5</v>
      </c>
      <c r="FI27" s="49">
        <f t="shared" si="6"/>
        <v>283.30000000000007</v>
      </c>
      <c r="FJ27" s="49">
        <f t="shared" si="7"/>
        <v>60.2</v>
      </c>
      <c r="FK27" s="49">
        <f>SUM(Model!DO27:DR27)</f>
        <v>193.59999999999997</v>
      </c>
      <c r="FL27" s="49">
        <f t="shared" ref="FL27:FQ27" si="44">+FK27*0.9</f>
        <v>174.23999999999998</v>
      </c>
      <c r="FM27" s="49">
        <f t="shared" si="44"/>
        <v>156.81599999999997</v>
      </c>
      <c r="FN27" s="49">
        <f t="shared" si="44"/>
        <v>141.13439999999997</v>
      </c>
      <c r="FO27" s="49">
        <f t="shared" si="44"/>
        <v>127.02095999999997</v>
      </c>
      <c r="FP27" s="49">
        <f t="shared" si="44"/>
        <v>114.31886399999998</v>
      </c>
      <c r="FQ27" s="49">
        <f t="shared" si="44"/>
        <v>102.88697759999998</v>
      </c>
    </row>
    <row r="28" spans="1:173" x14ac:dyDescent="0.2">
      <c r="A28" s="102"/>
      <c r="B28" t="s">
        <v>492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>
        <v>76.900000000000006</v>
      </c>
      <c r="CB28" s="51">
        <v>90.3</v>
      </c>
      <c r="CC28" s="51">
        <v>78.900000000000006</v>
      </c>
      <c r="CD28" s="51">
        <v>82.7</v>
      </c>
      <c r="CE28" s="51">
        <v>82.3</v>
      </c>
      <c r="CF28" s="51">
        <v>80</v>
      </c>
      <c r="CG28" s="51">
        <v>92.7</v>
      </c>
      <c r="CH28" s="51">
        <v>101.7</v>
      </c>
      <c r="CI28" s="51"/>
      <c r="CJ28" s="51"/>
      <c r="CK28" s="51"/>
      <c r="CL28" s="51"/>
      <c r="CM28" s="51">
        <v>113</v>
      </c>
      <c r="CN28" s="51">
        <v>141.9</v>
      </c>
      <c r="CO28" s="51">
        <v>153.30000000000001</v>
      </c>
      <c r="CP28" s="51">
        <v>129.69999999999999</v>
      </c>
      <c r="CQ28" s="51">
        <v>141.1</v>
      </c>
      <c r="CR28" s="51">
        <v>141.69999999999999</v>
      </c>
      <c r="CS28" s="51">
        <v>135.69999999999999</v>
      </c>
      <c r="CT28" s="51">
        <v>156.19999999999999</v>
      </c>
      <c r="CU28" s="51">
        <v>131.9</v>
      </c>
      <c r="CV28" s="51">
        <v>153.9</v>
      </c>
      <c r="CW28" s="51">
        <v>155.5</v>
      </c>
      <c r="CX28" s="51">
        <f>590.6-CW28-CV28-CU28</f>
        <v>149.30000000000004</v>
      </c>
      <c r="CY28" s="51">
        <v>93.2</v>
      </c>
      <c r="CZ28" s="51">
        <v>76.8</v>
      </c>
      <c r="DA28" s="51">
        <v>91.7</v>
      </c>
      <c r="DB28" s="51">
        <v>96.8</v>
      </c>
      <c r="DC28" s="51">
        <v>94.6</v>
      </c>
      <c r="DD28" s="51">
        <v>89.2</v>
      </c>
      <c r="DE28" s="51">
        <v>96.1</v>
      </c>
      <c r="DF28" s="51">
        <v>92.6</v>
      </c>
      <c r="DG28" s="94" t="s">
        <v>746</v>
      </c>
      <c r="DH28" s="94" t="s">
        <v>749</v>
      </c>
      <c r="DI28" s="94" t="s">
        <v>748</v>
      </c>
      <c r="DJ28" s="94" t="s">
        <v>752</v>
      </c>
      <c r="DK28" s="94">
        <v>86</v>
      </c>
      <c r="DL28" s="94" t="s">
        <v>748</v>
      </c>
      <c r="DM28" s="94" t="s">
        <v>747</v>
      </c>
      <c r="DN28" s="94" t="s">
        <v>750</v>
      </c>
      <c r="DO28" s="51">
        <v>88.9</v>
      </c>
      <c r="DP28" s="51">
        <v>76.599999999999994</v>
      </c>
      <c r="DQ28" s="51">
        <v>91.7</v>
      </c>
      <c r="DR28" s="51">
        <v>91.7</v>
      </c>
      <c r="DS28" s="51">
        <v>91.7</v>
      </c>
      <c r="DT28" s="51">
        <v>91.7</v>
      </c>
      <c r="DU28" s="51">
        <v>91.7</v>
      </c>
      <c r="DV28" s="51">
        <v>91.7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>
        <v>356.8</v>
      </c>
      <c r="FC28" s="51">
        <v>436.6</v>
      </c>
      <c r="FD28" s="51">
        <v>537.9</v>
      </c>
      <c r="FE28" s="51">
        <v>574.70000000000005</v>
      </c>
      <c r="FF28" s="49">
        <f t="shared" si="14"/>
        <v>590.6</v>
      </c>
      <c r="FG28" s="49">
        <f t="shared" si="10"/>
        <v>358.5</v>
      </c>
      <c r="FH28" s="49">
        <f t="shared" si="11"/>
        <v>372.5</v>
      </c>
      <c r="FI28" s="94" t="s">
        <v>753</v>
      </c>
      <c r="FJ28" s="94" t="s">
        <v>751</v>
      </c>
      <c r="FK28" s="49">
        <f>SUM(Model!DO28:DR28)</f>
        <v>348.9</v>
      </c>
      <c r="FL28" s="49">
        <f t="shared" ref="FL28:FQ28" si="45">+FK28*0.9</f>
        <v>314.01</v>
      </c>
      <c r="FM28" s="49">
        <f t="shared" si="45"/>
        <v>282.60899999999998</v>
      </c>
      <c r="FN28" s="49">
        <f t="shared" si="45"/>
        <v>254.34809999999999</v>
      </c>
      <c r="FO28" s="49">
        <f t="shared" si="45"/>
        <v>228.91328999999999</v>
      </c>
      <c r="FP28" s="49">
        <f t="shared" si="45"/>
        <v>206.021961</v>
      </c>
      <c r="FQ28" s="49">
        <f t="shared" si="45"/>
        <v>185.41976490000002</v>
      </c>
    </row>
    <row r="29" spans="1:173" x14ac:dyDescent="0.2">
      <c r="A29" s="102"/>
      <c r="B29" t="s">
        <v>62</v>
      </c>
      <c r="C29"/>
      <c r="D29"/>
      <c r="E29"/>
      <c r="F2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49.8</v>
      </c>
      <c r="CR29" s="51">
        <v>46.9</v>
      </c>
      <c r="CS29" s="51">
        <v>46.6</v>
      </c>
      <c r="CT29" s="51"/>
      <c r="CU29" s="51">
        <v>41.4</v>
      </c>
      <c r="CV29" s="51">
        <v>44.3</v>
      </c>
      <c r="CW29" s="51">
        <v>42.9</v>
      </c>
      <c r="CX29" s="51">
        <f>80.2+93.6-CW29-CV29-CU29</f>
        <v>45.20000000000001</v>
      </c>
      <c r="CY29" s="51">
        <v>41.1</v>
      </c>
      <c r="CZ29" s="51">
        <v>33.200000000000003</v>
      </c>
      <c r="DA29" s="51">
        <v>43.2</v>
      </c>
      <c r="DB29" s="51">
        <v>35.6</v>
      </c>
      <c r="DC29" s="51">
        <v>32.4</v>
      </c>
      <c r="DD29" s="51">
        <v>35</v>
      </c>
      <c r="DE29" s="51">
        <v>36</v>
      </c>
      <c r="DF29" s="51">
        <v>31.4</v>
      </c>
      <c r="DG29" s="51">
        <v>74.2</v>
      </c>
      <c r="DH29" s="51">
        <v>69.599999999999994</v>
      </c>
      <c r="DI29" s="51">
        <v>60.6</v>
      </c>
      <c r="DJ29" s="51">
        <f>85.5+189.6-DI29-DH29-DG29</f>
        <v>70.700000000000031</v>
      </c>
      <c r="DK29" s="51">
        <v>53.1</v>
      </c>
      <c r="DL29" s="51">
        <f>217.9-DL25</f>
        <v>111.4</v>
      </c>
      <c r="DM29" s="51">
        <v>118.2</v>
      </c>
      <c r="DN29" s="51">
        <f>371.1+134.4-SUM(DK29:DM29)</f>
        <v>222.8</v>
      </c>
      <c r="DO29" s="51">
        <v>100.5</v>
      </c>
      <c r="DP29" s="52">
        <v>90.8</v>
      </c>
      <c r="DQ29" s="51">
        <f>95.8-DQ25</f>
        <v>64.099999999999994</v>
      </c>
      <c r="DR29" s="51">
        <f t="shared" si="24"/>
        <v>222.8</v>
      </c>
      <c r="DS29" s="51">
        <f t="shared" si="24"/>
        <v>100.5</v>
      </c>
      <c r="DT29" s="51">
        <f t="shared" si="24"/>
        <v>90.8</v>
      </c>
      <c r="DU29" s="51">
        <f t="shared" si="24"/>
        <v>64.099999999999994</v>
      </c>
      <c r="DV29" s="51">
        <f t="shared" si="24"/>
        <v>222.8</v>
      </c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51"/>
      <c r="EO29" s="51">
        <v>168</v>
      </c>
      <c r="EP29" s="51">
        <v>98</v>
      </c>
      <c r="EQ29" s="51">
        <v>89</v>
      </c>
      <c r="ER29" s="51">
        <v>4</v>
      </c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>
        <f>98.9+115.7</f>
        <v>214.60000000000002</v>
      </c>
      <c r="FE29" s="51">
        <f>93.4+92.3</f>
        <v>185.7</v>
      </c>
      <c r="FF29" s="49">
        <f t="shared" si="14"/>
        <v>173.8</v>
      </c>
      <c r="FG29" s="49">
        <f t="shared" si="10"/>
        <v>153.10000000000002</v>
      </c>
      <c r="FH29" s="49">
        <f t="shared" si="11"/>
        <v>134.80000000000001</v>
      </c>
      <c r="FI29" s="49">
        <f t="shared" si="6"/>
        <v>275.10000000000002</v>
      </c>
      <c r="FJ29" s="49">
        <f t="shared" si="7"/>
        <v>505.5</v>
      </c>
      <c r="FK29" s="49">
        <f>SUM(Model!DO29:DR29)</f>
        <v>478.20000000000005</v>
      </c>
      <c r="FL29" s="49">
        <f t="shared" ref="FL29:FQ29" si="46">+FK29*0.9</f>
        <v>430.38000000000005</v>
      </c>
      <c r="FM29" s="49">
        <f t="shared" si="46"/>
        <v>387.34200000000004</v>
      </c>
      <c r="FN29" s="49">
        <f t="shared" si="46"/>
        <v>348.60780000000005</v>
      </c>
      <c r="FO29" s="49">
        <f t="shared" si="46"/>
        <v>313.74702000000008</v>
      </c>
      <c r="FP29" s="49">
        <f t="shared" si="46"/>
        <v>282.37231800000006</v>
      </c>
      <c r="FQ29" s="49">
        <f t="shared" si="46"/>
        <v>254.13508620000007</v>
      </c>
    </row>
    <row r="30" spans="1:173" x14ac:dyDescent="0.2">
      <c r="A30" s="102"/>
      <c r="B30" s="38" t="s">
        <v>377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>
        <v>6.3</v>
      </c>
      <c r="DA30" s="51">
        <v>11.6</v>
      </c>
      <c r="DB30" s="51">
        <v>18.7</v>
      </c>
      <c r="DC30" s="51">
        <v>16.8</v>
      </c>
      <c r="DD30" s="51">
        <v>25.7</v>
      </c>
      <c r="DE30" s="51">
        <v>33.6</v>
      </c>
      <c r="DF30" s="51">
        <v>38.6</v>
      </c>
      <c r="DG30" s="51">
        <v>41.8</v>
      </c>
      <c r="DH30" s="51">
        <v>45</v>
      </c>
      <c r="DI30" s="51">
        <v>40.5</v>
      </c>
      <c r="DJ30" s="51">
        <v>64.599999999999994</v>
      </c>
      <c r="DK30" s="51">
        <v>51.4</v>
      </c>
      <c r="DL30" s="51">
        <v>65.400000000000006</v>
      </c>
      <c r="DM30" s="51">
        <v>63.4</v>
      </c>
      <c r="DN30" s="51">
        <v>73.400000000000006</v>
      </c>
      <c r="DO30" s="51">
        <v>69.2</v>
      </c>
      <c r="DP30" s="51">
        <v>91.2</v>
      </c>
      <c r="DQ30" s="51">
        <v>114</v>
      </c>
      <c r="DR30" s="51">
        <f>+DQ30+5</f>
        <v>119</v>
      </c>
      <c r="DS30" s="51">
        <f>+DR30+5</f>
        <v>124</v>
      </c>
      <c r="DT30" s="51">
        <f>+DS30+5</f>
        <v>129</v>
      </c>
      <c r="DU30" s="51">
        <f>+DT30+5</f>
        <v>134</v>
      </c>
      <c r="DV30" s="51">
        <f>+DU30+5</f>
        <v>139</v>
      </c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49">
        <f t="shared" si="14"/>
        <v>0</v>
      </c>
      <c r="FG30" s="49">
        <f t="shared" si="10"/>
        <v>36.599999999999994</v>
      </c>
      <c r="FH30" s="49">
        <f t="shared" si="11"/>
        <v>114.69999999999999</v>
      </c>
      <c r="FI30" s="49">
        <f t="shared" si="6"/>
        <v>191.89999999999998</v>
      </c>
      <c r="FJ30" s="49">
        <f t="shared" si="7"/>
        <v>253.60000000000002</v>
      </c>
      <c r="FK30" s="49">
        <f>SUM(Model!DO30:DR30)</f>
        <v>393.4</v>
      </c>
      <c r="FL30" s="49">
        <f t="shared" ref="FL30:FP30" si="47">+FK30*1.3</f>
        <v>511.42</v>
      </c>
      <c r="FM30" s="49">
        <f t="shared" si="47"/>
        <v>664.846</v>
      </c>
      <c r="FN30" s="49">
        <f t="shared" si="47"/>
        <v>864.2998</v>
      </c>
      <c r="FO30" s="49">
        <f t="shared" si="47"/>
        <v>1123.5897400000001</v>
      </c>
      <c r="FP30" s="49">
        <f t="shared" si="47"/>
        <v>1460.6666620000003</v>
      </c>
      <c r="FQ30" s="49">
        <f>+FP30*0.1</f>
        <v>146.06666620000004</v>
      </c>
    </row>
    <row r="31" spans="1:173" x14ac:dyDescent="0.2">
      <c r="A31" s="102"/>
      <c r="B31" s="38" t="s">
        <v>454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>
        <v>6.2</v>
      </c>
      <c r="CX31" s="51">
        <v>0</v>
      </c>
      <c r="CY31" s="51">
        <v>17.8</v>
      </c>
      <c r="CZ31" s="51">
        <v>13.6</v>
      </c>
      <c r="DA31" s="51">
        <v>20.9</v>
      </c>
      <c r="DB31" s="51">
        <v>23.8</v>
      </c>
      <c r="DC31" s="51">
        <v>24.4</v>
      </c>
      <c r="DD31" s="51">
        <v>25.9</v>
      </c>
      <c r="DE31" s="51">
        <v>31.9</v>
      </c>
      <c r="DF31" s="51">
        <v>31</v>
      </c>
      <c r="DG31" s="51">
        <v>0</v>
      </c>
      <c r="DH31" s="51">
        <f>+DG31</f>
        <v>0</v>
      </c>
      <c r="DI31" s="51">
        <v>43</v>
      </c>
      <c r="DJ31" s="51">
        <f t="shared" ref="DJ31" si="48">+DI31</f>
        <v>43</v>
      </c>
      <c r="DK31" s="51">
        <v>31.4</v>
      </c>
      <c r="DL31" s="51">
        <f>613.9-579</f>
        <v>34.899999999999977</v>
      </c>
      <c r="DM31" s="51">
        <v>13.1</v>
      </c>
      <c r="DN31" s="51">
        <v>0</v>
      </c>
      <c r="DO31" s="51"/>
      <c r="DP31" s="94" t="s">
        <v>988</v>
      </c>
      <c r="DQ31" s="51">
        <v>13.4</v>
      </c>
      <c r="DR31" s="51"/>
      <c r="DS31" s="51"/>
      <c r="DT31" s="51"/>
      <c r="DU31" s="51"/>
      <c r="DV31" s="52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49">
        <f t="shared" si="14"/>
        <v>6.2</v>
      </c>
      <c r="FG31" s="49">
        <f t="shared" si="10"/>
        <v>76.099999999999994</v>
      </c>
      <c r="FH31" s="49">
        <f t="shared" si="11"/>
        <v>113.19999999999999</v>
      </c>
      <c r="FI31" s="49">
        <f t="shared" si="6"/>
        <v>86</v>
      </c>
      <c r="FJ31" s="49">
        <f t="shared" si="7"/>
        <v>79.399999999999977</v>
      </c>
      <c r="FK31" s="49">
        <f>SUM(Model!DO31:DR31)</f>
        <v>13.4</v>
      </c>
      <c r="FL31" s="49"/>
      <c r="FM31" s="49"/>
      <c r="FN31" s="49"/>
      <c r="FO31" s="49"/>
      <c r="FP31" s="49"/>
      <c r="FQ31" s="49"/>
    </row>
    <row r="32" spans="1:173" x14ac:dyDescent="0.2">
      <c r="A32" s="102"/>
      <c r="B32" s="38" t="s">
        <v>978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97"/>
      <c r="DI32" s="97"/>
      <c r="DJ32" s="97"/>
      <c r="DK32" s="97"/>
      <c r="DL32" s="51"/>
      <c r="DM32" s="51"/>
      <c r="DN32" s="51"/>
      <c r="DO32" s="51"/>
      <c r="DP32" s="51"/>
      <c r="DQ32" s="51">
        <v>1.4</v>
      </c>
      <c r="DR32" s="51">
        <v>100</v>
      </c>
      <c r="DS32" s="51">
        <f t="shared" ref="DS32:DV33" si="49">+DR32+25</f>
        <v>125</v>
      </c>
      <c r="DT32" s="51">
        <f t="shared" si="49"/>
        <v>150</v>
      </c>
      <c r="DU32" s="51">
        <f t="shared" si="49"/>
        <v>175</v>
      </c>
      <c r="DV32" s="51">
        <f t="shared" si="49"/>
        <v>200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49"/>
      <c r="FG32" s="49"/>
      <c r="FH32" s="49"/>
      <c r="FI32" s="49"/>
      <c r="FJ32" s="49"/>
      <c r="FK32" s="49">
        <f>SUM(Model!DO32:DR32)</f>
        <v>101.4</v>
      </c>
      <c r="FL32" s="49"/>
      <c r="FM32" s="49"/>
      <c r="FN32" s="49"/>
      <c r="FO32" s="49"/>
      <c r="FP32" s="49"/>
      <c r="FQ32" s="49"/>
    </row>
    <row r="33" spans="1:173" x14ac:dyDescent="0.2">
      <c r="A33" s="102"/>
      <c r="B33" s="38" t="s">
        <v>883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97"/>
      <c r="DI33" s="97"/>
      <c r="DJ33" s="97"/>
      <c r="DK33" s="97"/>
      <c r="DL33" s="51"/>
      <c r="DM33" s="51"/>
      <c r="DN33" s="51"/>
      <c r="DO33" s="51">
        <v>9.4</v>
      </c>
      <c r="DP33" s="51">
        <v>25.6</v>
      </c>
      <c r="DQ33" s="51">
        <v>40.5</v>
      </c>
      <c r="DR33" s="51">
        <v>75</v>
      </c>
      <c r="DS33" s="51">
        <f t="shared" si="49"/>
        <v>100</v>
      </c>
      <c r="DT33" s="51">
        <f t="shared" si="49"/>
        <v>125</v>
      </c>
      <c r="DU33" s="51">
        <f t="shared" si="49"/>
        <v>150</v>
      </c>
      <c r="DV33" s="51">
        <f t="shared" si="49"/>
        <v>175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49"/>
      <c r="FG33" s="49"/>
      <c r="FH33" s="49"/>
      <c r="FI33" s="49"/>
      <c r="FJ33" s="49"/>
      <c r="FK33" s="49">
        <f>SUM(Model!DO33:DR33)</f>
        <v>150.5</v>
      </c>
      <c r="FL33" s="49"/>
      <c r="FM33" s="49"/>
      <c r="FN33" s="49"/>
      <c r="FO33" s="49"/>
      <c r="FP33" s="49"/>
      <c r="FQ33" s="49"/>
    </row>
    <row r="34" spans="1:173" x14ac:dyDescent="0.2">
      <c r="A34" s="102"/>
      <c r="B34" s="38" t="s">
        <v>986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>
        <v>5.0999999999999996</v>
      </c>
      <c r="DL34" s="51"/>
      <c r="DM34" s="51"/>
      <c r="DN34" s="51"/>
      <c r="DO34" s="51">
        <v>50</v>
      </c>
      <c r="DP34" s="51">
        <v>92.4</v>
      </c>
      <c r="DQ34" s="51">
        <v>81.099999999999994</v>
      </c>
      <c r="DR34" s="51">
        <f>+DQ34+10</f>
        <v>91.1</v>
      </c>
      <c r="DS34" s="51">
        <f>+DR34+10</f>
        <v>101.1</v>
      </c>
      <c r="DT34" s="51">
        <f>+DS34+10</f>
        <v>111.1</v>
      </c>
      <c r="DU34" s="51">
        <f>+DT34+10</f>
        <v>121.1</v>
      </c>
      <c r="DV34" s="51">
        <f>+DU34+10</f>
        <v>131.1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</row>
    <row r="35" spans="1:173" x14ac:dyDescent="0.2">
      <c r="A35" s="102"/>
      <c r="B35" s="38" t="s">
        <v>987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>
        <v>28.4</v>
      </c>
      <c r="DL35" s="51"/>
      <c r="DM35" s="51"/>
      <c r="DN35" s="51"/>
      <c r="DO35" s="51">
        <v>30.9</v>
      </c>
      <c r="DP35" s="51">
        <v>28.7</v>
      </c>
      <c r="DQ35" s="51">
        <v>29.2</v>
      </c>
      <c r="DR35" s="51">
        <f>+DQ35</f>
        <v>29.2</v>
      </c>
      <c r="DS35" s="51">
        <f>+DR35</f>
        <v>29.2</v>
      </c>
      <c r="DT35" s="51">
        <f>+DS35</f>
        <v>29.2</v>
      </c>
      <c r="DU35" s="51">
        <f>+DT35</f>
        <v>29.2</v>
      </c>
      <c r="DV35" s="51">
        <f>+DU35</f>
        <v>29.2</v>
      </c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</row>
    <row r="36" spans="1:173" x14ac:dyDescent="0.2">
      <c r="A36" s="102"/>
      <c r="B36" s="38" t="s">
        <v>857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97"/>
      <c r="DH36" s="97"/>
      <c r="DI36" s="97"/>
      <c r="DJ36" s="97"/>
      <c r="DK36" s="97"/>
      <c r="DL36" s="51"/>
      <c r="DM36" s="51"/>
      <c r="DN36" s="51"/>
      <c r="DO36" s="51">
        <v>3.1</v>
      </c>
      <c r="DP36" s="51">
        <v>4.3</v>
      </c>
      <c r="DQ36" s="51">
        <v>14.9</v>
      </c>
      <c r="DR36" s="51">
        <f>+DQ36+5</f>
        <v>19.899999999999999</v>
      </c>
      <c r="DS36" s="51">
        <f>+DR36+5</f>
        <v>24.9</v>
      </c>
      <c r="DT36" s="51">
        <f>+DS36+5</f>
        <v>29.9</v>
      </c>
      <c r="DU36" s="51">
        <f>+DT36+5</f>
        <v>34.9</v>
      </c>
      <c r="DV36" s="51">
        <f>+DU36+5</f>
        <v>39.9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</row>
    <row r="37" spans="1:173" x14ac:dyDescent="0.2">
      <c r="A37" s="102"/>
      <c r="B37" s="38" t="s">
        <v>374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>
        <v>2.6</v>
      </c>
      <c r="CZ37" s="52">
        <v>8.1</v>
      </c>
      <c r="DA37" s="52">
        <v>10.6</v>
      </c>
      <c r="DB37" s="52">
        <v>13.2</v>
      </c>
      <c r="DC37" s="52">
        <v>16.899999999999999</v>
      </c>
      <c r="DD37" s="52">
        <v>7.9</v>
      </c>
      <c r="DE37" s="52">
        <v>4.9000000000000004</v>
      </c>
      <c r="DF37" s="52">
        <f>15.3+17.6-DE37-DD37-DC37</f>
        <v>3.2000000000000099</v>
      </c>
      <c r="DG37" s="52">
        <v>4.5</v>
      </c>
      <c r="DH37" s="52">
        <v>4</v>
      </c>
      <c r="DI37" s="52">
        <v>3.6</v>
      </c>
      <c r="DJ37" s="52">
        <f>20+12.1-DI37-DH37-DG37</f>
        <v>20</v>
      </c>
      <c r="DK37" s="52">
        <v>22</v>
      </c>
      <c r="DL37" s="52">
        <v>5.7</v>
      </c>
      <c r="DM37" s="52">
        <v>11.4</v>
      </c>
      <c r="DN37" s="52">
        <v>23.3</v>
      </c>
      <c r="DO37" s="52"/>
      <c r="DP37" s="52"/>
      <c r="DQ37" s="52"/>
      <c r="DR37" s="52"/>
      <c r="DS37" s="52"/>
      <c r="DT37" s="52"/>
      <c r="DU37" s="52"/>
      <c r="DV37" s="51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>
        <f t="shared" si="10"/>
        <v>34.5</v>
      </c>
      <c r="FH37" s="49">
        <f t="shared" si="11"/>
        <v>32.900000000000006</v>
      </c>
      <c r="FI37" s="49">
        <f t="shared" si="6"/>
        <v>32.1</v>
      </c>
      <c r="FJ37" s="49">
        <f t="shared" si="7"/>
        <v>62.400000000000006</v>
      </c>
      <c r="FK37" s="49">
        <f>SUM(Model!DO37:DR37)</f>
        <v>0</v>
      </c>
      <c r="FL37" s="49">
        <f>+FK37*0.95</f>
        <v>0</v>
      </c>
      <c r="FM37" s="49">
        <f t="shared" ref="FM37:FQ37" si="50">+FL37*0.95</f>
        <v>0</v>
      </c>
      <c r="FN37" s="49">
        <f t="shared" si="50"/>
        <v>0</v>
      </c>
      <c r="FO37" s="49">
        <f t="shared" si="50"/>
        <v>0</v>
      </c>
      <c r="FP37" s="49">
        <f t="shared" si="50"/>
        <v>0</v>
      </c>
      <c r="FQ37" s="49">
        <f t="shared" si="50"/>
        <v>0</v>
      </c>
    </row>
    <row r="38" spans="1:173" x14ac:dyDescent="0.2">
      <c r="A38" s="102"/>
      <c r="B38" s="38" t="s">
        <v>494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>
        <v>28</v>
      </c>
      <c r="CZ38" s="52">
        <v>22.7</v>
      </c>
      <c r="DA38" s="52">
        <v>24.8</v>
      </c>
      <c r="DB38" s="52">
        <v>22.3</v>
      </c>
      <c r="DC38" s="52">
        <v>21.8</v>
      </c>
      <c r="DD38" s="52">
        <v>9.3000000000000007</v>
      </c>
      <c r="DE38" s="52">
        <v>10.4</v>
      </c>
      <c r="DF38" s="52">
        <v>8.8000000000000007</v>
      </c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>
        <f t="shared" si="10"/>
        <v>97.8</v>
      </c>
      <c r="FH38" s="49">
        <f t="shared" si="11"/>
        <v>50.3</v>
      </c>
      <c r="FI38" s="49"/>
      <c r="FJ38" s="49"/>
      <c r="FK38" s="49"/>
      <c r="FL38" s="49"/>
      <c r="FM38" s="49"/>
      <c r="FN38" s="49"/>
      <c r="FO38" s="49"/>
      <c r="FP38" s="49"/>
      <c r="FQ38" s="49"/>
    </row>
    <row r="39" spans="1:173" x14ac:dyDescent="0.2">
      <c r="A39" s="102"/>
      <c r="B39" s="38" t="s">
        <v>455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>
        <v>1.4</v>
      </c>
      <c r="CZ39" s="52">
        <v>2.9</v>
      </c>
      <c r="DA39" s="52">
        <v>4</v>
      </c>
      <c r="DB39" s="52">
        <v>4.4000000000000004</v>
      </c>
      <c r="DC39" s="52">
        <v>2.5</v>
      </c>
      <c r="DD39" s="52">
        <v>9.4</v>
      </c>
      <c r="DE39" s="52">
        <v>5.3</v>
      </c>
      <c r="DF39" s="52">
        <v>6.9</v>
      </c>
      <c r="DG39" s="52"/>
      <c r="DH39" s="52"/>
      <c r="DI39" s="52"/>
      <c r="DJ39" s="52"/>
      <c r="DK39" s="52">
        <v>10.1</v>
      </c>
      <c r="DL39" s="52"/>
      <c r="DM39" s="52"/>
      <c r="DN39" s="52"/>
      <c r="DO39" s="52">
        <v>8.5</v>
      </c>
      <c r="DP39" s="52">
        <v>6.7</v>
      </c>
      <c r="DQ39" s="52">
        <v>6.9</v>
      </c>
      <c r="DR39" s="52">
        <f>+DQ39</f>
        <v>6.9</v>
      </c>
      <c r="DS39" s="52">
        <f>+DR39</f>
        <v>6.9</v>
      </c>
      <c r="DT39" s="52">
        <f>+DS39</f>
        <v>6.9</v>
      </c>
      <c r="DU39" s="52">
        <f>+DT39</f>
        <v>6.9</v>
      </c>
      <c r="DV39" s="52">
        <f>+DU39</f>
        <v>6.9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>
        <f t="shared" si="10"/>
        <v>12.700000000000001</v>
      </c>
      <c r="FH39" s="49">
        <f t="shared" si="11"/>
        <v>24.1</v>
      </c>
      <c r="FI39" s="49"/>
      <c r="FJ39" s="49"/>
      <c r="FK39" s="49"/>
      <c r="FL39" s="49"/>
      <c r="FM39" s="49"/>
      <c r="FN39" s="49"/>
      <c r="FO39" s="49"/>
      <c r="FP39" s="49"/>
      <c r="FQ39" s="49"/>
    </row>
    <row r="40" spans="1:173" x14ac:dyDescent="0.2">
      <c r="A40" s="102"/>
      <c r="B40" t="s">
        <v>15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>
        <v>55</v>
      </c>
      <c r="AJ40" s="51">
        <v>74.8</v>
      </c>
      <c r="AK40" s="51">
        <v>108</v>
      </c>
      <c r="AL40" s="51">
        <v>132.6</v>
      </c>
      <c r="AM40" s="51">
        <v>141.1</v>
      </c>
      <c r="AN40" s="51">
        <v>178.6</v>
      </c>
      <c r="AO40" s="51">
        <v>163.6</v>
      </c>
      <c r="AP40" s="51">
        <v>183.4</v>
      </c>
      <c r="AQ40" s="51">
        <v>119.8</v>
      </c>
      <c r="AR40" s="51">
        <v>123.5</v>
      </c>
      <c r="AS40" s="51">
        <v>140.9</v>
      </c>
      <c r="AT40" s="51">
        <v>168</v>
      </c>
      <c r="AU40" s="51">
        <v>152</v>
      </c>
      <c r="AV40" s="51">
        <v>144</v>
      </c>
      <c r="AW40" s="51">
        <v>126</v>
      </c>
      <c r="AX40" s="51">
        <v>156.30000000000001</v>
      </c>
      <c r="AY40" s="51">
        <v>139.9</v>
      </c>
      <c r="AZ40" s="51">
        <v>142.30000000000001</v>
      </c>
      <c r="BA40" s="51">
        <v>130.5</v>
      </c>
      <c r="BB40" s="51">
        <v>156.80000000000001</v>
      </c>
      <c r="BC40" s="51">
        <v>148</v>
      </c>
      <c r="BD40" s="51">
        <v>135.19999999999999</v>
      </c>
      <c r="BE40" s="51">
        <v>149.5</v>
      </c>
      <c r="BF40" s="51">
        <v>146.80000000000001</v>
      </c>
      <c r="BG40" s="51">
        <v>158.9</v>
      </c>
      <c r="BH40" s="51">
        <v>142.80000000000001</v>
      </c>
      <c r="BI40" s="51">
        <v>145.5</v>
      </c>
      <c r="BJ40" s="51">
        <v>162.19999999999999</v>
      </c>
      <c r="BK40" s="51">
        <v>146.4</v>
      </c>
      <c r="BL40" s="51">
        <v>147.1</v>
      </c>
      <c r="BM40" s="51">
        <v>127.9</v>
      </c>
      <c r="BN40" s="51">
        <v>155.4</v>
      </c>
      <c r="BO40" s="51">
        <v>138.69999999999999</v>
      </c>
      <c r="BP40" s="51">
        <v>157.69999999999999</v>
      </c>
      <c r="BQ40" s="51">
        <v>153.19999999999999</v>
      </c>
      <c r="BR40" s="51">
        <v>170.6</v>
      </c>
      <c r="BS40" s="51">
        <v>158.9</v>
      </c>
      <c r="BT40" s="51">
        <v>153</v>
      </c>
      <c r="BU40" s="51">
        <v>145.6</v>
      </c>
      <c r="BV40" s="51">
        <v>163.9</v>
      </c>
      <c r="BW40" s="51">
        <v>166.7</v>
      </c>
      <c r="BX40" s="51">
        <v>168.3</v>
      </c>
      <c r="BY40" s="51">
        <v>173.2</v>
      </c>
      <c r="BZ40" s="51">
        <v>201.1</v>
      </c>
      <c r="CA40" s="51">
        <v>154.4</v>
      </c>
      <c r="CB40" s="51">
        <v>197.4</v>
      </c>
      <c r="CC40" s="51">
        <v>191.9</v>
      </c>
      <c r="CD40" s="51">
        <v>194.9</v>
      </c>
      <c r="CE40" s="51">
        <v>173.7</v>
      </c>
      <c r="CF40" s="51">
        <v>191.8</v>
      </c>
      <c r="CG40" s="51">
        <v>196.9</v>
      </c>
      <c r="CH40" s="51">
        <v>221.6</v>
      </c>
      <c r="CI40" s="51">
        <v>188.1</v>
      </c>
      <c r="CJ40" s="51">
        <v>224.6</v>
      </c>
      <c r="CK40" s="51">
        <v>198.8</v>
      </c>
      <c r="CL40" s="51">
        <v>243.2</v>
      </c>
      <c r="CM40" s="51">
        <v>196.2</v>
      </c>
      <c r="CN40" s="51">
        <v>186.6</v>
      </c>
      <c r="CO40" s="51">
        <v>137.1</v>
      </c>
      <c r="CP40" s="51">
        <v>98.3</v>
      </c>
      <c r="CQ40" s="51">
        <v>130.69999999999999</v>
      </c>
      <c r="CR40" s="51">
        <v>114.2</v>
      </c>
      <c r="CS40" s="51">
        <v>98.7</v>
      </c>
      <c r="CT40" s="51">
        <v>107.2</v>
      </c>
      <c r="CU40" s="51">
        <v>66.2</v>
      </c>
      <c r="CV40" s="51">
        <v>82.6</v>
      </c>
      <c r="CW40" s="51">
        <v>52.1</v>
      </c>
      <c r="CX40" s="51">
        <f>242.5-CW40-CV40-CU40</f>
        <v>41.600000000000009</v>
      </c>
      <c r="CY40" s="51">
        <v>38.200000000000003</v>
      </c>
      <c r="CZ40" s="51">
        <v>22.5</v>
      </c>
      <c r="DA40" s="51">
        <v>32.700000000000003</v>
      </c>
      <c r="DB40" s="51">
        <v>35.1</v>
      </c>
      <c r="DC40" s="51">
        <v>38.6</v>
      </c>
      <c r="DD40" s="51">
        <v>40.5</v>
      </c>
      <c r="DE40" s="51">
        <v>35.200000000000003</v>
      </c>
      <c r="DF40" s="51">
        <v>36.1</v>
      </c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>
        <v>3</v>
      </c>
      <c r="EP40" s="51">
        <v>370</v>
      </c>
      <c r="EQ40" s="51">
        <v>666</v>
      </c>
      <c r="ER40" s="51">
        <v>552</v>
      </c>
      <c r="ES40" s="51">
        <v>594</v>
      </c>
      <c r="ET40" s="51">
        <f>SUM(AY40:BB40)</f>
        <v>569.5</v>
      </c>
      <c r="EU40" s="51">
        <f>SUM(BC40:BF40)</f>
        <v>579.5</v>
      </c>
      <c r="EV40" s="51">
        <f>SUM(BG40:BJ40)</f>
        <v>609.40000000000009</v>
      </c>
      <c r="EW40" s="51">
        <f>SUM(BK40:BN40)</f>
        <v>576.79999999999995</v>
      </c>
      <c r="EX40" s="51">
        <f>SUM(BO40:BR40)</f>
        <v>620.19999999999993</v>
      </c>
      <c r="EY40" s="51">
        <f>SUM(BS40:BV40)</f>
        <v>621.4</v>
      </c>
      <c r="EZ40" s="51">
        <v>709.2</v>
      </c>
      <c r="FA40" s="51">
        <v>738.5</v>
      </c>
      <c r="FB40" s="51">
        <v>784</v>
      </c>
      <c r="FC40" s="51">
        <v>854.7</v>
      </c>
      <c r="FD40" s="51">
        <f>284.9+333.3</f>
        <v>618.20000000000005</v>
      </c>
      <c r="FE40" s="51">
        <v>450.8</v>
      </c>
      <c r="FF40" s="49">
        <f t="shared" si="14"/>
        <v>242.5</v>
      </c>
      <c r="FG40" s="49">
        <f t="shared" si="10"/>
        <v>128.5</v>
      </c>
      <c r="FH40" s="49">
        <f t="shared" si="11"/>
        <v>150.4</v>
      </c>
      <c r="FI40" s="49"/>
      <c r="FJ40" s="49"/>
      <c r="FK40" s="49"/>
      <c r="FL40" s="49"/>
      <c r="FM40" s="49"/>
      <c r="FN40" s="49"/>
      <c r="FO40" s="49"/>
      <c r="FP40" s="49"/>
      <c r="FQ40" s="49"/>
    </row>
    <row r="41" spans="1:173" x14ac:dyDescent="0.2">
      <c r="A41" s="102"/>
      <c r="B41" t="s">
        <v>69</v>
      </c>
      <c r="C41">
        <v>50</v>
      </c>
      <c r="D41">
        <v>60</v>
      </c>
      <c r="E41">
        <v>70</v>
      </c>
      <c r="F41">
        <f>269-E41-D41-C41</f>
        <v>89</v>
      </c>
      <c r="G41" s="51"/>
      <c r="H41" s="51">
        <v>67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>
        <v>102</v>
      </c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>
        <v>88.7</v>
      </c>
      <c r="CZ41" s="51">
        <v>46.2</v>
      </c>
      <c r="DA41" s="51">
        <v>50.7</v>
      </c>
      <c r="DB41" s="51">
        <v>110.8</v>
      </c>
      <c r="DC41" s="51">
        <v>64.900000000000006</v>
      </c>
      <c r="DD41" s="51">
        <v>22.4</v>
      </c>
      <c r="DE41" s="51">
        <v>50.2</v>
      </c>
      <c r="DF41" s="51">
        <v>51.4</v>
      </c>
      <c r="DG41" s="51"/>
      <c r="DH41" s="51"/>
      <c r="DI41" s="51"/>
      <c r="DJ41" s="51"/>
      <c r="DK41" s="51">
        <v>32.1</v>
      </c>
      <c r="DL41" s="51"/>
      <c r="DM41" s="51"/>
      <c r="DN41" s="51"/>
      <c r="DO41" s="51">
        <v>19.100000000000001</v>
      </c>
      <c r="DP41" s="51">
        <v>19.399999999999999</v>
      </c>
      <c r="DQ41" s="51">
        <v>22.5</v>
      </c>
      <c r="DR41" s="51">
        <f>+DQ41</f>
        <v>22.5</v>
      </c>
      <c r="DS41" s="51">
        <f>+DR41</f>
        <v>22.5</v>
      </c>
      <c r="DT41" s="51">
        <f>+DS41</f>
        <v>22.5</v>
      </c>
      <c r="DU41" s="51">
        <f>+DT41</f>
        <v>22.5</v>
      </c>
      <c r="DV41" s="51">
        <f>+DU41</f>
        <v>22.5</v>
      </c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>
        <v>269</v>
      </c>
      <c r="EI41" s="49"/>
      <c r="EJ41" s="49"/>
      <c r="EK41" s="49"/>
      <c r="EL41" s="49">
        <v>300</v>
      </c>
      <c r="EM41" s="49">
        <v>300.7</v>
      </c>
      <c r="EN41" s="51"/>
      <c r="EO41" s="51">
        <v>329</v>
      </c>
      <c r="EP41" s="51">
        <v>371</v>
      </c>
      <c r="EQ41" s="51">
        <v>430</v>
      </c>
      <c r="ER41" s="51">
        <v>414</v>
      </c>
      <c r="ES41" s="51">
        <v>413</v>
      </c>
      <c r="ET41" s="51">
        <f>ES41*1.05</f>
        <v>433.65000000000003</v>
      </c>
      <c r="EU41" s="51">
        <f>ET41*1.05</f>
        <v>455.33250000000004</v>
      </c>
      <c r="EV41" s="51">
        <f>EU41*1.05</f>
        <v>478.09912500000007</v>
      </c>
      <c r="EW41" s="51"/>
      <c r="EX41" s="51"/>
      <c r="EY41" s="51"/>
      <c r="EZ41" s="51"/>
      <c r="FA41" s="51"/>
      <c r="FB41" s="51"/>
      <c r="FC41" s="51"/>
      <c r="FD41" s="51"/>
      <c r="FE41" s="53"/>
      <c r="FF41" s="49"/>
      <c r="FG41" s="49">
        <f t="shared" ref="FG41" si="51">SUM(CY41:DB41)</f>
        <v>296.40000000000003</v>
      </c>
      <c r="FH41" s="49">
        <f>SUM(DC41:DF41)</f>
        <v>188.9</v>
      </c>
      <c r="FI41" s="49"/>
      <c r="FJ41" s="49"/>
      <c r="FK41" s="49"/>
    </row>
    <row r="42" spans="1:173" x14ac:dyDescent="0.2">
      <c r="A42" s="102"/>
      <c r="B42" s="38" t="s">
        <v>508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>
        <v>0.6</v>
      </c>
      <c r="CI42" s="51">
        <v>1.7</v>
      </c>
      <c r="CJ42" s="51">
        <v>4</v>
      </c>
      <c r="CK42" s="51">
        <v>5.3</v>
      </c>
      <c r="CL42" s="51">
        <v>3.8</v>
      </c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3" x14ac:dyDescent="0.2">
      <c r="A43" s="102"/>
      <c r="B43" s="38" t="s">
        <v>507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>
        <v>11.9</v>
      </c>
      <c r="CM43" s="51">
        <v>42.1</v>
      </c>
      <c r="CN43" s="51">
        <v>47.4</v>
      </c>
      <c r="CO43" s="51">
        <v>54.5</v>
      </c>
      <c r="CP43" s="51">
        <v>59</v>
      </c>
      <c r="CQ43" s="51">
        <v>64.400000000000006</v>
      </c>
      <c r="CR43" s="51">
        <v>79.900000000000006</v>
      </c>
      <c r="CS43" s="51">
        <v>76.900000000000006</v>
      </c>
      <c r="CT43" s="51">
        <v>83.5</v>
      </c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</row>
    <row r="44" spans="1:173" x14ac:dyDescent="0.2">
      <c r="A44" s="102"/>
      <c r="B44" t="s">
        <v>79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>
        <v>251.4</v>
      </c>
      <c r="AQ44" s="51">
        <f>AU44/1.01</f>
        <v>196.33663366336634</v>
      </c>
      <c r="AR44" s="51">
        <v>201</v>
      </c>
      <c r="AS44" s="51">
        <v>216</v>
      </c>
      <c r="AT44" s="51">
        <v>251.4</v>
      </c>
      <c r="AU44" s="51">
        <v>198.3</v>
      </c>
      <c r="AV44" s="51">
        <v>201</v>
      </c>
      <c r="AW44" s="51">
        <v>216</v>
      </c>
      <c r="AX44" s="51">
        <v>236.6</v>
      </c>
      <c r="AY44" s="51">
        <v>210</v>
      </c>
      <c r="AZ44" s="51">
        <v>214.7</v>
      </c>
      <c r="BA44" s="51">
        <v>236.8</v>
      </c>
      <c r="BB44" s="51">
        <v>329.4</v>
      </c>
      <c r="BC44" s="51"/>
      <c r="BD44" s="51">
        <v>254.5</v>
      </c>
      <c r="BE44" s="51">
        <v>277.10000000000002</v>
      </c>
      <c r="BF44" s="51">
        <v>326.39999999999998</v>
      </c>
      <c r="BG44" s="51">
        <v>264.10000000000002</v>
      </c>
      <c r="BH44" s="51">
        <v>275.39999999999998</v>
      </c>
      <c r="BI44" s="51">
        <v>314.60000000000002</v>
      </c>
      <c r="BJ44" s="51">
        <v>353.1</v>
      </c>
      <c r="BK44" s="51">
        <v>289.60000000000002</v>
      </c>
      <c r="BL44" s="51">
        <v>324.2</v>
      </c>
      <c r="BM44" s="51">
        <v>353.2</v>
      </c>
      <c r="BN44" s="51">
        <v>424.3</v>
      </c>
      <c r="BO44" s="51">
        <v>369.8</v>
      </c>
      <c r="BP44" s="51">
        <v>389.5</v>
      </c>
      <c r="BQ44" s="51">
        <v>451</v>
      </c>
      <c r="BR44" s="51">
        <v>468.2</v>
      </c>
      <c r="BS44" s="51">
        <v>490.7</v>
      </c>
      <c r="BT44" s="51">
        <v>512.20000000000005</v>
      </c>
      <c r="BU44" s="51">
        <v>479.4</v>
      </c>
      <c r="BV44" s="51">
        <v>554.1</v>
      </c>
      <c r="BW44" s="51">
        <v>499.1</v>
      </c>
      <c r="BX44" s="51">
        <v>543.5</v>
      </c>
      <c r="BY44" s="51">
        <v>530.29999999999995</v>
      </c>
      <c r="BZ44" s="51">
        <v>578.4</v>
      </c>
      <c r="CA44" s="51">
        <v>527.4</v>
      </c>
      <c r="CB44" s="51">
        <v>601.20000000000005</v>
      </c>
      <c r="CC44" s="51">
        <v>584.70000000000005</v>
      </c>
      <c r="CD44" s="51">
        <v>633.29999999999995</v>
      </c>
      <c r="CE44" s="51">
        <v>749.8</v>
      </c>
      <c r="CF44" s="51">
        <v>840.8</v>
      </c>
      <c r="CG44" s="51">
        <v>778.8</v>
      </c>
      <c r="CH44" s="51">
        <v>811.7</v>
      </c>
      <c r="CI44" s="51">
        <v>754.6</v>
      </c>
      <c r="CJ44" s="51">
        <v>859.8</v>
      </c>
      <c r="CK44" s="51">
        <v>706.2</v>
      </c>
      <c r="CL44" s="51">
        <v>837.6</v>
      </c>
      <c r="CM44" s="51">
        <v>769.4</v>
      </c>
      <c r="CN44" s="51">
        <v>784.8</v>
      </c>
      <c r="CO44" s="51">
        <v>740.6</v>
      </c>
      <c r="CP44" s="51">
        <v>790.9</v>
      </c>
      <c r="CQ44" s="94" t="s">
        <v>754</v>
      </c>
      <c r="CR44" s="51">
        <v>792.1</v>
      </c>
      <c r="CS44" s="51">
        <v>772.7</v>
      </c>
      <c r="CT44" s="51">
        <v>816.5</v>
      </c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>
        <v>464</v>
      </c>
      <c r="EH44" s="49">
        <v>512.4</v>
      </c>
      <c r="EI44" s="49"/>
      <c r="EJ44" s="49"/>
      <c r="EK44" s="49">
        <v>614.4</v>
      </c>
      <c r="EL44" s="49">
        <v>627.79999999999995</v>
      </c>
      <c r="EM44" s="49">
        <v>668.5</v>
      </c>
      <c r="EN44" s="51"/>
      <c r="EO44" s="51">
        <v>693</v>
      </c>
      <c r="EP44" s="51">
        <v>727</v>
      </c>
      <c r="EQ44" s="51">
        <v>798</v>
      </c>
      <c r="ER44" s="51">
        <v>864</v>
      </c>
      <c r="ES44" s="51">
        <v>882</v>
      </c>
      <c r="ET44" s="51">
        <f>ES44*1.05</f>
        <v>926.1</v>
      </c>
      <c r="EU44" s="51">
        <f t="shared" si="19"/>
        <v>858</v>
      </c>
      <c r="EV44" s="51">
        <f t="shared" si="20"/>
        <v>1207.2</v>
      </c>
      <c r="EW44" s="51">
        <f t="shared" si="21"/>
        <v>1391.3</v>
      </c>
      <c r="EX44" s="51">
        <f t="shared" si="22"/>
        <v>1678.5</v>
      </c>
      <c r="EY44" s="51">
        <f t="shared" ref="EY44:EY48" si="52">SUM(BS44:BV44)</f>
        <v>2036.4</v>
      </c>
      <c r="EZ44" s="51">
        <v>2151.5</v>
      </c>
      <c r="FA44" s="51">
        <v>2346.6</v>
      </c>
      <c r="FB44" s="51">
        <v>3181</v>
      </c>
      <c r="FC44" s="51">
        <v>3158.2</v>
      </c>
      <c r="FD44" s="51"/>
      <c r="FE44" s="51"/>
      <c r="FF44" s="49"/>
      <c r="FG44" s="49"/>
      <c r="FH44" s="49"/>
      <c r="FI44" s="49"/>
      <c r="FJ44" s="49"/>
      <c r="FK44" s="49"/>
    </row>
    <row r="45" spans="1:173" s="38" customFormat="1" x14ac:dyDescent="0.2">
      <c r="A45" s="106"/>
      <c r="B45" s="38" t="s">
        <v>261</v>
      </c>
      <c r="C45"/>
      <c r="D45"/>
      <c r="E45"/>
      <c r="F4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>
        <v>22.6</v>
      </c>
      <c r="BJ45" s="52">
        <v>4</v>
      </c>
      <c r="BK45" s="52">
        <v>8.8000000000000007</v>
      </c>
      <c r="BL45" s="52">
        <v>22.9</v>
      </c>
      <c r="BM45" s="52">
        <v>36.299999999999997</v>
      </c>
      <c r="BN45" s="52">
        <v>47</v>
      </c>
      <c r="BO45" s="52">
        <v>56.3</v>
      </c>
      <c r="BP45" s="52">
        <v>71.7</v>
      </c>
      <c r="BQ45" s="52">
        <v>83.5</v>
      </c>
      <c r="BR45" s="52">
        <v>90.9</v>
      </c>
      <c r="BS45" s="52">
        <v>115.8</v>
      </c>
      <c r="BT45" s="52">
        <v>111</v>
      </c>
      <c r="BU45" s="52">
        <v>109.7</v>
      </c>
      <c r="BV45" s="52">
        <v>120.6</v>
      </c>
      <c r="BW45" s="52">
        <v>115.9</v>
      </c>
      <c r="BX45" s="52">
        <v>137.4</v>
      </c>
      <c r="BY45" s="52">
        <v>124.9</v>
      </c>
      <c r="BZ45" s="52">
        <v>130.6</v>
      </c>
      <c r="CA45" s="52">
        <v>119.3</v>
      </c>
      <c r="CB45" s="52">
        <v>133.6</v>
      </c>
      <c r="CC45" s="52">
        <v>131.5</v>
      </c>
      <c r="CD45" s="52">
        <v>137.80000000000001</v>
      </c>
      <c r="CE45" s="52">
        <v>121.8</v>
      </c>
      <c r="CF45" s="52">
        <v>128.80000000000001</v>
      </c>
      <c r="CG45" s="52">
        <v>132.1</v>
      </c>
      <c r="CH45" s="52">
        <v>140.30000000000001</v>
      </c>
      <c r="CI45" s="52">
        <v>131.5</v>
      </c>
      <c r="CJ45" s="52">
        <v>135.1</v>
      </c>
      <c r="CK45" s="52">
        <v>127.7</v>
      </c>
      <c r="CL45" s="52">
        <v>140.9</v>
      </c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2"/>
      <c r="EO45" s="52"/>
      <c r="EP45" s="52"/>
      <c r="EQ45" s="52"/>
      <c r="ER45" s="52"/>
      <c r="ES45" s="52"/>
      <c r="ET45" s="52"/>
      <c r="EU45" s="52"/>
      <c r="EV45" s="52">
        <f>SUM(BG45:BJ45)</f>
        <v>26.6</v>
      </c>
      <c r="EW45" s="52">
        <f>SUM(BK45:BN45)</f>
        <v>115</v>
      </c>
      <c r="EX45" s="51">
        <f t="shared" si="22"/>
        <v>302.39999999999998</v>
      </c>
      <c r="EY45" s="51">
        <f t="shared" si="52"/>
        <v>457.1</v>
      </c>
      <c r="EZ45" s="52">
        <v>508.7</v>
      </c>
      <c r="FA45" s="52">
        <v>522.20000000000005</v>
      </c>
      <c r="FB45" s="52">
        <v>523</v>
      </c>
      <c r="FC45" s="52">
        <v>535.20000000000005</v>
      </c>
      <c r="FD45" s="52"/>
      <c r="FE45" s="52"/>
      <c r="FF45" s="49"/>
      <c r="FG45" s="49"/>
      <c r="FH45" s="49"/>
      <c r="FI45" s="49"/>
      <c r="FJ45" s="49"/>
      <c r="FK45" s="49"/>
    </row>
    <row r="46" spans="1:173" x14ac:dyDescent="0.2">
      <c r="A46" s="102"/>
      <c r="B46" t="s">
        <v>55</v>
      </c>
      <c r="C46"/>
      <c r="D46"/>
      <c r="E46"/>
      <c r="F46"/>
      <c r="G46" s="97"/>
      <c r="H46" s="51">
        <v>12</v>
      </c>
      <c r="I46" s="51">
        <v>22</v>
      </c>
      <c r="J46" s="51">
        <f>62-I46-H46</f>
        <v>28</v>
      </c>
      <c r="K46" s="51">
        <v>33.1</v>
      </c>
      <c r="L46" s="51">
        <v>41</v>
      </c>
      <c r="M46" s="51">
        <v>47.3</v>
      </c>
      <c r="N46" s="51">
        <f>174.8-M46-L46-K46</f>
        <v>53.400000000000013</v>
      </c>
      <c r="O46" s="51">
        <v>57</v>
      </c>
      <c r="P46" s="51">
        <v>85</v>
      </c>
      <c r="Q46" s="51">
        <v>69</v>
      </c>
      <c r="R46" s="51">
        <f>306.8-Q46-P46-O46</f>
        <v>95.800000000000011</v>
      </c>
      <c r="S46" s="51">
        <v>114.4</v>
      </c>
      <c r="T46" s="51">
        <v>86.5</v>
      </c>
      <c r="U46" s="51">
        <v>119.2</v>
      </c>
      <c r="V46" s="51">
        <f>455.8-U46-T46-S46</f>
        <v>135.70000000000002</v>
      </c>
      <c r="W46" s="51">
        <v>136</v>
      </c>
      <c r="X46" s="51">
        <v>107.9</v>
      </c>
      <c r="Y46" s="51">
        <v>155.1</v>
      </c>
      <c r="Z46" s="51">
        <f>559.3-Y46-X46-W46</f>
        <v>160.29999999999995</v>
      </c>
      <c r="AA46" s="51">
        <v>174</v>
      </c>
      <c r="AB46" s="51">
        <v>160.9</v>
      </c>
      <c r="AC46" s="51">
        <v>187</v>
      </c>
      <c r="AD46" s="51">
        <f>722.9-AC46-AB46-AA46</f>
        <v>201</v>
      </c>
      <c r="AE46" s="51">
        <v>197.5</v>
      </c>
      <c r="AF46" s="51">
        <v>219</v>
      </c>
      <c r="AG46" s="51">
        <v>197.2</v>
      </c>
      <c r="AH46" s="51">
        <f>874.6-AG46-AF46-AE46</f>
        <v>260.90000000000009</v>
      </c>
      <c r="AI46" s="51">
        <v>233.9</v>
      </c>
      <c r="AJ46" s="51">
        <v>254.6</v>
      </c>
      <c r="AK46" s="51">
        <v>250.6</v>
      </c>
      <c r="AL46" s="51">
        <v>282.60000000000002</v>
      </c>
      <c r="AM46" s="51">
        <v>279</v>
      </c>
      <c r="AN46" s="51">
        <v>293.3</v>
      </c>
      <c r="AO46" s="51">
        <v>312.7</v>
      </c>
      <c r="AP46" s="51">
        <v>329.5</v>
      </c>
      <c r="AQ46" s="51">
        <v>304.60000000000002</v>
      </c>
      <c r="AR46" s="51">
        <v>343</v>
      </c>
      <c r="AS46" s="51">
        <v>334.3</v>
      </c>
      <c r="AT46" s="51">
        <v>352.6</v>
      </c>
      <c r="AU46" s="51">
        <v>339</v>
      </c>
      <c r="AV46" s="51">
        <v>344</v>
      </c>
      <c r="AW46" s="51">
        <v>355</v>
      </c>
      <c r="AX46" s="51">
        <v>371.3</v>
      </c>
      <c r="AY46" s="51">
        <v>376.9</v>
      </c>
      <c r="AZ46" s="51">
        <v>395.6</v>
      </c>
      <c r="BA46" s="51">
        <v>394.4</v>
      </c>
      <c r="BB46" s="51">
        <v>425.5</v>
      </c>
      <c r="BC46" s="51">
        <v>426.2</v>
      </c>
      <c r="BD46" s="51">
        <v>440.1</v>
      </c>
      <c r="BE46" s="51">
        <v>440.2</v>
      </c>
      <c r="BF46" s="51">
        <v>413.3</v>
      </c>
      <c r="BG46" s="51">
        <v>367.8</v>
      </c>
      <c r="BH46" s="51">
        <v>353.2</v>
      </c>
      <c r="BI46" s="51">
        <v>331.8</v>
      </c>
      <c r="BJ46" s="51">
        <v>310.5</v>
      </c>
      <c r="BK46" s="51">
        <v>287.8</v>
      </c>
      <c r="BL46" s="51">
        <v>293.39999999999998</v>
      </c>
      <c r="BM46" s="51">
        <v>324.60000000000002</v>
      </c>
      <c r="BN46" s="51">
        <v>243.6</v>
      </c>
      <c r="BO46" s="51">
        <v>156.1</v>
      </c>
      <c r="BP46" s="51">
        <v>112.4</v>
      </c>
      <c r="BQ46" s="51">
        <v>91</v>
      </c>
      <c r="BR46" s="51">
        <v>92.6</v>
      </c>
      <c r="BS46" s="51">
        <v>0</v>
      </c>
      <c r="BT46" s="51">
        <v>0</v>
      </c>
      <c r="BU46" s="51">
        <v>0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>
        <v>306.8</v>
      </c>
      <c r="EL46" s="49">
        <v>455.8</v>
      </c>
      <c r="EM46" s="49">
        <v>559.29999999999995</v>
      </c>
      <c r="EN46" s="51">
        <v>722.9</v>
      </c>
      <c r="EO46" s="51">
        <v>875</v>
      </c>
      <c r="EP46" s="51">
        <v>1022</v>
      </c>
      <c r="EQ46" s="51">
        <v>1214</v>
      </c>
      <c r="ER46" s="51">
        <v>1335</v>
      </c>
      <c r="ES46" s="51">
        <f>SUM(AU46:AX46)</f>
        <v>1409.3</v>
      </c>
      <c r="ET46" s="51">
        <f>SUM(AY46:BB46)</f>
        <v>1592.4</v>
      </c>
      <c r="EU46" s="51">
        <f>SUM(BC46:BF46)</f>
        <v>1719.8</v>
      </c>
      <c r="EV46" s="51">
        <f>SUM(BG46:BJ46)</f>
        <v>1363.3</v>
      </c>
      <c r="EW46" s="51">
        <f>SUM(BK46:BN46)</f>
        <v>1149.4000000000001</v>
      </c>
      <c r="EX46" s="51">
        <f>SUM(BO46:BR46)</f>
        <v>452.1</v>
      </c>
      <c r="EY46" s="51">
        <f t="shared" si="52"/>
        <v>0</v>
      </c>
      <c r="EZ46" s="51"/>
      <c r="FA46" s="51"/>
      <c r="FB46" s="51"/>
      <c r="FC46" s="51"/>
      <c r="FD46" s="51"/>
      <c r="FE46" s="53"/>
      <c r="FF46" s="49"/>
      <c r="FG46" s="49"/>
      <c r="FH46" s="49"/>
      <c r="FI46" s="49"/>
      <c r="FJ46" s="49"/>
      <c r="FK46" s="49"/>
    </row>
    <row r="47" spans="1:173" x14ac:dyDescent="0.2">
      <c r="A47" s="102"/>
      <c r="B47" s="38" t="s">
        <v>41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>
        <v>13.5</v>
      </c>
      <c r="AP47" s="51">
        <v>15.2</v>
      </c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3"/>
      <c r="FF47" s="49"/>
      <c r="FG47" s="49"/>
      <c r="FH47" s="49"/>
      <c r="FI47" s="49"/>
      <c r="FJ47" s="49"/>
      <c r="FK47" s="49"/>
    </row>
    <row r="48" spans="1:173" x14ac:dyDescent="0.2">
      <c r="A48" s="102"/>
      <c r="B48" t="s">
        <v>70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>
        <v>25.7</v>
      </c>
      <c r="AU48" s="51">
        <v>36</v>
      </c>
      <c r="AV48" s="51">
        <v>52</v>
      </c>
      <c r="AW48" s="51">
        <v>62</v>
      </c>
      <c r="AX48" s="51">
        <f>BB48/1.34</f>
        <v>68.731343283582078</v>
      </c>
      <c r="AY48" s="51">
        <v>72</v>
      </c>
      <c r="AZ48" s="51">
        <v>152.1</v>
      </c>
      <c r="BA48" s="51">
        <v>87.1</v>
      </c>
      <c r="BB48" s="51">
        <v>92.1</v>
      </c>
      <c r="BC48" s="51">
        <v>82.7</v>
      </c>
      <c r="BD48" s="51">
        <v>101.2</v>
      </c>
      <c r="BE48" s="51">
        <v>109.2</v>
      </c>
      <c r="BF48" s="51">
        <v>103</v>
      </c>
      <c r="BG48" s="51">
        <v>97.5</v>
      </c>
      <c r="BH48" s="51">
        <v>114.6</v>
      </c>
      <c r="BI48" s="51">
        <v>115.8</v>
      </c>
      <c r="BJ48" s="51">
        <v>120.5</v>
      </c>
      <c r="BK48" s="51">
        <v>115.7</v>
      </c>
      <c r="BL48" s="51">
        <v>106.9</v>
      </c>
      <c r="BM48" s="51">
        <v>102.7</v>
      </c>
      <c r="BN48" s="51">
        <v>105.3</v>
      </c>
      <c r="BO48" s="51">
        <v>101.8</v>
      </c>
      <c r="BP48" s="51">
        <v>103.9</v>
      </c>
      <c r="BQ48" s="51">
        <v>106.7</v>
      </c>
      <c r="BR48" s="51">
        <v>110.3</v>
      </c>
      <c r="BS48" s="51">
        <v>0</v>
      </c>
      <c r="BT48" s="51">
        <v>0</v>
      </c>
      <c r="BU48" s="51">
        <v>0</v>
      </c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51"/>
      <c r="EO48" s="51"/>
      <c r="EP48" s="51"/>
      <c r="EQ48" s="51"/>
      <c r="ER48" s="51">
        <v>36</v>
      </c>
      <c r="ES48" s="51">
        <v>193</v>
      </c>
      <c r="ET48" s="51">
        <f>ES48*1.75</f>
        <v>337.75</v>
      </c>
      <c r="EU48" s="51">
        <f>SUM(BC48:BF48)</f>
        <v>396.1</v>
      </c>
      <c r="EV48" s="51">
        <f>SUM(BG48:BJ48)</f>
        <v>448.4</v>
      </c>
      <c r="EW48" s="51">
        <f>SUM(BK48:BN48)</f>
        <v>430.6</v>
      </c>
      <c r="EX48" s="51">
        <f>SUM(BO48:BR48)</f>
        <v>422.7</v>
      </c>
      <c r="EY48" s="51">
        <f t="shared" si="52"/>
        <v>0</v>
      </c>
      <c r="EZ48" s="51"/>
      <c r="FA48" s="51"/>
      <c r="FB48" s="51"/>
      <c r="FC48" s="51"/>
      <c r="FD48" s="51"/>
      <c r="FE48" s="53"/>
      <c r="FF48" s="49"/>
      <c r="FG48" s="49"/>
      <c r="FH48" s="49"/>
      <c r="FI48" s="49"/>
      <c r="FJ48" s="49"/>
      <c r="FK48" s="49"/>
    </row>
    <row r="49" spans="1:167" x14ac:dyDescent="0.2">
      <c r="A49" s="102"/>
      <c r="B49" t="s">
        <v>61</v>
      </c>
      <c r="C49" s="49">
        <v>456.7</v>
      </c>
      <c r="D49" s="49">
        <v>513.4</v>
      </c>
      <c r="E49" s="49">
        <v>580.70000000000005</v>
      </c>
      <c r="F49" s="49">
        <f>2100-E49-D49-C49</f>
        <v>549.20000000000005</v>
      </c>
      <c r="G49" s="51">
        <v>579</v>
      </c>
      <c r="H49" s="51">
        <v>537</v>
      </c>
      <c r="I49" s="51">
        <v>637.5</v>
      </c>
      <c r="J49" s="51">
        <f>2400-I49-H49-G49</f>
        <v>646.5</v>
      </c>
      <c r="K49" s="51">
        <v>563.4</v>
      </c>
      <c r="L49" s="51">
        <v>597.6</v>
      </c>
      <c r="M49" s="51">
        <v>705.1</v>
      </c>
      <c r="N49" s="51">
        <f>2560-M49-L49-K49</f>
        <v>693.9000000000002</v>
      </c>
      <c r="O49" s="51">
        <v>618</v>
      </c>
      <c r="P49" s="51">
        <v>666</v>
      </c>
      <c r="Q49" s="51">
        <v>793</v>
      </c>
      <c r="R49" s="51">
        <f>2810-Q49-P49-O49</f>
        <v>733</v>
      </c>
      <c r="S49" s="51">
        <v>589.9</v>
      </c>
      <c r="T49" s="51">
        <v>688.1</v>
      </c>
      <c r="U49" s="51">
        <v>690.2</v>
      </c>
      <c r="V49" s="51">
        <f>2610-U49-T49-S49</f>
        <v>641.79999999999984</v>
      </c>
      <c r="W49" s="51">
        <v>596.20000000000005</v>
      </c>
      <c r="X49" s="51">
        <v>627.4</v>
      </c>
      <c r="Y49" s="51">
        <v>680.2</v>
      </c>
      <c r="Z49" s="51">
        <f>2570-Y49-X49-W49</f>
        <v>666.2</v>
      </c>
      <c r="AA49" s="52">
        <f>1320-AB49</f>
        <v>627.6</v>
      </c>
      <c r="AB49" s="51">
        <v>692.4</v>
      </c>
      <c r="AC49" s="51">
        <v>449.4</v>
      </c>
      <c r="AD49" s="51">
        <f>1990-AC49-AB49-AA49</f>
        <v>220.59999999999991</v>
      </c>
      <c r="AE49" s="51">
        <v>186.1</v>
      </c>
      <c r="AF49" s="51">
        <v>194.9</v>
      </c>
      <c r="AG49" s="51">
        <v>189.9</v>
      </c>
      <c r="AH49" s="51">
        <f>733.7-AG49-AF49-AE49</f>
        <v>162.8000000000001</v>
      </c>
      <c r="AI49" s="51">
        <v>149.9</v>
      </c>
      <c r="AJ49" s="51">
        <v>175</v>
      </c>
      <c r="AK49" s="51">
        <v>154.19999999999999</v>
      </c>
      <c r="AL49" s="51">
        <f>645.1-AK49-AJ49-AI49</f>
        <v>166.00000000000003</v>
      </c>
      <c r="AM49" s="51">
        <v>165</v>
      </c>
      <c r="AN49" s="51">
        <v>129.80000000000001</v>
      </c>
      <c r="AO49" s="51">
        <v>141</v>
      </c>
      <c r="AP49" s="51">
        <v>123.1</v>
      </c>
      <c r="AQ49" s="51">
        <v>112.5</v>
      </c>
      <c r="AR49" s="51">
        <v>114.2</v>
      </c>
      <c r="AS49" s="51">
        <v>102.6</v>
      </c>
      <c r="AT49" s="51">
        <v>114.4</v>
      </c>
      <c r="AU49" s="51"/>
      <c r="AV49" s="51"/>
      <c r="AW49" s="51">
        <v>78</v>
      </c>
      <c r="AX49" s="51"/>
      <c r="AY49" s="51">
        <f>AW49</f>
        <v>78</v>
      </c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>
        <v>1700</v>
      </c>
      <c r="EH49" s="49">
        <v>2100</v>
      </c>
      <c r="EI49" s="49"/>
      <c r="EJ49" s="49"/>
      <c r="EK49" s="49">
        <v>2810</v>
      </c>
      <c r="EL49" s="49">
        <v>2613.4</v>
      </c>
      <c r="EM49" s="49">
        <v>2573.6999999999998</v>
      </c>
      <c r="EN49" s="51">
        <v>1990</v>
      </c>
      <c r="EO49" s="51">
        <v>734</v>
      </c>
      <c r="EP49" s="51">
        <v>645</v>
      </c>
      <c r="EQ49" s="51">
        <v>559</v>
      </c>
      <c r="ER49" s="51">
        <v>454</v>
      </c>
      <c r="ES49" s="51">
        <v>327</v>
      </c>
      <c r="ET49" s="51">
        <f>ES49*0.95</f>
        <v>310.64999999999998</v>
      </c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3"/>
      <c r="FF49" s="49"/>
      <c r="FG49" s="49"/>
      <c r="FH49" s="49"/>
      <c r="FI49" s="49"/>
      <c r="FJ49" s="49"/>
      <c r="FK49" s="49"/>
    </row>
    <row r="50" spans="1:167" x14ac:dyDescent="0.2">
      <c r="A50" s="102"/>
      <c r="B50" t="s">
        <v>63</v>
      </c>
      <c r="C50" s="49">
        <v>150</v>
      </c>
      <c r="D50" s="49">
        <v>115.8</v>
      </c>
      <c r="E50" s="49">
        <v>150</v>
      </c>
      <c r="F50" s="49">
        <f>227.5-E50-D50-C50+494.7</f>
        <v>306.39999999999998</v>
      </c>
      <c r="G50" s="51">
        <v>157</v>
      </c>
      <c r="H50" s="51">
        <v>124</v>
      </c>
      <c r="I50" s="51">
        <v>125</v>
      </c>
      <c r="J50" s="52">
        <f>540-I50-H50-G50</f>
        <v>134</v>
      </c>
      <c r="K50" s="51">
        <v>140.30000000000001</v>
      </c>
      <c r="L50" s="51">
        <v>100</v>
      </c>
      <c r="M50" s="51">
        <v>100</v>
      </c>
      <c r="N50" s="52">
        <f>442.2-K50-L50-M50</f>
        <v>101.89999999999998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>
        <f>227.5+494.7</f>
        <v>722.2</v>
      </c>
      <c r="EI50" s="49"/>
      <c r="EJ50" s="49"/>
      <c r="EK50" s="49"/>
      <c r="EL50" s="49"/>
      <c r="EM50" s="49">
        <v>285.39999999999998</v>
      </c>
      <c r="EN50" s="51"/>
      <c r="EO50" s="51">
        <v>198</v>
      </c>
      <c r="EP50" s="51">
        <v>171</v>
      </c>
      <c r="EQ50" s="51">
        <v>138</v>
      </c>
      <c r="ER50" s="51">
        <v>118</v>
      </c>
      <c r="ES50" s="51">
        <v>90</v>
      </c>
      <c r="ET50" s="51">
        <f>ES50*0.9</f>
        <v>81</v>
      </c>
      <c r="EU50" s="51">
        <f>ET50*0.9</f>
        <v>72.900000000000006</v>
      </c>
      <c r="EV50" s="51"/>
      <c r="EW50" s="51"/>
      <c r="EX50" s="51"/>
      <c r="EY50" s="51"/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</row>
    <row r="51" spans="1:167" x14ac:dyDescent="0.2">
      <c r="A51" s="102"/>
      <c r="B51" t="s">
        <v>64</v>
      </c>
      <c r="C51">
        <v>30</v>
      </c>
      <c r="D51">
        <v>35</v>
      </c>
      <c r="E51">
        <v>40</v>
      </c>
      <c r="F51">
        <f>169-E51-D51-C51</f>
        <v>64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>
        <v>169</v>
      </c>
      <c r="EI51" s="49"/>
      <c r="EJ51" s="49"/>
      <c r="EK51" s="49"/>
      <c r="EL51" s="49"/>
      <c r="EM51" s="49"/>
      <c r="EN51" s="51"/>
      <c r="EO51" s="51">
        <v>38</v>
      </c>
      <c r="EP51" s="51">
        <v>32</v>
      </c>
      <c r="EQ51" s="51">
        <v>55</v>
      </c>
      <c r="ER51" s="51">
        <v>28</v>
      </c>
      <c r="ES51" s="51">
        <v>17</v>
      </c>
      <c r="ET51" s="51">
        <v>16</v>
      </c>
      <c r="EU51" s="51">
        <v>16</v>
      </c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</row>
    <row r="52" spans="1:167" x14ac:dyDescent="0.2">
      <c r="A52" s="102"/>
      <c r="B52" s="38" t="s">
        <v>762</v>
      </c>
      <c r="C52">
        <v>120</v>
      </c>
      <c r="D52">
        <v>130</v>
      </c>
      <c r="E52">
        <v>140</v>
      </c>
      <c r="F52">
        <f>548-E52-D52-C52</f>
        <v>158</v>
      </c>
      <c r="G52" s="51">
        <v>150</v>
      </c>
      <c r="H52" s="51">
        <v>118</v>
      </c>
      <c r="I52" s="51">
        <v>126.9</v>
      </c>
      <c r="J52" s="51">
        <f>531-I52-H52-G52</f>
        <v>136.10000000000002</v>
      </c>
      <c r="K52" s="51">
        <v>163.6</v>
      </c>
      <c r="L52" s="51">
        <v>119.4</v>
      </c>
      <c r="M52" s="51">
        <v>132.19999999999999</v>
      </c>
      <c r="N52" s="51">
        <f>526.5-M52-L52-K52</f>
        <v>111.29999999999998</v>
      </c>
      <c r="O52" s="51">
        <f>319-P52-Q52</f>
        <v>145</v>
      </c>
      <c r="P52" s="51">
        <v>77</v>
      </c>
      <c r="Q52" s="51">
        <v>97</v>
      </c>
      <c r="R52" s="51">
        <f>418-Q52-P52-O52</f>
        <v>99</v>
      </c>
      <c r="S52" s="51">
        <v>111.5</v>
      </c>
      <c r="T52" s="51">
        <v>81.3</v>
      </c>
      <c r="U52" s="51">
        <v>82</v>
      </c>
      <c r="V52" s="51">
        <f>418-U52-T52-S52</f>
        <v>143.19999999999999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>
        <v>548</v>
      </c>
      <c r="EI52" s="49"/>
      <c r="EJ52" s="49"/>
      <c r="EK52" s="49">
        <v>418</v>
      </c>
      <c r="EL52" s="49">
        <v>354.7</v>
      </c>
      <c r="EM52" s="49">
        <v>321.39999999999998</v>
      </c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</row>
    <row r="53" spans="1:167" x14ac:dyDescent="0.2">
      <c r="A53" s="102"/>
      <c r="B53" t="s">
        <v>65</v>
      </c>
      <c r="C53"/>
      <c r="D53"/>
      <c r="E53"/>
      <c r="F53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51"/>
      <c r="EO53" s="51">
        <v>75</v>
      </c>
      <c r="EP53" s="51">
        <v>52</v>
      </c>
      <c r="EQ53" s="51">
        <v>46</v>
      </c>
      <c r="ER53" s="51">
        <v>34</v>
      </c>
      <c r="ES53" s="51">
        <v>32</v>
      </c>
      <c r="ET53" s="51">
        <f>ES53*0.8</f>
        <v>25.6</v>
      </c>
      <c r="EU53" s="51">
        <f>ET53*0.8</f>
        <v>20.480000000000004</v>
      </c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</row>
    <row r="54" spans="1:167" x14ac:dyDescent="0.2">
      <c r="A54" s="102"/>
      <c r="B54" t="s">
        <v>66</v>
      </c>
      <c r="C54"/>
      <c r="D54"/>
      <c r="E54"/>
      <c r="F54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>
        <v>25</v>
      </c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>
        <v>205</v>
      </c>
      <c r="EN54" s="51"/>
      <c r="EO54" s="51">
        <v>145</v>
      </c>
      <c r="EP54" s="51">
        <v>173</v>
      </c>
      <c r="EQ54" s="51">
        <v>198</v>
      </c>
      <c r="ER54" s="51">
        <v>240</v>
      </c>
      <c r="ES54" s="51">
        <v>154</v>
      </c>
      <c r="ET54" s="51">
        <v>136</v>
      </c>
      <c r="EU54" s="51">
        <v>143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</row>
    <row r="55" spans="1:167" x14ac:dyDescent="0.2">
      <c r="A55" s="102"/>
      <c r="B55" t="s">
        <v>67</v>
      </c>
      <c r="C55"/>
      <c r="D55"/>
      <c r="E55"/>
      <c r="F55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51"/>
      <c r="EO55" s="51">
        <v>122</v>
      </c>
      <c r="EP55" s="51">
        <v>63</v>
      </c>
      <c r="EQ55" s="51">
        <v>44</v>
      </c>
      <c r="ER55" s="51">
        <v>25</v>
      </c>
      <c r="ES55" s="51">
        <v>31</v>
      </c>
      <c r="ET55" s="51">
        <f>ES55*0.9</f>
        <v>27.900000000000002</v>
      </c>
      <c r="EU55" s="51">
        <f>ET55*0.9</f>
        <v>25.110000000000003</v>
      </c>
      <c r="EV55" s="51">
        <f>EU55*0.9</f>
        <v>22.599000000000004</v>
      </c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</row>
    <row r="56" spans="1:167" x14ac:dyDescent="0.2">
      <c r="A56" s="102"/>
      <c r="B56" t="s">
        <v>71</v>
      </c>
      <c r="C56"/>
      <c r="D56"/>
      <c r="E56"/>
      <c r="F56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51"/>
      <c r="EO56" s="51">
        <v>46</v>
      </c>
      <c r="EP56" s="51">
        <v>43</v>
      </c>
      <c r="EQ56" s="51">
        <v>34</v>
      </c>
      <c r="ER56" s="51">
        <v>52</v>
      </c>
      <c r="ES56" s="51">
        <v>34</v>
      </c>
      <c r="ET56" s="51">
        <v>34</v>
      </c>
      <c r="EU56" s="51">
        <v>35</v>
      </c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</row>
    <row r="57" spans="1:167" x14ac:dyDescent="0.2">
      <c r="A57" s="102"/>
      <c r="B57" t="s">
        <v>72</v>
      </c>
      <c r="C57"/>
      <c r="D57"/>
      <c r="E57"/>
      <c r="F57"/>
      <c r="G57" s="51">
        <v>20</v>
      </c>
      <c r="H57" s="51">
        <v>37</v>
      </c>
      <c r="I57" s="51">
        <v>38.5</v>
      </c>
      <c r="J57" s="51">
        <f>149-I57-H57-G57</f>
        <v>53.5</v>
      </c>
      <c r="K57" s="51">
        <v>51.7</v>
      </c>
      <c r="L57" s="51">
        <v>59.8</v>
      </c>
      <c r="M57" s="51">
        <v>63.3</v>
      </c>
      <c r="N57" s="51">
        <f>254.4-M57-L57-K57</f>
        <v>79.600000000000009</v>
      </c>
      <c r="O57" s="51">
        <v>70</v>
      </c>
      <c r="P57" s="51">
        <v>101</v>
      </c>
      <c r="Q57" s="51">
        <v>87</v>
      </c>
      <c r="R57" s="51">
        <f>365.4-Q57-P57-O57</f>
        <v>107.39999999999998</v>
      </c>
      <c r="S57" s="51">
        <v>101</v>
      </c>
      <c r="T57" s="51">
        <v>114.2</v>
      </c>
      <c r="U57" s="51">
        <v>107.3</v>
      </c>
      <c r="V57" s="51">
        <f>447.3-U57-T57-S57</f>
        <v>124.80000000000001</v>
      </c>
      <c r="W57" s="51">
        <v>110.3</v>
      </c>
      <c r="X57" s="51">
        <v>104.5</v>
      </c>
      <c r="Y57" s="51">
        <v>97.7</v>
      </c>
      <c r="Z57" s="51">
        <f>418.1-Y57-X57-W57</f>
        <v>105.60000000000004</v>
      </c>
      <c r="AA57" s="51">
        <v>110.7</v>
      </c>
      <c r="AB57" s="51">
        <v>110.1</v>
      </c>
      <c r="AC57" s="51">
        <v>105.1</v>
      </c>
      <c r="AD57" s="51">
        <f>431.4-AC57-AB57-AA57</f>
        <v>105.49999999999996</v>
      </c>
      <c r="AE57" s="51">
        <v>91.7</v>
      </c>
      <c r="AF57" s="51">
        <v>101</v>
      </c>
      <c r="AG57" s="51">
        <v>92.4</v>
      </c>
      <c r="AH57" s="51">
        <f>384-AG57-AF57-AE57</f>
        <v>98.90000000000002</v>
      </c>
      <c r="AI57" s="51">
        <v>93.1</v>
      </c>
      <c r="AJ57" s="51">
        <v>94.5</v>
      </c>
      <c r="AK57" s="51">
        <v>88.2</v>
      </c>
      <c r="AL57" s="51">
        <f>364.4-AK57-AJ57-AI57</f>
        <v>88.6</v>
      </c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>
        <v>67</v>
      </c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>
        <v>365.4</v>
      </c>
      <c r="EL57" s="49">
        <v>447.3</v>
      </c>
      <c r="EM57" s="49">
        <v>418.1</v>
      </c>
      <c r="EN57" s="51">
        <v>431.4</v>
      </c>
      <c r="EO57" s="51">
        <v>384</v>
      </c>
      <c r="EP57" s="51">
        <v>364</v>
      </c>
      <c r="EQ57" s="51">
        <v>363</v>
      </c>
      <c r="ER57" s="51">
        <v>297</v>
      </c>
      <c r="ES57" s="51">
        <v>296</v>
      </c>
      <c r="ET57" s="51">
        <f>ES57*0.95</f>
        <v>281.2</v>
      </c>
      <c r="EU57" s="51">
        <f>ET57*0.95</f>
        <v>267.14</v>
      </c>
      <c r="EV57" s="51">
        <f>EU57*0.95</f>
        <v>253.78299999999999</v>
      </c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</row>
    <row r="58" spans="1:167" x14ac:dyDescent="0.2">
      <c r="A58" s="102"/>
      <c r="B58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51"/>
      <c r="EO58" s="51">
        <v>60</v>
      </c>
      <c r="EP58" s="51">
        <v>70</v>
      </c>
      <c r="EQ58" s="51">
        <v>42</v>
      </c>
      <c r="ER58" s="51">
        <v>34</v>
      </c>
      <c r="ES58" s="51">
        <v>23</v>
      </c>
      <c r="ET58" s="51">
        <v>22</v>
      </c>
      <c r="EU58" s="51">
        <v>22</v>
      </c>
      <c r="EV58" s="51">
        <v>22</v>
      </c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</row>
    <row r="59" spans="1:167" x14ac:dyDescent="0.2">
      <c r="A59" s="102"/>
      <c r="B59" t="s">
        <v>68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>
        <v>133.19999999999999</v>
      </c>
      <c r="AJ59" s="51">
        <v>116.3</v>
      </c>
      <c r="AK59" s="51">
        <v>67.099999999999994</v>
      </c>
      <c r="AL59" s="51">
        <f>431.2-AK59-AJ59-AI59</f>
        <v>114.60000000000002</v>
      </c>
      <c r="AM59" s="51">
        <v>153.30000000000001</v>
      </c>
      <c r="AN59" s="51">
        <v>112.4</v>
      </c>
      <c r="AO59" s="51">
        <v>58.3</v>
      </c>
      <c r="AP59" s="51">
        <v>128.9</v>
      </c>
      <c r="AQ59" s="51">
        <v>168.7</v>
      </c>
      <c r="AR59" s="51">
        <v>105</v>
      </c>
      <c r="AS59" s="51">
        <f>AW59/1.2</f>
        <v>64.166666666666671</v>
      </c>
      <c r="AT59" s="51">
        <v>155</v>
      </c>
      <c r="AU59" s="51">
        <v>189</v>
      </c>
      <c r="AV59" s="51">
        <v>93</v>
      </c>
      <c r="AW59" s="51">
        <v>77</v>
      </c>
      <c r="AX59" s="51">
        <f>BB59/1.04</f>
        <v>89.615384615384613</v>
      </c>
      <c r="AY59" s="51"/>
      <c r="AZ59" s="51"/>
      <c r="BA59" s="51">
        <v>97.8</v>
      </c>
      <c r="BB59" s="51">
        <v>93.2</v>
      </c>
      <c r="BC59" s="51">
        <v>84.1</v>
      </c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>
        <v>37.9</v>
      </c>
      <c r="EM59" s="49">
        <v>223</v>
      </c>
      <c r="EN59" s="51"/>
      <c r="EO59" s="51">
        <v>392</v>
      </c>
      <c r="EP59" s="51">
        <v>430</v>
      </c>
      <c r="EQ59" s="51">
        <v>453</v>
      </c>
      <c r="ER59" s="51">
        <v>493</v>
      </c>
      <c r="ES59" s="51">
        <v>428</v>
      </c>
      <c r="ET59" s="51">
        <f>SUM(AY59:BB59)</f>
        <v>191</v>
      </c>
      <c r="EU59" s="51">
        <f>SUM(BC59:BF59)</f>
        <v>84.1</v>
      </c>
      <c r="EV59" s="51"/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</row>
    <row r="60" spans="1:167" x14ac:dyDescent="0.2">
      <c r="A60" s="102"/>
      <c r="B60" t="s">
        <v>74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>
        <v>22</v>
      </c>
      <c r="AF60" s="51">
        <v>22.6</v>
      </c>
      <c r="AG60" s="51">
        <v>21.2</v>
      </c>
      <c r="AH60" s="51">
        <f>100.2-AG60-AF60-AE60</f>
        <v>34.4</v>
      </c>
      <c r="AI60" s="51">
        <v>35.9</v>
      </c>
      <c r="AJ60" s="51">
        <v>36.1</v>
      </c>
      <c r="AK60" s="51">
        <v>37.799999999999997</v>
      </c>
      <c r="AL60" s="51">
        <f>160.4-AK60-AJ60-AI60</f>
        <v>50.6</v>
      </c>
      <c r="AM60" s="51"/>
      <c r="AN60" s="51"/>
      <c r="AO60" s="51"/>
      <c r="AP60" s="51">
        <v>55.3</v>
      </c>
      <c r="AQ60" s="51">
        <v>59.5</v>
      </c>
      <c r="AR60" s="51"/>
      <c r="AS60" s="51">
        <v>45.5</v>
      </c>
      <c r="AT60" s="51">
        <v>51.8</v>
      </c>
      <c r="AU60" s="51">
        <v>50</v>
      </c>
      <c r="AV60" s="51">
        <v>48</v>
      </c>
      <c r="AW60" s="51">
        <v>42</v>
      </c>
      <c r="AX60" s="51"/>
      <c r="AY60" s="51">
        <v>40</v>
      </c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51">
        <v>21.2</v>
      </c>
      <c r="EO60" s="51">
        <v>98</v>
      </c>
      <c r="EP60" s="51">
        <v>161</v>
      </c>
      <c r="EQ60" s="51">
        <v>202</v>
      </c>
      <c r="ER60" s="51">
        <v>215</v>
      </c>
      <c r="ES60" s="51">
        <v>212</v>
      </c>
      <c r="ET60" s="51">
        <f>ES60*0.8</f>
        <v>169.60000000000002</v>
      </c>
      <c r="EU60" s="51">
        <f>ET60*0.8</f>
        <v>135.68000000000004</v>
      </c>
      <c r="EV60" s="51">
        <f>EU60*0.8</f>
        <v>108.54400000000004</v>
      </c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</row>
    <row r="61" spans="1:167" x14ac:dyDescent="0.2">
      <c r="A61" s="102"/>
      <c r="B61" t="s">
        <v>17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51">
        <v>33</v>
      </c>
      <c r="P61" s="51">
        <v>15</v>
      </c>
      <c r="Q61" s="51">
        <v>33</v>
      </c>
      <c r="R61" s="51">
        <f>144.1-Q61-P61-O61</f>
        <v>63.099999999999994</v>
      </c>
      <c r="S61" s="51">
        <v>54.6</v>
      </c>
      <c r="T61" s="51">
        <v>66.599999999999994</v>
      </c>
      <c r="U61" s="51">
        <v>92.8</v>
      </c>
      <c r="V61" s="51">
        <f>326.1-U61-T61-S61</f>
        <v>112.10000000000002</v>
      </c>
      <c r="W61" s="51">
        <v>100.5</v>
      </c>
      <c r="X61" s="51">
        <v>133.69999999999999</v>
      </c>
      <c r="Y61" s="51">
        <v>141.5</v>
      </c>
      <c r="Z61" s="51">
        <f>521.5-Y61-X61-W61</f>
        <v>145.80000000000001</v>
      </c>
      <c r="AA61" s="51">
        <v>149</v>
      </c>
      <c r="AB61" s="51">
        <v>167</v>
      </c>
      <c r="AC61" s="51">
        <v>183.1</v>
      </c>
      <c r="AD61" s="51">
        <f>664.8-AC61-AB61-AA61</f>
        <v>165.69999999999993</v>
      </c>
      <c r="AE61" s="51">
        <v>177.9</v>
      </c>
      <c r="AF61" s="51">
        <v>188.2</v>
      </c>
      <c r="AG61" s="51">
        <v>217.4</v>
      </c>
      <c r="AH61" s="51">
        <f>821.9-AG61-AF61-AE61</f>
        <v>238.4</v>
      </c>
      <c r="AI61" s="51">
        <v>214</v>
      </c>
      <c r="AJ61" s="51">
        <v>223.5</v>
      </c>
      <c r="AK61" s="51">
        <v>240</v>
      </c>
      <c r="AL61" s="51">
        <v>244.6</v>
      </c>
      <c r="AM61" s="51">
        <v>232.8</v>
      </c>
      <c r="AN61" s="51">
        <v>276.60000000000002</v>
      </c>
      <c r="AO61" s="51">
        <v>246.1</v>
      </c>
      <c r="AP61" s="51">
        <v>257.3</v>
      </c>
      <c r="AQ61" s="51">
        <v>248.9</v>
      </c>
      <c r="AR61" s="51">
        <v>261.60000000000002</v>
      </c>
      <c r="AS61" s="51">
        <v>260.3</v>
      </c>
      <c r="AT61" s="51">
        <v>265.3</v>
      </c>
      <c r="AU61" s="51">
        <v>242</v>
      </c>
      <c r="AV61" s="51">
        <v>276</v>
      </c>
      <c r="AW61" s="51">
        <v>258</v>
      </c>
      <c r="AX61" s="51">
        <v>270.3</v>
      </c>
      <c r="AY61" s="51">
        <v>263.8</v>
      </c>
      <c r="AZ61" s="51">
        <v>278</v>
      </c>
      <c r="BA61" s="51">
        <v>263.2</v>
      </c>
      <c r="BB61" s="51">
        <v>285.8</v>
      </c>
      <c r="BC61" s="51">
        <v>261.10000000000002</v>
      </c>
      <c r="BD61" s="51">
        <v>279.8</v>
      </c>
      <c r="BE61" s="51">
        <v>265.7</v>
      </c>
      <c r="BF61" s="51">
        <v>269</v>
      </c>
      <c r="BG61" s="51">
        <v>256.89999999999998</v>
      </c>
      <c r="BH61" s="51">
        <v>251.3</v>
      </c>
      <c r="BI61" s="51">
        <v>259.5</v>
      </c>
      <c r="BJ61" s="51">
        <v>262.7</v>
      </c>
      <c r="BK61" s="51">
        <v>241.6</v>
      </c>
      <c r="BL61" s="51">
        <v>259.5</v>
      </c>
      <c r="BM61" s="51">
        <v>256.8</v>
      </c>
      <c r="BN61" s="51">
        <v>266.5</v>
      </c>
      <c r="BO61" s="51">
        <v>266.10000000000002</v>
      </c>
      <c r="BP61" s="51">
        <v>263.5</v>
      </c>
      <c r="BQ61" s="51">
        <v>270.10000000000002</v>
      </c>
      <c r="BR61" s="51">
        <v>267.10000000000002</v>
      </c>
      <c r="BS61" s="51">
        <v>256.2</v>
      </c>
      <c r="BT61" s="51">
        <v>265.89999999999998</v>
      </c>
      <c r="BU61" s="51">
        <v>247</v>
      </c>
      <c r="BV61" s="51">
        <v>241</v>
      </c>
      <c r="BW61" s="51">
        <v>240.6</v>
      </c>
      <c r="BX61" s="51">
        <v>278.7</v>
      </c>
      <c r="BY61" s="51">
        <v>255.3</v>
      </c>
      <c r="BZ61" s="51">
        <v>275.89999999999998</v>
      </c>
      <c r="CA61" s="51">
        <v>150.1</v>
      </c>
      <c r="CB61" s="51">
        <v>108.3</v>
      </c>
      <c r="CC61" s="51">
        <v>89.5</v>
      </c>
      <c r="CD61" s="51">
        <v>72.099999999999994</v>
      </c>
      <c r="CE61" s="51">
        <v>66.8</v>
      </c>
      <c r="CF61" s="51">
        <v>59.7</v>
      </c>
      <c r="CG61" s="51">
        <v>58</v>
      </c>
      <c r="CH61" s="51">
        <v>52.8</v>
      </c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144.1</v>
      </c>
      <c r="EL61" s="49">
        <v>326.10000000000002</v>
      </c>
      <c r="EM61" s="49">
        <v>521.5</v>
      </c>
      <c r="EN61" s="51">
        <v>664.8</v>
      </c>
      <c r="EO61" s="51">
        <v>822</v>
      </c>
      <c r="EP61" s="51">
        <v>922</v>
      </c>
      <c r="EQ61" s="51">
        <v>1013</v>
      </c>
      <c r="ER61" s="51">
        <v>1036</v>
      </c>
      <c r="ES61" s="51">
        <f>SUM(AU61:AX61)</f>
        <v>1046.3</v>
      </c>
      <c r="ET61" s="51">
        <f>SUM(AY61:BB61)</f>
        <v>1090.8</v>
      </c>
      <c r="EU61" s="51">
        <f>SUM(BC61:BF61)</f>
        <v>1075.6000000000001</v>
      </c>
      <c r="EV61" s="51">
        <f>SUM(BG61:BJ61)</f>
        <v>1030.4000000000001</v>
      </c>
      <c r="EW61" s="51">
        <f>SUM(BK61:BN61)</f>
        <v>1024.4000000000001</v>
      </c>
      <c r="EX61" s="51">
        <f>SUM(BO61:BR61)</f>
        <v>1066.8000000000002</v>
      </c>
      <c r="EY61" s="51">
        <f>SUM(BS61:BV61)</f>
        <v>1010.0999999999999</v>
      </c>
      <c r="EZ61" s="51">
        <v>1050.4000000000001</v>
      </c>
      <c r="FA61" s="51">
        <v>419.8</v>
      </c>
      <c r="FB61" s="51">
        <v>237.3</v>
      </c>
      <c r="FC61" s="51"/>
      <c r="FD61" s="51"/>
      <c r="FE61" s="51"/>
      <c r="FF61" s="49"/>
      <c r="FG61" s="49"/>
      <c r="FH61" s="49"/>
      <c r="FI61" s="49"/>
      <c r="FJ61" s="49"/>
      <c r="FK61" s="49"/>
    </row>
    <row r="62" spans="1:167" x14ac:dyDescent="0.2">
      <c r="A62" s="102"/>
      <c r="B62" s="38" t="s">
        <v>238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</row>
    <row r="63" spans="1:167" s="38" customFormat="1" x14ac:dyDescent="0.2">
      <c r="A63" s="106"/>
      <c r="B63" s="38" t="s">
        <v>275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49"/>
      <c r="FG63" s="49"/>
      <c r="FH63" s="49"/>
      <c r="FI63" s="49"/>
      <c r="FJ63" s="49"/>
      <c r="FK63" s="49"/>
    </row>
    <row r="64" spans="1:167" x14ac:dyDescent="0.2">
      <c r="A64" s="102"/>
      <c r="B64" t="s">
        <v>80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>
        <v>155.19999999999999</v>
      </c>
      <c r="BH64" s="51">
        <v>179.5</v>
      </c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>
        <f>5957.3-SUM(BV5:BV61)</f>
        <v>601.19999999999982</v>
      </c>
      <c r="BW64" s="51">
        <f>5602-SUM(BW5:BW61)</f>
        <v>608.79999999999927</v>
      </c>
      <c r="BX64" s="51">
        <f>5929.7-SUM(BX5:BX61)</f>
        <v>569.60000000000036</v>
      </c>
      <c r="BY64" s="51">
        <f>5772.6-SUM(BY5:BY61)</f>
        <v>587.50000000000091</v>
      </c>
      <c r="BZ64" s="51">
        <f>5808.8-SUM(BZ5:BZ61)</f>
        <v>613.70000000000073</v>
      </c>
      <c r="CA64" s="51">
        <f>4683.1-SUM(CA5:CA61)</f>
        <v>462.69999999999982</v>
      </c>
      <c r="CB64" s="51">
        <f>4935.6-SUM(CB5:CB61)</f>
        <v>505.49999999999909</v>
      </c>
      <c r="CC64" s="51">
        <f>4875.6-SUM(CC5:CC61)</f>
        <v>479.30000000000018</v>
      </c>
      <c r="CD64" s="51">
        <f>5121.3-SUM(CD5:CD61)</f>
        <v>387.39999999999964</v>
      </c>
      <c r="CE64" s="51">
        <f>4644.7-SUM(CE5:CE62)</f>
        <v>346.5</v>
      </c>
      <c r="CF64" s="51">
        <f>4978.7-SUM(CF5:CF61)</f>
        <v>340.80000000000018</v>
      </c>
      <c r="CG64" s="51">
        <f>4959.7-SUM(CG5:CG61)</f>
        <v>365.19999999999891</v>
      </c>
      <c r="CH64" s="51">
        <f>5375.6-SUM(CH5:CH61)</f>
        <v>365.30000000000018</v>
      </c>
      <c r="CI64" s="51">
        <f>4865.1-SUM(CI5:CI45)</f>
        <v>463.70000000000073</v>
      </c>
      <c r="CJ64" s="51">
        <f>5404.8-SUM(CJ5:CJ45)</f>
        <v>490.10000000000036</v>
      </c>
      <c r="CK64" s="51">
        <f>5191.7-SUM(CK5:CK45)</f>
        <v>492.09999999999945</v>
      </c>
      <c r="CL64" s="51">
        <f>5760.5-SUM(CL5:CL45)</f>
        <v>528.10000000000036</v>
      </c>
      <c r="CM64" s="51">
        <f>5228.3-SUM(CM5:CM44)</f>
        <v>474.60000000000036</v>
      </c>
      <c r="CN64" s="51">
        <f>5824.3-SUM(CN5:CN44)</f>
        <v>514.19999999999982</v>
      </c>
      <c r="CO64" s="51">
        <f>5658-SUM(CO5:CO44)</f>
        <v>403.29999999999927</v>
      </c>
      <c r="CP64" s="51">
        <f>6160.7-SUM(CP5:CP44)</f>
        <v>420.99999999999909</v>
      </c>
      <c r="CQ64" s="51"/>
      <c r="CR64" s="51">
        <f>6355.2-SUM(CR5:CR44)</f>
        <v>-101.89999999999964</v>
      </c>
      <c r="CS64" s="51">
        <f>6061.9-SUM(CS5:CS44)</f>
        <v>-94.599999999999454</v>
      </c>
      <c r="CT64" s="51">
        <f>6438.6-SUM(CT5:CT44)</f>
        <v>331.80000000000018</v>
      </c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51"/>
      <c r="EO64" s="51">
        <v>59</v>
      </c>
      <c r="EP64" s="51">
        <v>58</v>
      </c>
      <c r="EQ64" s="51">
        <v>57</v>
      </c>
      <c r="ER64" s="51">
        <v>69</v>
      </c>
      <c r="ES64" s="51">
        <v>65</v>
      </c>
      <c r="ET64" s="51">
        <v>65</v>
      </c>
      <c r="EU64" s="51">
        <v>65</v>
      </c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49"/>
      <c r="FG64" s="49"/>
      <c r="FH64" s="49"/>
      <c r="FI64" s="49"/>
      <c r="FJ64" s="49"/>
      <c r="FK64" s="49"/>
    </row>
    <row r="65" spans="1:251" x14ac:dyDescent="0.2">
      <c r="A65" s="102"/>
      <c r="B65" t="s">
        <v>76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51"/>
      <c r="EO65" s="51">
        <v>35</v>
      </c>
      <c r="EP65" s="51">
        <v>32</v>
      </c>
      <c r="EQ65" s="51">
        <v>19</v>
      </c>
      <c r="ER65" s="51">
        <v>12</v>
      </c>
      <c r="ES65" s="51">
        <v>14</v>
      </c>
      <c r="ET65" s="51">
        <v>10</v>
      </c>
      <c r="EU65" s="51">
        <v>10</v>
      </c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49"/>
      <c r="FG65" s="49"/>
      <c r="FH65" s="49"/>
      <c r="FI65" s="49"/>
      <c r="FJ65" s="49"/>
      <c r="FK65" s="49"/>
    </row>
    <row r="66" spans="1:251" x14ac:dyDescent="0.2">
      <c r="A66" s="102"/>
      <c r="B66" s="38" t="s">
        <v>249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>
        <f>5210.5-SUM(BF9:BF65)</f>
        <v>481.80000000000018</v>
      </c>
      <c r="BG66" s="51">
        <f>4891.8-SUM(BG9:BG65)</f>
        <v>186.30000000000018</v>
      </c>
      <c r="BH66" s="51">
        <f>5113.5-SUM(BH9:BH65)</f>
        <v>71.599999999999454</v>
      </c>
      <c r="BI66" s="51">
        <f>5562-SUM(BI9:BI62)</f>
        <v>424.29999999999927</v>
      </c>
      <c r="BJ66" s="51">
        <f>5934-SUM(BJ9:BJ62)</f>
        <v>449</v>
      </c>
      <c r="BK66" s="51">
        <f>5485.5-SUM(BK9:BK62)</f>
        <v>390.59999999999945</v>
      </c>
      <c r="BL66" s="51">
        <f>5748.7-SUM(BL9:BL62)</f>
        <v>410.40000000000055</v>
      </c>
      <c r="BM66" s="51">
        <f>5654.8-SUM(BM9:BM62)</f>
        <v>381.39999999999964</v>
      </c>
      <c r="BN66" s="51"/>
      <c r="BO66" s="51">
        <f>5839.2-SUM(BO9:BO62)</f>
        <v>410.09999999999854</v>
      </c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2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Z66" s="51">
        <v>707.5</v>
      </c>
      <c r="FE66" s="47"/>
      <c r="FF66" s="47"/>
      <c r="FG66" s="49"/>
      <c r="FH66" s="49"/>
      <c r="FI66" s="49"/>
      <c r="FJ66" s="49"/>
      <c r="FK66" s="49"/>
    </row>
    <row r="67" spans="1:251" s="55" customFormat="1" x14ac:dyDescent="0.2">
      <c r="A67" s="107"/>
      <c r="B67" s="55" t="s">
        <v>379</v>
      </c>
      <c r="C67" s="56">
        <f t="shared" ref="C67:F67" si="53">SUM(C9:C66)</f>
        <v>976.7</v>
      </c>
      <c r="D67" s="56">
        <f t="shared" si="53"/>
        <v>1044.1999999999998</v>
      </c>
      <c r="E67" s="56">
        <f t="shared" si="53"/>
        <v>1190.7</v>
      </c>
      <c r="F67" s="56">
        <f t="shared" si="53"/>
        <v>1390.6</v>
      </c>
      <c r="G67" s="56">
        <f t="shared" ref="G67:J67" si="54">SUM(G9:G66)</f>
        <v>1113</v>
      </c>
      <c r="H67" s="56">
        <f t="shared" si="54"/>
        <v>1107</v>
      </c>
      <c r="I67" s="56">
        <f t="shared" si="54"/>
        <v>1176.5</v>
      </c>
      <c r="J67" s="56">
        <f t="shared" si="54"/>
        <v>1326.5</v>
      </c>
      <c r="K67" s="56">
        <f t="shared" ref="K67:N67" si="55">SUM(K9:K66)</f>
        <v>1270.3</v>
      </c>
      <c r="L67" s="56">
        <f t="shared" si="55"/>
        <v>1297.9000000000001</v>
      </c>
      <c r="M67" s="56">
        <f t="shared" si="55"/>
        <v>1486.1000000000001</v>
      </c>
      <c r="N67" s="56">
        <f t="shared" si="55"/>
        <v>1602.8</v>
      </c>
      <c r="O67" s="56">
        <f t="shared" ref="O67:R67" si="56">SUM(O9:O66)</f>
        <v>1430</v>
      </c>
      <c r="P67" s="56">
        <f t="shared" si="56"/>
        <v>1533</v>
      </c>
      <c r="Q67" s="56">
        <f t="shared" si="56"/>
        <v>1733</v>
      </c>
      <c r="R67" s="56">
        <f t="shared" si="56"/>
        <v>1818.2999999999997</v>
      </c>
      <c r="S67" s="56">
        <f t="shared" ref="S67:V67" si="57">SUM(S9:S66)</f>
        <v>1618</v>
      </c>
      <c r="T67" s="56">
        <f t="shared" si="57"/>
        <v>1758.4</v>
      </c>
      <c r="U67" s="56">
        <f t="shared" si="57"/>
        <v>1945.4</v>
      </c>
      <c r="V67" s="56">
        <f t="shared" si="57"/>
        <v>2139.8999999999996</v>
      </c>
      <c r="W67" s="56">
        <f t="shared" ref="W67:Z67" si="58">SUM(W9:W66)</f>
        <v>1746.8999999999999</v>
      </c>
      <c r="X67" s="56">
        <f t="shared" si="58"/>
        <v>1865.9</v>
      </c>
      <c r="Y67" s="56">
        <f t="shared" si="58"/>
        <v>2092.6000000000004</v>
      </c>
      <c r="Z67" s="56">
        <f t="shared" si="58"/>
        <v>2173.6999999999998</v>
      </c>
      <c r="AA67" s="56">
        <f t="shared" ref="AA67:AD67" si="59">SUM(AA9:AA66)</f>
        <v>2097</v>
      </c>
      <c r="AB67" s="56">
        <f t="shared" si="59"/>
        <v>2277.3000000000002</v>
      </c>
      <c r="AC67" s="56">
        <f t="shared" si="59"/>
        <v>2156.1</v>
      </c>
      <c r="AD67" s="56">
        <f t="shared" si="59"/>
        <v>2056.5</v>
      </c>
      <c r="AE67" s="56">
        <f t="shared" ref="AE67:AH67" si="60">SUM(AE9:AE66)</f>
        <v>1906.5</v>
      </c>
      <c r="AF67" s="56">
        <f t="shared" si="60"/>
        <v>2094.9</v>
      </c>
      <c r="AG67" s="56">
        <f t="shared" si="60"/>
        <v>2163.6000000000004</v>
      </c>
      <c r="AH67" s="56">
        <f t="shared" si="60"/>
        <v>2273.6000000000004</v>
      </c>
      <c r="AI67" s="56">
        <f t="shared" ref="AI67:CC67" si="61">SUM(AI9:AI66)</f>
        <v>2388.6999999999998</v>
      </c>
      <c r="AJ67" s="56">
        <f t="shared" si="61"/>
        <v>2585.6</v>
      </c>
      <c r="AK67" s="56">
        <f t="shared" si="61"/>
        <v>2652.3999999999996</v>
      </c>
      <c r="AL67" s="56">
        <f t="shared" si="61"/>
        <v>2920.9999999999995</v>
      </c>
      <c r="AM67" s="56">
        <f t="shared" si="61"/>
        <v>2746.8</v>
      </c>
      <c r="AN67" s="56">
        <f t="shared" si="61"/>
        <v>2955.7000000000003</v>
      </c>
      <c r="AO67" s="56">
        <f t="shared" si="61"/>
        <v>2751.9</v>
      </c>
      <c r="AP67" s="56">
        <f t="shared" si="61"/>
        <v>3320.8</v>
      </c>
      <c r="AQ67" s="56">
        <f t="shared" si="61"/>
        <v>3209.4366336633661</v>
      </c>
      <c r="AR67" s="56">
        <f t="shared" si="61"/>
        <v>3330.7</v>
      </c>
      <c r="AS67" s="56">
        <f t="shared" si="61"/>
        <v>3344.2333333333336</v>
      </c>
      <c r="AT67" s="56">
        <f t="shared" si="61"/>
        <v>3650.4000000000005</v>
      </c>
      <c r="AU67" s="56">
        <f t="shared" si="61"/>
        <v>3437.8</v>
      </c>
      <c r="AV67" s="56">
        <f t="shared" si="61"/>
        <v>3648.1</v>
      </c>
      <c r="AW67" s="56">
        <f t="shared" si="61"/>
        <v>3939.8</v>
      </c>
      <c r="AX67" s="56">
        <f t="shared" si="61"/>
        <v>5680.6</v>
      </c>
      <c r="AY67" s="56">
        <f t="shared" si="61"/>
        <v>4308.9000000000005</v>
      </c>
      <c r="AZ67" s="56">
        <f t="shared" si="61"/>
        <v>4193.8</v>
      </c>
      <c r="BA67" s="56">
        <f t="shared" si="61"/>
        <v>5899.2999999999993</v>
      </c>
      <c r="BB67" s="56">
        <f t="shared" si="61"/>
        <v>6665.7000000000007</v>
      </c>
      <c r="BC67" s="56">
        <f t="shared" si="61"/>
        <v>6241.8000000000011</v>
      </c>
      <c r="BD67" s="56">
        <f t="shared" si="61"/>
        <v>6703.4999999999991</v>
      </c>
      <c r="BE67" s="56">
        <f t="shared" si="61"/>
        <v>6796.9000000000005</v>
      </c>
      <c r="BF67" s="56">
        <f t="shared" si="61"/>
        <v>5210.5</v>
      </c>
      <c r="BG67" s="56">
        <f t="shared" si="61"/>
        <v>4891.8</v>
      </c>
      <c r="BH67" s="56">
        <f t="shared" si="61"/>
        <v>5113.5</v>
      </c>
      <c r="BI67" s="56">
        <f t="shared" si="61"/>
        <v>5562</v>
      </c>
      <c r="BJ67" s="56">
        <f t="shared" si="61"/>
        <v>5934</v>
      </c>
      <c r="BK67" s="56">
        <f t="shared" si="61"/>
        <v>5485.5</v>
      </c>
      <c r="BL67" s="56">
        <f t="shared" si="61"/>
        <v>5748.7</v>
      </c>
      <c r="BM67" s="56">
        <f t="shared" si="61"/>
        <v>5654.8</v>
      </c>
      <c r="BN67" s="56">
        <f t="shared" si="61"/>
        <v>6187.2000000000007</v>
      </c>
      <c r="BO67" s="56">
        <f t="shared" si="61"/>
        <v>5839.2</v>
      </c>
      <c r="BP67" s="56">
        <f t="shared" si="61"/>
        <v>6252.7999999999984</v>
      </c>
      <c r="BQ67" s="56">
        <f t="shared" si="61"/>
        <v>6148.1</v>
      </c>
      <c r="BR67" s="56">
        <f t="shared" si="61"/>
        <v>6047.3</v>
      </c>
      <c r="BS67" s="56">
        <f t="shared" si="61"/>
        <v>5602.4000000000005</v>
      </c>
      <c r="BT67" s="56">
        <f t="shared" si="61"/>
        <v>5600.4999999999991</v>
      </c>
      <c r="BU67" s="56">
        <f t="shared" si="61"/>
        <v>5442.5</v>
      </c>
      <c r="BV67" s="56">
        <f t="shared" si="61"/>
        <v>5957.3</v>
      </c>
      <c r="BW67" s="56">
        <f t="shared" si="61"/>
        <v>5602</v>
      </c>
      <c r="BX67" s="56">
        <f t="shared" si="61"/>
        <v>5929.7</v>
      </c>
      <c r="BY67" s="56">
        <f t="shared" si="61"/>
        <v>5772.6</v>
      </c>
      <c r="BZ67" s="56">
        <f t="shared" si="61"/>
        <v>5808.8</v>
      </c>
      <c r="CA67" s="56">
        <f t="shared" si="61"/>
        <v>4683.1000000000004</v>
      </c>
      <c r="CB67" s="56">
        <f t="shared" si="61"/>
        <v>4935.6000000000004</v>
      </c>
      <c r="CC67" s="56">
        <f t="shared" si="61"/>
        <v>4875.6000000000004</v>
      </c>
      <c r="CD67" s="56">
        <f t="shared" ref="CD67:CZ67" si="62">SUM(CD5:CD66)</f>
        <v>5121.3</v>
      </c>
      <c r="CE67" s="56">
        <f t="shared" si="62"/>
        <v>4644.7</v>
      </c>
      <c r="CF67" s="56">
        <f t="shared" si="62"/>
        <v>4978.7</v>
      </c>
      <c r="CG67" s="56">
        <f t="shared" si="62"/>
        <v>4959.7</v>
      </c>
      <c r="CH67" s="56">
        <f t="shared" si="62"/>
        <v>5375.6</v>
      </c>
      <c r="CI67" s="56">
        <f t="shared" si="62"/>
        <v>4865.1000000000004</v>
      </c>
      <c r="CJ67" s="56">
        <f t="shared" si="62"/>
        <v>5404.8</v>
      </c>
      <c r="CK67" s="56">
        <f t="shared" si="62"/>
        <v>5191.7</v>
      </c>
      <c r="CL67" s="56">
        <f t="shared" si="62"/>
        <v>5760.5</v>
      </c>
      <c r="CM67" s="56">
        <f t="shared" si="62"/>
        <v>5228.3</v>
      </c>
      <c r="CN67" s="56">
        <f t="shared" si="62"/>
        <v>5824.3</v>
      </c>
      <c r="CO67" s="56">
        <f t="shared" si="62"/>
        <v>5658</v>
      </c>
      <c r="CP67" s="56">
        <f t="shared" si="62"/>
        <v>6160.7</v>
      </c>
      <c r="CQ67" s="56">
        <f t="shared" si="62"/>
        <v>4963.8</v>
      </c>
      <c r="CR67" s="56">
        <f t="shared" si="62"/>
        <v>6355.2</v>
      </c>
      <c r="CS67" s="56">
        <f t="shared" si="62"/>
        <v>6061.9</v>
      </c>
      <c r="CT67" s="56">
        <f t="shared" si="62"/>
        <v>6438.6</v>
      </c>
      <c r="CU67" s="56">
        <f t="shared" si="62"/>
        <v>5092.0999999999976</v>
      </c>
      <c r="CV67" s="56">
        <f t="shared" si="62"/>
        <v>5636.8000000000011</v>
      </c>
      <c r="CW67" s="56">
        <f t="shared" si="62"/>
        <v>5476.6</v>
      </c>
      <c r="CX67" s="56">
        <f t="shared" si="62"/>
        <v>6113.7999999999993</v>
      </c>
      <c r="CY67" s="56">
        <f t="shared" si="62"/>
        <v>5859.7999999999975</v>
      </c>
      <c r="CZ67" s="56">
        <f t="shared" si="62"/>
        <v>5499.3999999999987</v>
      </c>
      <c r="DA67" s="56">
        <f>SUM(DA5:DA56)</f>
        <v>5740.5999999999985</v>
      </c>
      <c r="DB67" s="56">
        <f>SUM(DB5:DB58)</f>
        <v>7440.0999999999995</v>
      </c>
      <c r="DC67" s="56">
        <f>SUM(DC5:DC56)</f>
        <v>6805.6</v>
      </c>
      <c r="DD67" s="56">
        <f>SUM(DD5:DD58)</f>
        <v>6739.9999999999973</v>
      </c>
      <c r="DE67" s="56">
        <f>SUM(DE5:DE56)</f>
        <v>6772.9999999999982</v>
      </c>
      <c r="DF67" s="56">
        <f>SUM(DF5:DF58)</f>
        <v>7999.9</v>
      </c>
      <c r="DG67" s="56">
        <f>SUM(DG5:DG37)</f>
        <v>7810.0999999999995</v>
      </c>
      <c r="DH67" s="56">
        <f>SUM(DH5:DH45)</f>
        <v>6487.9000000000015</v>
      </c>
      <c r="DI67" s="56">
        <f t="shared" ref="DI67:DN67" si="63">SUM(DI5:DI37)</f>
        <v>6941.5</v>
      </c>
      <c r="DJ67" s="56">
        <f t="shared" si="63"/>
        <v>7301.9000000000015</v>
      </c>
      <c r="DK67" s="56">
        <f>SUM(DK5:DK45)</f>
        <v>6960.2</v>
      </c>
      <c r="DL67" s="56">
        <f t="shared" si="63"/>
        <v>7733.1999999999989</v>
      </c>
      <c r="DM67" s="56">
        <f>SUM(DM5:DM48)</f>
        <v>8078.699999999998</v>
      </c>
      <c r="DN67" s="56">
        <f t="shared" si="63"/>
        <v>9466.3000000000011</v>
      </c>
      <c r="DO67" s="56">
        <f>SUM(DO5:DO51)</f>
        <v>8768.2999999999993</v>
      </c>
      <c r="DP67" s="56">
        <f>SUM(DP5:DP51)</f>
        <v>11302.699999999999</v>
      </c>
      <c r="DQ67" s="56">
        <f>SUM(DQ5:DQ43)</f>
        <v>11439.200000000004</v>
      </c>
      <c r="DR67" s="56">
        <f>SUM(DR5:DR37)</f>
        <v>12911.220000000003</v>
      </c>
      <c r="DS67" s="56">
        <f>SUM(DS5:DS37)</f>
        <v>12880.395000000002</v>
      </c>
      <c r="DT67" s="56">
        <f t="shared" ref="DT67:DV67" si="64">SUM(DT5:DT37)</f>
        <v>14337.105000000003</v>
      </c>
      <c r="DU67" s="56">
        <f t="shared" si="64"/>
        <v>15290.965000000007</v>
      </c>
      <c r="DV67" s="56">
        <f t="shared" si="64"/>
        <v>16797.196500000005</v>
      </c>
      <c r="DW67" s="57"/>
      <c r="DX67" s="57">
        <v>2140</v>
      </c>
      <c r="DY67" s="57"/>
      <c r="DZ67" s="57"/>
      <c r="EA67" s="57"/>
      <c r="EB67" s="57"/>
      <c r="EC67" s="57"/>
      <c r="ED67" s="57"/>
      <c r="EE67" s="57"/>
      <c r="EF67" s="57">
        <v>5198.5</v>
      </c>
      <c r="EG67" s="57">
        <v>5711.6</v>
      </c>
      <c r="EH67" s="57">
        <v>6508.8</v>
      </c>
      <c r="EI67" s="57">
        <v>6998.3</v>
      </c>
      <c r="EJ67" s="57">
        <v>7987.7</v>
      </c>
      <c r="EK67" s="57">
        <v>9236.7999999999993</v>
      </c>
      <c r="EL67" s="57">
        <v>10002.9</v>
      </c>
      <c r="EM67" s="57">
        <v>10862.2</v>
      </c>
      <c r="EN67" s="56">
        <v>11629</v>
      </c>
      <c r="EO67" s="56">
        <f t="shared" ref="EO67:EZ67" si="65">SUM(EO9:EO66)</f>
        <v>11156.2</v>
      </c>
      <c r="EP67" s="56">
        <f t="shared" si="65"/>
        <v>12585</v>
      </c>
      <c r="EQ67" s="56">
        <f t="shared" si="65"/>
        <v>13859</v>
      </c>
      <c r="ER67" s="56">
        <f t="shared" si="65"/>
        <v>14650</v>
      </c>
      <c r="ES67" s="56">
        <f t="shared" si="65"/>
        <v>15783.499999999998</v>
      </c>
      <c r="ET67" s="56">
        <f t="shared" si="65"/>
        <v>18565.199999999997</v>
      </c>
      <c r="EU67" s="56">
        <f t="shared" si="65"/>
        <v>19604.942499999997</v>
      </c>
      <c r="EV67" s="56">
        <f t="shared" si="65"/>
        <v>20974.425124999998</v>
      </c>
      <c r="EW67" s="56">
        <f t="shared" si="65"/>
        <v>21893.8</v>
      </c>
      <c r="EX67" s="56">
        <f t="shared" si="65"/>
        <v>23877.3</v>
      </c>
      <c r="EY67" s="56">
        <f t="shared" si="65"/>
        <v>22001.5</v>
      </c>
      <c r="EZ67" s="56">
        <f t="shared" si="65"/>
        <v>23113.100000000002</v>
      </c>
      <c r="FA67" s="56">
        <f t="shared" ref="FA67:FQ67" si="66">SUM(FA5:FA66)</f>
        <v>19615.7</v>
      </c>
      <c r="FB67" s="56">
        <f t="shared" si="66"/>
        <v>20030.3</v>
      </c>
      <c r="FC67" s="56">
        <f t="shared" si="66"/>
        <v>21623.4</v>
      </c>
      <c r="FD67" s="56">
        <f t="shared" si="66"/>
        <v>19974.200000000004</v>
      </c>
      <c r="FE67" s="56">
        <f t="shared" si="66"/>
        <v>21493.1</v>
      </c>
      <c r="FF67" s="56">
        <f t="shared" si="66"/>
        <v>22319.3</v>
      </c>
      <c r="FG67" s="56">
        <f t="shared" si="66"/>
        <v>24539.899999999998</v>
      </c>
      <c r="FH67" s="56">
        <f t="shared" si="66"/>
        <v>28318.499999999996</v>
      </c>
      <c r="FI67" s="56">
        <f t="shared" si="66"/>
        <v>28541.400000000005</v>
      </c>
      <c r="FJ67" s="56">
        <f t="shared" si="66"/>
        <v>32076.7</v>
      </c>
      <c r="FK67" s="56">
        <f>SUM(FK5:FK66)</f>
        <v>43863.520000000004</v>
      </c>
      <c r="FL67" s="56">
        <f t="shared" si="66"/>
        <v>50483.998999999996</v>
      </c>
      <c r="FM67" s="56">
        <f t="shared" si="66"/>
        <v>60358.484550000001</v>
      </c>
      <c r="FN67" s="56">
        <f t="shared" si="66"/>
        <v>73409.227917499986</v>
      </c>
      <c r="FO67" s="56">
        <f t="shared" si="66"/>
        <v>82867.350812374949</v>
      </c>
      <c r="FP67" s="56">
        <f t="shared" si="66"/>
        <v>89002.775765193772</v>
      </c>
      <c r="FQ67" s="56">
        <f t="shared" si="66"/>
        <v>82239.284758884911</v>
      </c>
    </row>
    <row r="68" spans="1:251" x14ac:dyDescent="0.2">
      <c r="A68" s="102"/>
      <c r="B68" t="s">
        <v>58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>
        <v>865.7</v>
      </c>
      <c r="AQ68" s="51">
        <v>859</v>
      </c>
      <c r="AR68" s="51">
        <v>871.3</v>
      </c>
      <c r="AS68" s="51">
        <v>845.7</v>
      </c>
      <c r="AT68" s="51">
        <v>898.2</v>
      </c>
      <c r="AU68" s="51">
        <v>806.5</v>
      </c>
      <c r="AV68" s="47">
        <v>861</v>
      </c>
      <c r="AW68" s="51">
        <v>906.2</v>
      </c>
      <c r="AX68" s="51">
        <v>1066.7</v>
      </c>
      <c r="AY68" s="51">
        <v>922.5</v>
      </c>
      <c r="AZ68" s="51">
        <v>998.9</v>
      </c>
      <c r="BA68" s="51">
        <v>1054.5999999999999</v>
      </c>
      <c r="BB68" s="51">
        <v>1272.8</v>
      </c>
      <c r="BC68" s="51">
        <v>1111.3</v>
      </c>
      <c r="BD68" s="51">
        <v>1200.9000000000001</v>
      </c>
      <c r="BE68" s="51">
        <v>1155.2</v>
      </c>
      <c r="BF68" s="51">
        <v>899.6</v>
      </c>
      <c r="BG68" s="51">
        <v>816.4</v>
      </c>
      <c r="BH68" s="51">
        <v>947.4</v>
      </c>
      <c r="BI68" s="51">
        <v>1051.9000000000001</v>
      </c>
      <c r="BJ68" s="51">
        <v>1431.3</v>
      </c>
      <c r="BK68" s="51">
        <v>1122.5</v>
      </c>
      <c r="BL68" s="51">
        <v>1023.9</v>
      </c>
      <c r="BM68" s="51">
        <v>987.6</v>
      </c>
      <c r="BN68" s="51">
        <v>1232.2</v>
      </c>
      <c r="BO68" s="51">
        <v>1180.0999999999999</v>
      </c>
      <c r="BP68" s="51">
        <v>1228</v>
      </c>
      <c r="BQ68" s="51">
        <v>1338.1</v>
      </c>
      <c r="BR68" s="51">
        <v>1321.7</v>
      </c>
      <c r="BS68" s="51">
        <v>1197.9000000000001</v>
      </c>
      <c r="BT68" s="51">
        <v>1146.7</v>
      </c>
      <c r="BU68" s="51">
        <v>1203.5999999999999</v>
      </c>
      <c r="BV68" s="51">
        <v>1248.3</v>
      </c>
      <c r="BW68" s="51">
        <v>1158.3</v>
      </c>
      <c r="BX68" s="51">
        <v>1165.2</v>
      </c>
      <c r="BY68" s="51">
        <v>1198.0999999999999</v>
      </c>
      <c r="BZ68" s="51">
        <v>1386.5</v>
      </c>
      <c r="CA68" s="51">
        <v>1222.7</v>
      </c>
      <c r="CB68" s="51">
        <v>1189.7</v>
      </c>
      <c r="CC68" s="51">
        <v>1267</v>
      </c>
      <c r="CD68" s="51">
        <v>1253.0999999999999</v>
      </c>
      <c r="CE68" s="51">
        <v>1192.7</v>
      </c>
      <c r="CF68" s="51">
        <v>1033.9000000000001</v>
      </c>
      <c r="CG68" s="51">
        <v>1236.9000000000001</v>
      </c>
      <c r="CH68" s="51">
        <v>1389.2</v>
      </c>
      <c r="CI68" s="51">
        <v>1323</v>
      </c>
      <c r="CJ68" s="51">
        <v>1298.4000000000001</v>
      </c>
      <c r="CK68" s="51">
        <v>1400.9</v>
      </c>
      <c r="CL68" s="51">
        <v>1466</v>
      </c>
      <c r="CM68" s="51">
        <v>1347.9</v>
      </c>
      <c r="CN68" s="51">
        <v>1571.7</v>
      </c>
      <c r="CO68" s="51">
        <v>1586.3</v>
      </c>
      <c r="CP68" s="51">
        <v>1644.9</v>
      </c>
      <c r="CQ68" s="51">
        <v>1571.3</v>
      </c>
      <c r="CR68" s="51">
        <v>1702.7</v>
      </c>
      <c r="CS68" s="51">
        <v>1562.3</v>
      </c>
      <c r="CT68" s="51">
        <v>1593.7</v>
      </c>
      <c r="CU68" s="51">
        <v>1010.5</v>
      </c>
      <c r="CV68" s="51">
        <v>1073.3</v>
      </c>
      <c r="CW68" s="51">
        <v>1118.4000000000001</v>
      </c>
      <c r="CX68" s="51">
        <v>1229.4000000000001</v>
      </c>
      <c r="CY68" s="51">
        <v>1156.5</v>
      </c>
      <c r="CZ68" s="51">
        <v>1119.2</v>
      </c>
      <c r="DA68" s="51">
        <v>1199.9000000000001</v>
      </c>
      <c r="DB68" s="51">
        <v>1719.8</v>
      </c>
      <c r="DC68" s="51">
        <v>1671.4</v>
      </c>
      <c r="DD68" s="51">
        <v>1398</v>
      </c>
      <c r="DE68" s="51">
        <v>1421.8</v>
      </c>
      <c r="DF68" s="51">
        <v>2050.1999999999998</v>
      </c>
      <c r="DG68" s="51">
        <v>1867.5</v>
      </c>
      <c r="DH68" s="51">
        <v>1309.2</v>
      </c>
      <c r="DI68" s="51">
        <v>1579.1</v>
      </c>
      <c r="DJ68" s="51">
        <f>1548.1-124.1</f>
        <v>1424</v>
      </c>
      <c r="DK68" s="51">
        <f>1626.7-125.8</f>
        <v>1500.9</v>
      </c>
      <c r="DL68" s="51">
        <f>1807.4-126.4</f>
        <v>1681</v>
      </c>
      <c r="DM68" s="52">
        <f>1860-125</f>
        <v>1735</v>
      </c>
      <c r="DN68" s="51">
        <f>1788-129</f>
        <v>1659</v>
      </c>
      <c r="DO68" s="51">
        <f>1673.5-139.1</f>
        <v>1534.4</v>
      </c>
      <c r="DP68" s="51">
        <f>2170.2-139.1</f>
        <v>2031.1</v>
      </c>
      <c r="DQ68" s="51">
        <f>2170.8-139.4</f>
        <v>2031.4</v>
      </c>
      <c r="DR68" s="51">
        <f t="shared" ref="DR68" si="67">+DR67-DR69</f>
        <v>2453.1317999999992</v>
      </c>
      <c r="DS68" s="51"/>
      <c r="DT68" s="51"/>
      <c r="DU68" s="51"/>
      <c r="DV68" s="51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>
        <v>1946</v>
      </c>
      <c r="EK68" s="49">
        <v>2015.1</v>
      </c>
      <c r="EL68" s="49">
        <v>2098</v>
      </c>
      <c r="EM68" s="49">
        <v>2055.6999999999998</v>
      </c>
      <c r="EN68" s="51">
        <v>2160</v>
      </c>
      <c r="EO68" s="51">
        <v>2177</v>
      </c>
      <c r="EP68" s="51">
        <v>2675</v>
      </c>
      <c r="EQ68" s="51">
        <v>3224</v>
      </c>
      <c r="ER68" s="51">
        <v>3474</v>
      </c>
      <c r="ES68" s="51">
        <v>3501</v>
      </c>
      <c r="ET68" s="51">
        <f>ET67-ET69</f>
        <v>4084.3439999999991</v>
      </c>
      <c r="EU68" s="51">
        <f>EU67-EU69</f>
        <v>-980.75749999999971</v>
      </c>
      <c r="EV68" s="51">
        <f>EV67-EV69</f>
        <v>3720.1251249999987</v>
      </c>
      <c r="EW68" s="51">
        <f>SUM(BK68:BN68)</f>
        <v>4366.2</v>
      </c>
      <c r="EX68" s="51">
        <f>SUM(BO68:BR68)</f>
        <v>5067.8999999999996</v>
      </c>
      <c r="EY68" s="51">
        <f>SUM(BS68:BV68)</f>
        <v>4796.5</v>
      </c>
      <c r="EZ68" s="51">
        <f t="shared" ref="EZ68:FA68" si="68">EZ67-EZ69</f>
        <v>23113.100000000002</v>
      </c>
      <c r="FA68" s="51">
        <f t="shared" si="68"/>
        <v>19615.7</v>
      </c>
      <c r="FB68" s="51"/>
      <c r="FC68" s="51"/>
      <c r="FD68" s="51">
        <v>4447.7</v>
      </c>
      <c r="FE68" s="51">
        <v>4681.7</v>
      </c>
      <c r="FF68" s="49">
        <f t="shared" ref="FF68" si="69">SUM(CU68:CX68)</f>
        <v>4431.6000000000004</v>
      </c>
      <c r="FG68" s="49">
        <f t="shared" ref="FG68" si="70">SUM(CY68:DB68)</f>
        <v>5195.3999999999996</v>
      </c>
      <c r="FH68" s="49">
        <f>SUM(DC68:DF68)</f>
        <v>6541.4</v>
      </c>
      <c r="FI68" s="49">
        <f>SUM(DG68:DJ68)</f>
        <v>6179.7999999999993</v>
      </c>
      <c r="FJ68" s="49">
        <f>SUM(DK68:DN68)</f>
        <v>6575.9</v>
      </c>
      <c r="FK68" s="49">
        <f>SUM(Model!DO68:DR68)</f>
        <v>8050.0317999999988</v>
      </c>
      <c r="FL68" s="49">
        <f t="shared" ref="FL68:FQ68" si="71">FL67-FL69</f>
        <v>10601.639789999994</v>
      </c>
      <c r="FM68" s="49">
        <f t="shared" si="71"/>
        <v>12675.2817555</v>
      </c>
      <c r="FN68" s="49">
        <f t="shared" si="71"/>
        <v>15415.937862674997</v>
      </c>
      <c r="FO68" s="49">
        <f t="shared" si="71"/>
        <v>17402.143670598736</v>
      </c>
      <c r="FP68" s="49">
        <f t="shared" si="71"/>
        <v>18690.582910690689</v>
      </c>
      <c r="FQ68" s="49">
        <f t="shared" si="71"/>
        <v>12335.892713832742</v>
      </c>
    </row>
    <row r="69" spans="1:251" x14ac:dyDescent="0.2">
      <c r="A69" s="102"/>
      <c r="B69" t="s">
        <v>123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>
        <f t="shared" ref="AP69:AX69" si="72">AP67-AP68</f>
        <v>2455.1000000000004</v>
      </c>
      <c r="AQ69" s="51">
        <f t="shared" si="72"/>
        <v>2350.4366336633661</v>
      </c>
      <c r="AR69" s="51">
        <f t="shared" si="72"/>
        <v>2459.3999999999996</v>
      </c>
      <c r="AS69" s="51">
        <f t="shared" si="72"/>
        <v>2498.5333333333338</v>
      </c>
      <c r="AT69" s="51">
        <f t="shared" si="72"/>
        <v>2752.2000000000007</v>
      </c>
      <c r="AU69" s="51">
        <f t="shared" si="72"/>
        <v>2631.3</v>
      </c>
      <c r="AV69" s="51">
        <f t="shared" si="72"/>
        <v>2787.1</v>
      </c>
      <c r="AW69" s="51">
        <f t="shared" si="72"/>
        <v>3033.6000000000004</v>
      </c>
      <c r="AX69" s="51">
        <f t="shared" si="72"/>
        <v>4613.9000000000005</v>
      </c>
      <c r="AY69" s="51">
        <f t="shared" ref="AY69:BG69" si="73">AY67-AY68</f>
        <v>3386.4000000000005</v>
      </c>
      <c r="AZ69" s="51">
        <f t="shared" si="73"/>
        <v>3194.9</v>
      </c>
      <c r="BA69" s="51">
        <f t="shared" si="73"/>
        <v>4844.6999999999989</v>
      </c>
      <c r="BB69" s="51">
        <f t="shared" si="73"/>
        <v>5392.9000000000005</v>
      </c>
      <c r="BC69" s="51">
        <f t="shared" si="73"/>
        <v>5130.5000000000009</v>
      </c>
      <c r="BD69" s="51">
        <f t="shared" si="73"/>
        <v>5502.5999999999985</v>
      </c>
      <c r="BE69" s="51">
        <f t="shared" si="73"/>
        <v>5641.7000000000007</v>
      </c>
      <c r="BF69" s="51">
        <f t="shared" si="73"/>
        <v>4310.8999999999996</v>
      </c>
      <c r="BG69" s="51">
        <f t="shared" si="73"/>
        <v>4075.4</v>
      </c>
      <c r="BH69" s="51">
        <f t="shared" ref="BH69:BM69" si="74">BH67-BH68</f>
        <v>4166.1000000000004</v>
      </c>
      <c r="BI69" s="51">
        <f t="shared" si="74"/>
        <v>4510.1000000000004</v>
      </c>
      <c r="BJ69" s="51">
        <f t="shared" si="74"/>
        <v>4502.7</v>
      </c>
      <c r="BK69" s="51">
        <f t="shared" si="74"/>
        <v>4363</v>
      </c>
      <c r="BL69" s="51">
        <f t="shared" si="74"/>
        <v>4724.8</v>
      </c>
      <c r="BM69" s="51">
        <f t="shared" si="74"/>
        <v>4667.2</v>
      </c>
      <c r="BN69" s="51">
        <f>+BN67-BN68</f>
        <v>4955.0000000000009</v>
      </c>
      <c r="BO69" s="51">
        <f>+BO67-BO68</f>
        <v>4659.1000000000004</v>
      </c>
      <c r="BP69" s="51">
        <f>BP67-BP68</f>
        <v>5024.7999999999984</v>
      </c>
      <c r="BQ69" s="51">
        <f>BQ67-BQ68</f>
        <v>4810</v>
      </c>
      <c r="BR69" s="51">
        <f>+BR67-BR68</f>
        <v>4725.6000000000004</v>
      </c>
      <c r="BS69" s="51">
        <f>+BS67-BS68</f>
        <v>4404.5</v>
      </c>
      <c r="BT69" s="51">
        <f>+BT67-BT68</f>
        <v>4453.7999999999993</v>
      </c>
      <c r="BU69" s="51">
        <f>+BU67-BU68</f>
        <v>4238.8999999999996</v>
      </c>
      <c r="BV69" s="51">
        <f>+BV67-BV68</f>
        <v>4709</v>
      </c>
      <c r="BW69" s="51">
        <f t="shared" ref="BW69:BZ69" si="75">+BW67-BW68</f>
        <v>4443.7</v>
      </c>
      <c r="BX69" s="51">
        <f t="shared" si="75"/>
        <v>4764.5</v>
      </c>
      <c r="BY69" s="51">
        <f t="shared" si="75"/>
        <v>4574.5</v>
      </c>
      <c r="BZ69" s="51">
        <f t="shared" si="75"/>
        <v>4422.3</v>
      </c>
      <c r="CA69" s="51">
        <f t="shared" ref="CA69" si="76">CA67-CA68</f>
        <v>3460.4000000000005</v>
      </c>
      <c r="CB69" s="51">
        <f t="shared" ref="CB69:CC69" si="77">CB67-CB68</f>
        <v>3745.9000000000005</v>
      </c>
      <c r="CC69" s="51">
        <f t="shared" si="77"/>
        <v>3608.6000000000004</v>
      </c>
      <c r="CD69" s="51">
        <f t="shared" ref="CD69" si="78">CD67-CD68</f>
        <v>3868.2000000000003</v>
      </c>
      <c r="CE69" s="51">
        <f t="shared" ref="CE69:CF69" si="79">CE67-CE68</f>
        <v>3452</v>
      </c>
      <c r="CF69" s="51">
        <f t="shared" si="79"/>
        <v>3944.7999999999997</v>
      </c>
      <c r="CG69" s="51">
        <f t="shared" ref="CG69:CI69" si="80">CG67-CG68</f>
        <v>3722.7999999999997</v>
      </c>
      <c r="CH69" s="51">
        <f t="shared" si="80"/>
        <v>3986.4000000000005</v>
      </c>
      <c r="CI69" s="51">
        <f t="shared" si="80"/>
        <v>3542.1000000000004</v>
      </c>
      <c r="CJ69" s="51">
        <f t="shared" ref="CJ69:CK69" si="81">CJ67-CJ68</f>
        <v>4106.3999999999996</v>
      </c>
      <c r="CK69" s="51">
        <f t="shared" si="81"/>
        <v>3790.7999999999997</v>
      </c>
      <c r="CL69" s="51">
        <f t="shared" ref="CL69:CM69" si="82">CL67-CL68</f>
        <v>4294.5</v>
      </c>
      <c r="CM69" s="51">
        <f t="shared" si="82"/>
        <v>3880.4</v>
      </c>
      <c r="CN69" s="51">
        <f t="shared" ref="CN69:CP69" si="83">CN67-CN68</f>
        <v>4252.6000000000004</v>
      </c>
      <c r="CO69" s="51">
        <f t="shared" si="83"/>
        <v>4071.7</v>
      </c>
      <c r="CP69" s="51">
        <f t="shared" si="83"/>
        <v>4515.7999999999993</v>
      </c>
      <c r="CQ69" s="51">
        <f t="shared" ref="CQ69:CR69" si="84">CQ67-CQ68</f>
        <v>3392.5</v>
      </c>
      <c r="CR69" s="51">
        <f t="shared" si="84"/>
        <v>4652.5</v>
      </c>
      <c r="CS69" s="51">
        <f t="shared" ref="CS69:CT69" si="85">CS67-CS68</f>
        <v>4499.5999999999995</v>
      </c>
      <c r="CT69" s="51">
        <f t="shared" si="85"/>
        <v>4844.9000000000005</v>
      </c>
      <c r="CU69" s="51">
        <f t="shared" ref="CU69:DG69" si="86">CU67-CU68</f>
        <v>4081.5999999999976</v>
      </c>
      <c r="CV69" s="51">
        <f t="shared" si="86"/>
        <v>4563.5000000000009</v>
      </c>
      <c r="CW69" s="51">
        <f t="shared" si="86"/>
        <v>4358.2000000000007</v>
      </c>
      <c r="CX69" s="51">
        <f t="shared" si="86"/>
        <v>4884.3999999999996</v>
      </c>
      <c r="CY69" s="51">
        <f t="shared" si="86"/>
        <v>4703.2999999999975</v>
      </c>
      <c r="CZ69" s="51">
        <f t="shared" si="86"/>
        <v>4380.1999999999989</v>
      </c>
      <c r="DA69" s="51">
        <f t="shared" si="86"/>
        <v>4540.6999999999989</v>
      </c>
      <c r="DB69" s="51">
        <f t="shared" si="86"/>
        <v>5720.2999999999993</v>
      </c>
      <c r="DC69" s="51">
        <f t="shared" si="86"/>
        <v>5134.2000000000007</v>
      </c>
      <c r="DD69" s="51">
        <f t="shared" si="86"/>
        <v>5341.9999999999973</v>
      </c>
      <c r="DE69" s="51">
        <f t="shared" si="86"/>
        <v>5351.199999999998</v>
      </c>
      <c r="DF69" s="51">
        <f t="shared" si="86"/>
        <v>5949.7</v>
      </c>
      <c r="DG69" s="51">
        <f t="shared" si="86"/>
        <v>5942.5999999999995</v>
      </c>
      <c r="DH69" s="51">
        <f>DH67-DH68</f>
        <v>5178.7000000000016</v>
      </c>
      <c r="DI69" s="51">
        <f>+DI67-DI68</f>
        <v>5362.4</v>
      </c>
      <c r="DJ69" s="51">
        <f>+DJ67-DJ68</f>
        <v>5877.9000000000015</v>
      </c>
      <c r="DK69" s="51">
        <f>DK67-DK68</f>
        <v>5459.2999999999993</v>
      </c>
      <c r="DL69" s="51">
        <f t="shared" ref="DL69:DQ69" si="87">+DL67-DL68</f>
        <v>6052.1999999999989</v>
      </c>
      <c r="DM69" s="51">
        <f t="shared" si="87"/>
        <v>6343.699999999998</v>
      </c>
      <c r="DN69" s="51">
        <f t="shared" si="87"/>
        <v>7807.3000000000011</v>
      </c>
      <c r="DO69" s="51">
        <f t="shared" si="87"/>
        <v>7233.9</v>
      </c>
      <c r="DP69" s="51">
        <f t="shared" si="87"/>
        <v>9271.5999999999985</v>
      </c>
      <c r="DQ69" s="51">
        <f t="shared" si="87"/>
        <v>9407.8000000000047</v>
      </c>
      <c r="DR69" s="51">
        <f t="shared" ref="DR69" si="88">+DR67*0.81</f>
        <v>10458.088200000004</v>
      </c>
      <c r="DS69" s="51"/>
      <c r="DT69" s="51"/>
      <c r="DU69" s="51"/>
      <c r="DV69" s="51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>
        <f>+EJ67-EJ68</f>
        <v>6041.7</v>
      </c>
      <c r="EK69" s="49">
        <f>+EK67-EK68</f>
        <v>7221.6999999999989</v>
      </c>
      <c r="EL69" s="49">
        <f t="shared" ref="EL69:EN69" si="89">+EL67-EL68</f>
        <v>7904.9</v>
      </c>
      <c r="EM69" s="49">
        <f t="shared" si="89"/>
        <v>8806.5</v>
      </c>
      <c r="EN69" s="49">
        <f t="shared" si="89"/>
        <v>9469</v>
      </c>
      <c r="EO69" s="51">
        <f t="shared" ref="EO69:ES69" si="90">EO67-EO68</f>
        <v>8979.2000000000007</v>
      </c>
      <c r="EP69" s="51">
        <f t="shared" si="90"/>
        <v>9910</v>
      </c>
      <c r="EQ69" s="51">
        <f t="shared" si="90"/>
        <v>10635</v>
      </c>
      <c r="ER69" s="51">
        <f t="shared" si="90"/>
        <v>11176</v>
      </c>
      <c r="ES69" s="51">
        <f t="shared" si="90"/>
        <v>12282.499999999998</v>
      </c>
      <c r="ET69" s="51">
        <f>ET67*ET90</f>
        <v>14480.855999999998</v>
      </c>
      <c r="EU69" s="51">
        <f>SUM(BC69:BF69)</f>
        <v>20585.699999999997</v>
      </c>
      <c r="EV69" s="51">
        <f>SUM(BG69:BJ69)</f>
        <v>17254.3</v>
      </c>
      <c r="EW69" s="51">
        <f>EW67-EW68</f>
        <v>17527.599999999999</v>
      </c>
      <c r="EX69" s="51">
        <f>EX67-EX68</f>
        <v>18809.400000000001</v>
      </c>
      <c r="EY69" s="51">
        <f>EY67-EY68</f>
        <v>17205</v>
      </c>
      <c r="EZ69" s="51">
        <f t="shared" ref="EZ69:FA69" si="91">EZ67*EZ90</f>
        <v>0</v>
      </c>
      <c r="FA69" s="51">
        <f t="shared" si="91"/>
        <v>0</v>
      </c>
      <c r="FB69" s="51"/>
      <c r="FC69" s="51"/>
      <c r="FD69" s="51">
        <f t="shared" ref="FD69:FE69" si="92">+FD67-FD68</f>
        <v>15526.500000000004</v>
      </c>
      <c r="FE69" s="51">
        <f t="shared" si="92"/>
        <v>16811.399999999998</v>
      </c>
      <c r="FF69" s="51">
        <f>+FF67-FF68</f>
        <v>17887.699999999997</v>
      </c>
      <c r="FG69" s="51">
        <f>+FG67-FG68</f>
        <v>19344.5</v>
      </c>
      <c r="FH69" s="51">
        <f>+FH67-FH68</f>
        <v>21777.1</v>
      </c>
      <c r="FI69" s="51">
        <f>+FI67-FI68</f>
        <v>22361.600000000006</v>
      </c>
      <c r="FJ69" s="51">
        <f>+FJ67-FJ68</f>
        <v>25500.800000000003</v>
      </c>
      <c r="FK69" s="51">
        <f>FK67-FK68</f>
        <v>35813.488200000007</v>
      </c>
      <c r="FL69" s="51">
        <f t="shared" ref="FL69:FO69" si="93">FL67*0.79</f>
        <v>39882.359210000002</v>
      </c>
      <c r="FM69" s="51">
        <f t="shared" si="93"/>
        <v>47683.202794500001</v>
      </c>
      <c r="FN69" s="51">
        <f t="shared" si="93"/>
        <v>57993.290054824989</v>
      </c>
      <c r="FO69" s="51">
        <f t="shared" si="93"/>
        <v>65465.207141776213</v>
      </c>
      <c r="FP69" s="51">
        <f>FP67*0.79</f>
        <v>70312.192854503082</v>
      </c>
      <c r="FQ69" s="51">
        <f>FQ67*0.85</f>
        <v>69903.392045052169</v>
      </c>
    </row>
    <row r="70" spans="1:251" x14ac:dyDescent="0.2">
      <c r="A70" s="102"/>
      <c r="B70" t="s">
        <v>59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>
        <v>1098</v>
      </c>
      <c r="AQ70" s="51">
        <v>1090</v>
      </c>
      <c r="AR70" s="51">
        <v>1146.0999999999999</v>
      </c>
      <c r="AS70" s="51">
        <v>1070.9000000000001</v>
      </c>
      <c r="AT70" s="51">
        <v>1190</v>
      </c>
      <c r="AU70" s="51">
        <v>1143</v>
      </c>
      <c r="AV70" s="51">
        <v>1238</v>
      </c>
      <c r="AW70" s="51">
        <v>1302.3</v>
      </c>
      <c r="AX70" s="51">
        <v>1422.1</v>
      </c>
      <c r="AY70" s="51">
        <v>1336.8</v>
      </c>
      <c r="AZ70" s="51">
        <v>1524.7</v>
      </c>
      <c r="BA70" s="51">
        <v>1477.8</v>
      </c>
      <c r="BB70" s="51">
        <v>1755.8</v>
      </c>
      <c r="BC70" s="51">
        <v>1550.5</v>
      </c>
      <c r="BD70" s="51">
        <v>1700.1</v>
      </c>
      <c r="BE70" s="51">
        <v>1649.2</v>
      </c>
      <c r="BF70" s="51">
        <v>1718.6</v>
      </c>
      <c r="BG70" s="51">
        <v>1529.2</v>
      </c>
      <c r="BH70" s="51">
        <v>1708.2</v>
      </c>
      <c r="BI70" s="51">
        <v>1701.8</v>
      </c>
      <c r="BJ70" s="51">
        <v>1953.3</v>
      </c>
      <c r="BK70" s="51">
        <v>1614.4</v>
      </c>
      <c r="BL70" s="51">
        <v>1755.4</v>
      </c>
      <c r="BM70" s="51">
        <v>1694.9</v>
      </c>
      <c r="BN70" s="51">
        <v>1988.7</v>
      </c>
      <c r="BO70" s="51">
        <v>1785.7</v>
      </c>
      <c r="BP70" s="51">
        <v>2043</v>
      </c>
      <c r="BQ70" s="51">
        <v>1917.8</v>
      </c>
      <c r="BR70" s="51">
        <v>2133.4</v>
      </c>
      <c r="BS70" s="51">
        <v>1847.5</v>
      </c>
      <c r="BT70" s="51">
        <v>1931.1</v>
      </c>
      <c r="BU70" s="51">
        <v>1757.4</v>
      </c>
      <c r="BV70" s="51">
        <v>1977.5</v>
      </c>
      <c r="BW70" s="51">
        <v>1652</v>
      </c>
      <c r="BX70" s="51">
        <v>1867.6</v>
      </c>
      <c r="BY70" s="51">
        <v>1652.4</v>
      </c>
      <c r="BZ70" s="51">
        <v>1953.6</v>
      </c>
      <c r="CA70" s="51">
        <v>1484.9</v>
      </c>
      <c r="CB70" s="51">
        <v>1663.9</v>
      </c>
      <c r="CC70" s="51">
        <v>1672.1</v>
      </c>
      <c r="CD70" s="51">
        <v>1799.9</v>
      </c>
      <c r="CE70" s="51">
        <v>1523.5</v>
      </c>
      <c r="CF70" s="51">
        <v>1635.4</v>
      </c>
      <c r="CG70" s="51">
        <v>1575.7</v>
      </c>
      <c r="CH70" s="51">
        <v>1798.4</v>
      </c>
      <c r="CI70" s="51">
        <v>1473.9</v>
      </c>
      <c r="CJ70" s="51">
        <v>1622.6</v>
      </c>
      <c r="CK70" s="51">
        <v>1565.4</v>
      </c>
      <c r="CL70" s="51">
        <v>1790.1</v>
      </c>
      <c r="CM70" s="51">
        <v>1567.7</v>
      </c>
      <c r="CN70" s="51">
        <v>1730.4</v>
      </c>
      <c r="CO70" s="51">
        <v>1578.5</v>
      </c>
      <c r="CP70" s="51">
        <v>1803.5</v>
      </c>
      <c r="CQ70" s="51">
        <v>1500</v>
      </c>
      <c r="CR70" s="51">
        <v>1653.7</v>
      </c>
      <c r="CS70" s="51">
        <v>1616.6</v>
      </c>
      <c r="CT70" s="51">
        <v>1861.5</v>
      </c>
      <c r="CU70" s="51">
        <v>1517.1</v>
      </c>
      <c r="CV70" s="51">
        <v>1586.3</v>
      </c>
      <c r="CW70" s="51">
        <v>1412.3</v>
      </c>
      <c r="CX70" s="51">
        <v>1698.1</v>
      </c>
      <c r="CY70" s="51">
        <v>1549.6</v>
      </c>
      <c r="CZ70" s="51">
        <v>1448.6</v>
      </c>
      <c r="DA70" s="51">
        <v>1569.1</v>
      </c>
      <c r="DB70" s="51">
        <v>1553.9</v>
      </c>
      <c r="DC70" s="51">
        <v>1576</v>
      </c>
      <c r="DD70" s="51">
        <v>1685.7</v>
      </c>
      <c r="DE70" s="51">
        <v>1577.9</v>
      </c>
      <c r="DF70" s="51">
        <v>1592</v>
      </c>
      <c r="DG70" s="51">
        <v>1557.9</v>
      </c>
      <c r="DH70" s="51">
        <v>1781.9</v>
      </c>
      <c r="DI70" s="51">
        <v>1614.2</v>
      </c>
      <c r="DJ70" s="51">
        <v>1643.2</v>
      </c>
      <c r="DK70" s="51">
        <v>1749.2</v>
      </c>
      <c r="DL70" s="51">
        <v>1925.4</v>
      </c>
      <c r="DM70" s="51">
        <f t="shared" ref="DM70:DM71" si="94">+DI70</f>
        <v>1614.2</v>
      </c>
      <c r="DN70" s="51">
        <v>1924.6</v>
      </c>
      <c r="DO70" s="51">
        <v>1952.2</v>
      </c>
      <c r="DP70" s="51">
        <v>2117.3000000000002</v>
      </c>
      <c r="DQ70" s="51">
        <v>2734.1</v>
      </c>
      <c r="DR70" s="51">
        <f t="shared" ref="DR70:DR71" si="95">+DN70*1.1</f>
        <v>2117.06</v>
      </c>
      <c r="DS70" s="51"/>
      <c r="DT70" s="51"/>
      <c r="DU70" s="51"/>
      <c r="DV70" s="51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>
        <v>2233.1</v>
      </c>
      <c r="EK70" s="49">
        <v>2658.3</v>
      </c>
      <c r="EL70" s="49">
        <v>2757.6</v>
      </c>
      <c r="EM70" s="49">
        <v>3228.3</v>
      </c>
      <c r="EN70" s="51">
        <v>3417</v>
      </c>
      <c r="EO70" s="51">
        <v>3424</v>
      </c>
      <c r="EP70" s="51">
        <v>4055</v>
      </c>
      <c r="EQ70" s="51">
        <v>4284</v>
      </c>
      <c r="ER70" s="51">
        <v>4497</v>
      </c>
      <c r="ES70" s="51">
        <v>4752</v>
      </c>
      <c r="ET70" s="51">
        <f>ES70*1.03</f>
        <v>4894.5600000000004</v>
      </c>
      <c r="EU70" s="51">
        <f>SUM(BC70:BF70)</f>
        <v>6618.4</v>
      </c>
      <c r="EV70" s="51">
        <f>SUM(BG70:BJ70)</f>
        <v>6892.5</v>
      </c>
      <c r="EW70" s="51">
        <f>SUM(BK70:BN70)</f>
        <v>7053.4000000000005</v>
      </c>
      <c r="EX70" s="51">
        <f t="shared" ref="EX70:EX71" si="96">SUM(BO70:BR70)</f>
        <v>7879.9</v>
      </c>
      <c r="EY70" s="51">
        <f t="shared" ref="EY70" si="97">SUM(BS70:BV70)</f>
        <v>7513.5</v>
      </c>
      <c r="EZ70" s="51">
        <f>EY70*0.95</f>
        <v>7137.8249999999998</v>
      </c>
      <c r="FA70" s="51">
        <f>EZ70*0.8</f>
        <v>5710.26</v>
      </c>
      <c r="FB70" s="51"/>
      <c r="FC70" s="51"/>
      <c r="FD70" s="51">
        <v>5982.4</v>
      </c>
      <c r="FE70" s="51">
        <v>5975.1</v>
      </c>
      <c r="FF70" s="49">
        <f t="shared" ref="FF70:FF71" si="98">SUM(CU70:CX70)</f>
        <v>6213.7999999999993</v>
      </c>
      <c r="FG70" s="49">
        <f t="shared" ref="FG70:FG71" si="99">SUM(CY70:DB70)</f>
        <v>6121.1999999999989</v>
      </c>
      <c r="FH70" s="49">
        <f>SUM(DC70:DF70)</f>
        <v>6431.6</v>
      </c>
      <c r="FI70" s="49">
        <f>SUM(DG70:DJ70)</f>
        <v>6597.2</v>
      </c>
      <c r="FJ70" s="49">
        <f>SUM(DK70:DN70)</f>
        <v>7213.4</v>
      </c>
      <c r="FK70" s="49">
        <f>SUM(Model!DO70:DR70)</f>
        <v>8920.66</v>
      </c>
      <c r="FL70" s="49">
        <f t="shared" ref="FL70:FP70" si="100">+FL67*0.25</f>
        <v>12620.999749999999</v>
      </c>
      <c r="FM70" s="49">
        <f t="shared" si="100"/>
        <v>15089.6211375</v>
      </c>
      <c r="FN70" s="49">
        <f t="shared" si="100"/>
        <v>18352.306979374996</v>
      </c>
      <c r="FO70" s="49">
        <f t="shared" si="100"/>
        <v>20716.837703093737</v>
      </c>
      <c r="FP70" s="49">
        <f t="shared" si="100"/>
        <v>22250.693941298443</v>
      </c>
      <c r="FQ70" s="49">
        <f>+FQ67*0.25</f>
        <v>20559.821189721228</v>
      </c>
    </row>
    <row r="71" spans="1:251" x14ac:dyDescent="0.2">
      <c r="A71" s="102"/>
      <c r="B71" t="s">
        <v>60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>
        <v>706</v>
      </c>
      <c r="AQ71" s="51">
        <v>702</v>
      </c>
      <c r="AR71" s="51">
        <v>762.4</v>
      </c>
      <c r="AS71" s="51">
        <v>751</v>
      </c>
      <c r="AT71" s="51">
        <v>810</v>
      </c>
      <c r="AU71" s="51">
        <v>741</v>
      </c>
      <c r="AV71" s="51">
        <v>775</v>
      </c>
      <c r="AW71" s="51">
        <v>788.8</v>
      </c>
      <c r="AX71" s="51">
        <v>890</v>
      </c>
      <c r="AY71" s="51">
        <v>834.2</v>
      </c>
      <c r="AZ71" s="51">
        <v>854.4</v>
      </c>
      <c r="BA71" s="51">
        <v>844.5</v>
      </c>
      <c r="BB71" s="51">
        <v>953.6</v>
      </c>
      <c r="BC71" s="51">
        <v>877.1</v>
      </c>
      <c r="BD71" s="51">
        <v>951.5</v>
      </c>
      <c r="BE71" s="51">
        <v>953</v>
      </c>
      <c r="BF71" s="51">
        <v>1036.0999999999999</v>
      </c>
      <c r="BG71" s="51">
        <v>947.3</v>
      </c>
      <c r="BH71" s="51">
        <v>1040.4000000000001</v>
      </c>
      <c r="BI71" s="51">
        <v>1122.0999999999999</v>
      </c>
      <c r="BJ71" s="51">
        <v>1216.7</v>
      </c>
      <c r="BK71" s="51">
        <v>1039.0999999999999</v>
      </c>
      <c r="BL71" s="51">
        <v>1187.2</v>
      </c>
      <c r="BM71" s="51">
        <v>1219.8</v>
      </c>
      <c r="BN71" s="51">
        <v>1438.1</v>
      </c>
      <c r="BO71" s="51">
        <v>1124</v>
      </c>
      <c r="BP71" s="51">
        <v>1260.5999999999999</v>
      </c>
      <c r="BQ71" s="51">
        <v>1280.9000000000001</v>
      </c>
      <c r="BR71" s="51">
        <v>1355.3</v>
      </c>
      <c r="BS71" s="51">
        <v>1151.5</v>
      </c>
      <c r="BT71" s="51">
        <v>1320.7</v>
      </c>
      <c r="BU71" s="51">
        <v>1342.8</v>
      </c>
      <c r="BV71" s="51">
        <v>1463.1</v>
      </c>
      <c r="BW71" s="51">
        <v>1348.1</v>
      </c>
      <c r="BX71" s="51">
        <v>1330.4</v>
      </c>
      <c r="BY71" s="51">
        <v>1377.4</v>
      </c>
      <c r="BZ71" s="51">
        <v>1475.4</v>
      </c>
      <c r="CA71" s="51">
        <v>1109.3</v>
      </c>
      <c r="CB71" s="51">
        <v>1195.4000000000001</v>
      </c>
      <c r="CC71" s="51">
        <v>1243.2</v>
      </c>
      <c r="CD71" s="51">
        <v>1185.7</v>
      </c>
      <c r="CE71" s="51">
        <v>1039.3</v>
      </c>
      <c r="CF71" s="51">
        <v>1169.5</v>
      </c>
      <c r="CG71" s="51">
        <v>1143.4000000000001</v>
      </c>
      <c r="CH71" s="51">
        <v>1444.2</v>
      </c>
      <c r="CI71" s="51">
        <v>1221</v>
      </c>
      <c r="CJ71" s="51">
        <v>1335.9</v>
      </c>
      <c r="CK71" s="51">
        <v>1236.4000000000001</v>
      </c>
      <c r="CL71" s="51">
        <v>1450.6</v>
      </c>
      <c r="CM71" s="51">
        <v>1258.3</v>
      </c>
      <c r="CN71" s="51">
        <v>1272.0999999999999</v>
      </c>
      <c r="CO71" s="51">
        <v>1340</v>
      </c>
      <c r="CP71" s="51">
        <v>1486.9</v>
      </c>
      <c r="CQ71" s="51">
        <v>1176.9000000000001</v>
      </c>
      <c r="CR71" s="51">
        <v>1333.1</v>
      </c>
      <c r="CS71" s="51">
        <v>1343.3</v>
      </c>
      <c r="CT71" s="51">
        <v>1453.8</v>
      </c>
      <c r="CU71" s="51">
        <v>1230.5</v>
      </c>
      <c r="CV71" s="51">
        <v>1402.2</v>
      </c>
      <c r="CW71" s="51">
        <v>1380.9</v>
      </c>
      <c r="CX71" s="51">
        <v>1581.4</v>
      </c>
      <c r="CY71" s="51">
        <v>1392.1</v>
      </c>
      <c r="CZ71" s="51">
        <v>1390.2</v>
      </c>
      <c r="DA71" s="51">
        <v>1465.4</v>
      </c>
      <c r="DB71" s="51">
        <v>1838</v>
      </c>
      <c r="DC71" s="51">
        <v>1672.1</v>
      </c>
      <c r="DD71" s="51">
        <v>1672.8</v>
      </c>
      <c r="DE71" s="51">
        <v>1708.9</v>
      </c>
      <c r="DF71" s="51">
        <v>1959.4</v>
      </c>
      <c r="DG71" s="51">
        <v>1610.1</v>
      </c>
      <c r="DH71" s="51">
        <v>1625.1</v>
      </c>
      <c r="DI71" s="51">
        <v>1802.9</v>
      </c>
      <c r="DJ71" s="51">
        <v>1995.9</v>
      </c>
      <c r="DK71" s="51">
        <v>1985.1</v>
      </c>
      <c r="DL71" s="51">
        <v>2356.5</v>
      </c>
      <c r="DM71" s="51">
        <f t="shared" si="94"/>
        <v>1802.9</v>
      </c>
      <c r="DN71" s="51">
        <v>2562.6999999999998</v>
      </c>
      <c r="DO71" s="51">
        <v>2522.8000000000002</v>
      </c>
      <c r="DP71" s="51">
        <f>2711.2-154.3</f>
        <v>2556.8999999999996</v>
      </c>
      <c r="DQ71" s="51">
        <v>2099.8000000000002</v>
      </c>
      <c r="DR71" s="51">
        <f t="shared" si="95"/>
        <v>2818.9700000000003</v>
      </c>
      <c r="DS71" s="51"/>
      <c r="DT71" s="51"/>
      <c r="DU71" s="51"/>
      <c r="DV71" s="51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>
        <v>1370.2</v>
      </c>
      <c r="EK71" s="49">
        <v>1738.9</v>
      </c>
      <c r="EL71" s="49">
        <v>1783.6</v>
      </c>
      <c r="EM71" s="49">
        <v>2018.5</v>
      </c>
      <c r="EN71" s="51">
        <v>2235</v>
      </c>
      <c r="EO71" s="51">
        <v>2149</v>
      </c>
      <c r="EP71" s="51">
        <v>2350</v>
      </c>
      <c r="EQ71" s="51">
        <v>2691</v>
      </c>
      <c r="ER71" s="51">
        <v>3026</v>
      </c>
      <c r="ES71" s="51">
        <v>3130</v>
      </c>
      <c r="ET71" s="51">
        <f>ES71*1.02</f>
        <v>3192.6</v>
      </c>
      <c r="EU71" s="51">
        <f>SUM(BC71:BF71)</f>
        <v>3817.7</v>
      </c>
      <c r="EV71" s="51">
        <f>SUM(BG71:BJ71)</f>
        <v>4326.5</v>
      </c>
      <c r="EW71" s="51">
        <f>SUM(BK71:BN71)</f>
        <v>4884.2000000000007</v>
      </c>
      <c r="EX71" s="51">
        <f t="shared" si="96"/>
        <v>5020.8</v>
      </c>
      <c r="EY71" s="51">
        <f>SUM(BS71:BV71)</f>
        <v>5278.1</v>
      </c>
      <c r="EZ71" s="51"/>
      <c r="FA71" s="51"/>
      <c r="FB71" s="51"/>
      <c r="FC71" s="51"/>
      <c r="FD71" s="51">
        <v>5096.2</v>
      </c>
      <c r="FE71" s="51">
        <v>5051.2</v>
      </c>
      <c r="FF71" s="49">
        <f t="shared" si="98"/>
        <v>5595</v>
      </c>
      <c r="FG71" s="49">
        <f t="shared" si="99"/>
        <v>6085.7000000000007</v>
      </c>
      <c r="FH71" s="49">
        <f>SUM(DC71:DF71)</f>
        <v>7013.1999999999989</v>
      </c>
      <c r="FI71" s="49">
        <f>SUM(DG71:DJ71)</f>
        <v>7034</v>
      </c>
      <c r="FJ71" s="49">
        <f>SUM(DK71:DN71)</f>
        <v>8707.2000000000007</v>
      </c>
      <c r="FK71" s="49">
        <f>SUM(Model!DO71:DR71)</f>
        <v>9998.4700000000012</v>
      </c>
      <c r="FL71" s="49"/>
      <c r="FM71" s="49"/>
      <c r="FN71" s="49"/>
      <c r="FO71" s="49"/>
      <c r="FP71" s="49"/>
      <c r="FQ71" s="49"/>
    </row>
    <row r="72" spans="1:251" x14ac:dyDescent="0.2">
      <c r="A72" s="102"/>
      <c r="B72" s="38" t="s">
        <v>250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>
        <f t="shared" ref="BF72:BK72" si="101">BF71+BF70</f>
        <v>2754.7</v>
      </c>
      <c r="BG72" s="51">
        <f t="shared" si="101"/>
        <v>2476.5</v>
      </c>
      <c r="BH72" s="51">
        <f t="shared" si="101"/>
        <v>2748.6000000000004</v>
      </c>
      <c r="BI72" s="51">
        <f t="shared" si="101"/>
        <v>2823.8999999999996</v>
      </c>
      <c r="BJ72" s="51">
        <f t="shared" si="101"/>
        <v>3170</v>
      </c>
      <c r="BK72" s="51">
        <f t="shared" si="101"/>
        <v>2653.5</v>
      </c>
      <c r="BL72" s="51">
        <f t="shared" ref="BL72:BN72" si="102">BL71+BL70</f>
        <v>2942.6000000000004</v>
      </c>
      <c r="BM72" s="51">
        <f t="shared" si="102"/>
        <v>2914.7</v>
      </c>
      <c r="BN72" s="51">
        <f t="shared" si="102"/>
        <v>3426.8</v>
      </c>
      <c r="BO72" s="51">
        <f>BO71+BO70</f>
        <v>2909.7</v>
      </c>
      <c r="BP72" s="51">
        <f>BP71+BP70</f>
        <v>3303.6</v>
      </c>
      <c r="BQ72" s="51">
        <f>BQ71+BQ70</f>
        <v>3198.7</v>
      </c>
      <c r="BR72" s="51">
        <f>BR71+BR70</f>
        <v>3488.7</v>
      </c>
      <c r="BS72" s="51">
        <f>+BS71+BS70</f>
        <v>2999</v>
      </c>
      <c r="BT72" s="51">
        <f>+BT71+BT70</f>
        <v>3251.8</v>
      </c>
      <c r="BU72" s="51">
        <f>+BU71+BU70</f>
        <v>3100.2</v>
      </c>
      <c r="BV72" s="51">
        <f>+BV71+BV70</f>
        <v>3440.6</v>
      </c>
      <c r="BW72" s="51">
        <f t="shared" ref="BW72:BZ72" si="103">+BW71+BW70</f>
        <v>3000.1</v>
      </c>
      <c r="BX72" s="51">
        <f t="shared" si="103"/>
        <v>3198</v>
      </c>
      <c r="BY72" s="51">
        <f t="shared" si="103"/>
        <v>3029.8</v>
      </c>
      <c r="BZ72" s="51">
        <f t="shared" si="103"/>
        <v>3429</v>
      </c>
      <c r="CA72" s="51">
        <f t="shared" ref="CA72" si="104">SUM(CA70:CA71)</f>
        <v>2594.1999999999998</v>
      </c>
      <c r="CB72" s="51">
        <f t="shared" ref="CB72:CC72" si="105">SUM(CB70:CB71)</f>
        <v>2859.3</v>
      </c>
      <c r="CC72" s="51">
        <f t="shared" si="105"/>
        <v>2915.3</v>
      </c>
      <c r="CD72" s="51">
        <f t="shared" ref="CD72" si="106">SUM(CD70:CD71)</f>
        <v>2985.6000000000004</v>
      </c>
      <c r="CE72" s="51">
        <f t="shared" ref="CE72:CF72" si="107">SUM(CE70:CE71)</f>
        <v>2562.8000000000002</v>
      </c>
      <c r="CF72" s="51">
        <f t="shared" si="107"/>
        <v>2804.9</v>
      </c>
      <c r="CG72" s="51">
        <f t="shared" ref="CG72:CI72" si="108">SUM(CG70:CG71)</f>
        <v>2719.1000000000004</v>
      </c>
      <c r="CH72" s="51">
        <f t="shared" si="108"/>
        <v>3242.6000000000004</v>
      </c>
      <c r="CI72" s="51">
        <f t="shared" si="108"/>
        <v>2694.9</v>
      </c>
      <c r="CJ72" s="51">
        <f t="shared" ref="CJ72:CK72" si="109">SUM(CJ70:CJ71)</f>
        <v>2958.5</v>
      </c>
      <c r="CK72" s="51">
        <f t="shared" si="109"/>
        <v>2801.8</v>
      </c>
      <c r="CL72" s="51">
        <f t="shared" ref="CL72:CM72" si="110">SUM(CL70:CL71)</f>
        <v>3240.7</v>
      </c>
      <c r="CM72" s="51">
        <f t="shared" si="110"/>
        <v>2826</v>
      </c>
      <c r="CN72" s="51">
        <f t="shared" ref="CN72" si="111">SUM(CN70:CN71)</f>
        <v>3002.5</v>
      </c>
      <c r="CO72" s="51">
        <f t="shared" ref="CO72:CP72" si="112">SUM(CO70:CO71)</f>
        <v>2918.5</v>
      </c>
      <c r="CP72" s="51">
        <f t="shared" si="112"/>
        <v>3290.4</v>
      </c>
      <c r="CQ72" s="51">
        <f t="shared" ref="CQ72:CR72" si="113">SUM(CQ70:CQ71)</f>
        <v>2676.9</v>
      </c>
      <c r="CR72" s="51">
        <f t="shared" si="113"/>
        <v>2986.8</v>
      </c>
      <c r="CS72" s="51">
        <f t="shared" ref="CS72:CT72" si="114">SUM(CS70:CS71)</f>
        <v>2959.8999999999996</v>
      </c>
      <c r="CT72" s="51">
        <f t="shared" si="114"/>
        <v>3315.3</v>
      </c>
      <c r="CU72" s="51">
        <f t="shared" ref="CU72:DG72" si="115">SUM(CU70:CU71)</f>
        <v>2747.6</v>
      </c>
      <c r="CV72" s="51">
        <f t="shared" si="115"/>
        <v>2988.5</v>
      </c>
      <c r="CW72" s="51">
        <f t="shared" si="115"/>
        <v>2793.2</v>
      </c>
      <c r="CX72" s="51">
        <f t="shared" si="115"/>
        <v>3279.5</v>
      </c>
      <c r="CY72" s="51">
        <f t="shared" si="115"/>
        <v>2941.7</v>
      </c>
      <c r="CZ72" s="51">
        <f t="shared" si="115"/>
        <v>2838.8</v>
      </c>
      <c r="DA72" s="51">
        <f t="shared" si="115"/>
        <v>3034.5</v>
      </c>
      <c r="DB72" s="51">
        <f t="shared" si="115"/>
        <v>3391.9</v>
      </c>
      <c r="DC72" s="51">
        <f t="shared" si="115"/>
        <v>3248.1</v>
      </c>
      <c r="DD72" s="51">
        <f t="shared" si="115"/>
        <v>3358.5</v>
      </c>
      <c r="DE72" s="51">
        <f t="shared" si="115"/>
        <v>3286.8</v>
      </c>
      <c r="DF72" s="51">
        <f t="shared" si="115"/>
        <v>3551.4</v>
      </c>
      <c r="DG72" s="51">
        <f t="shared" si="115"/>
        <v>3168</v>
      </c>
      <c r="DH72" s="51">
        <f t="shared" ref="DH72:DN72" si="116">SUM(DH70:DH71)</f>
        <v>3407</v>
      </c>
      <c r="DI72" s="51">
        <f t="shared" si="116"/>
        <v>3417.1000000000004</v>
      </c>
      <c r="DJ72" s="51">
        <f t="shared" si="116"/>
        <v>3639.1000000000004</v>
      </c>
      <c r="DK72" s="51">
        <f t="shared" si="116"/>
        <v>3734.3</v>
      </c>
      <c r="DL72" s="51">
        <f t="shared" si="116"/>
        <v>4281.8999999999996</v>
      </c>
      <c r="DM72" s="51">
        <f t="shared" si="116"/>
        <v>3417.1000000000004</v>
      </c>
      <c r="DN72" s="51">
        <f t="shared" si="116"/>
        <v>4487.2999999999993</v>
      </c>
      <c r="DO72" s="51">
        <f t="shared" ref="DO72:DR72" si="117">SUM(DO70:DO71)</f>
        <v>4475</v>
      </c>
      <c r="DP72" s="51">
        <f t="shared" si="117"/>
        <v>4674.2</v>
      </c>
      <c r="DQ72" s="51">
        <f t="shared" si="117"/>
        <v>4833.8999999999996</v>
      </c>
      <c r="DR72" s="51">
        <f t="shared" si="117"/>
        <v>4936.0300000000007</v>
      </c>
      <c r="DS72" s="51">
        <f t="shared" ref="DS72:DV72" si="118">SUM(DS70:DS71)</f>
        <v>0</v>
      </c>
      <c r="DT72" s="51">
        <f t="shared" si="118"/>
        <v>0</v>
      </c>
      <c r="DU72" s="51">
        <f t="shared" si="118"/>
        <v>0</v>
      </c>
      <c r="DV72" s="51">
        <f t="shared" si="118"/>
        <v>0</v>
      </c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>
        <f t="shared" ref="EJ72" si="119">EJ71+EJ70</f>
        <v>3603.3</v>
      </c>
      <c r="EK72" s="51">
        <f t="shared" ref="EK72:EM72" si="120">EK71+EK70</f>
        <v>4397.2000000000007</v>
      </c>
      <c r="EL72" s="51">
        <f t="shared" si="120"/>
        <v>4541.2</v>
      </c>
      <c r="EM72" s="51">
        <f t="shared" si="120"/>
        <v>5246.8</v>
      </c>
      <c r="EN72" s="51">
        <f t="shared" ref="EN72:ET72" si="121">EN71+EN70</f>
        <v>5652</v>
      </c>
      <c r="EO72" s="51">
        <f t="shared" si="121"/>
        <v>5573</v>
      </c>
      <c r="EP72" s="51">
        <f t="shared" si="121"/>
        <v>6405</v>
      </c>
      <c r="EQ72" s="51">
        <f t="shared" si="121"/>
        <v>6975</v>
      </c>
      <c r="ER72" s="51">
        <f t="shared" si="121"/>
        <v>7523</v>
      </c>
      <c r="ES72" s="51">
        <f t="shared" si="121"/>
        <v>7882</v>
      </c>
      <c r="ET72" s="51">
        <f t="shared" si="121"/>
        <v>8087.16</v>
      </c>
      <c r="EU72" s="51">
        <f>EU71+EU70</f>
        <v>10436.099999999999</v>
      </c>
      <c r="EV72" s="51">
        <f t="shared" ref="EV72:FB72" si="122">EV71+EV70</f>
        <v>11219</v>
      </c>
      <c r="EW72" s="51">
        <f>EW71+EW70</f>
        <v>11937.600000000002</v>
      </c>
      <c r="EX72" s="51">
        <f>EX71+EX70</f>
        <v>12900.7</v>
      </c>
      <c r="EY72" s="51">
        <f>EY71+EY70</f>
        <v>12791.6</v>
      </c>
      <c r="EZ72" s="51">
        <f t="shared" si="122"/>
        <v>7137.8249999999998</v>
      </c>
      <c r="FA72" s="51">
        <f t="shared" si="122"/>
        <v>5710.26</v>
      </c>
      <c r="FB72" s="51">
        <f t="shared" si="122"/>
        <v>0</v>
      </c>
      <c r="FC72" s="51"/>
      <c r="FD72" s="51">
        <f>FD71+FD70</f>
        <v>11078.599999999999</v>
      </c>
      <c r="FE72" s="51">
        <f t="shared" ref="FE72:FF72" si="123">FE71+FE70</f>
        <v>11026.3</v>
      </c>
      <c r="FF72" s="51">
        <f t="shared" si="123"/>
        <v>11808.8</v>
      </c>
      <c r="FG72" s="51">
        <f>FG71+FG70</f>
        <v>12206.9</v>
      </c>
      <c r="FH72" s="51">
        <f>FH71+FH70</f>
        <v>13444.8</v>
      </c>
      <c r="FI72" s="51">
        <f>FI71+FI70</f>
        <v>13631.2</v>
      </c>
      <c r="FJ72" s="51">
        <f>FJ71+FJ70</f>
        <v>15920.6</v>
      </c>
      <c r="FK72" s="51">
        <f>FK71+FK70</f>
        <v>18919.13</v>
      </c>
      <c r="FL72" s="51">
        <f t="shared" ref="FL72" si="124">FL71+FL70</f>
        <v>12620.999749999999</v>
      </c>
      <c r="FM72" s="51">
        <f t="shared" ref="FM72" si="125">FM71+FM70</f>
        <v>15089.6211375</v>
      </c>
      <c r="FN72" s="51">
        <f t="shared" ref="FN72" si="126">FN71+FN70</f>
        <v>18352.306979374996</v>
      </c>
      <c r="FO72" s="51">
        <f t="shared" ref="FO72" si="127">FO71+FO70</f>
        <v>20716.837703093737</v>
      </c>
      <c r="FP72" s="51">
        <f>FP71+FP70</f>
        <v>22250.693941298443</v>
      </c>
      <c r="FQ72" s="51">
        <f>FQ71+FQ70</f>
        <v>20559.821189721228</v>
      </c>
    </row>
    <row r="73" spans="1:251" x14ac:dyDescent="0.2">
      <c r="A73" s="102"/>
      <c r="B73" s="38" t="s">
        <v>251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Y73" si="128">AP69-AP70-AP71</f>
        <v>651.10000000000036</v>
      </c>
      <c r="AQ73" s="51">
        <f t="shared" si="128"/>
        <v>558.43663366336614</v>
      </c>
      <c r="AR73" s="51">
        <f t="shared" si="128"/>
        <v>550.89999999999975</v>
      </c>
      <c r="AS73" s="51">
        <f t="shared" si="128"/>
        <v>676.63333333333367</v>
      </c>
      <c r="AT73" s="51">
        <f t="shared" si="128"/>
        <v>752.20000000000073</v>
      </c>
      <c r="AU73" s="51">
        <f t="shared" si="128"/>
        <v>747.30000000000018</v>
      </c>
      <c r="AV73" s="51">
        <f t="shared" si="128"/>
        <v>774.09999999999991</v>
      </c>
      <c r="AW73" s="51">
        <f t="shared" si="128"/>
        <v>942.50000000000045</v>
      </c>
      <c r="AX73" s="51">
        <f t="shared" si="128"/>
        <v>2301.8000000000006</v>
      </c>
      <c r="AY73" s="51">
        <f t="shared" si="128"/>
        <v>1215.4000000000003</v>
      </c>
      <c r="AZ73" s="51">
        <f t="shared" ref="AZ73:BE73" si="129">AZ69-AZ70-AZ71</f>
        <v>815.80000000000007</v>
      </c>
      <c r="BA73" s="51">
        <f t="shared" si="129"/>
        <v>2522.3999999999987</v>
      </c>
      <c r="BB73" s="51">
        <f t="shared" si="129"/>
        <v>2683.5000000000005</v>
      </c>
      <c r="BC73" s="51">
        <f t="shared" si="129"/>
        <v>2702.900000000001</v>
      </c>
      <c r="BD73" s="51">
        <f t="shared" si="129"/>
        <v>2850.9999999999986</v>
      </c>
      <c r="BE73" s="51">
        <f t="shared" si="129"/>
        <v>3039.5000000000009</v>
      </c>
      <c r="BF73" s="51">
        <f t="shared" ref="BF73:BK73" si="130">BF69-BF72</f>
        <v>1556.1999999999998</v>
      </c>
      <c r="BG73" s="51">
        <f t="shared" si="130"/>
        <v>1598.9</v>
      </c>
      <c r="BH73" s="51">
        <f t="shared" si="130"/>
        <v>1417.5</v>
      </c>
      <c r="BI73" s="51">
        <f t="shared" si="130"/>
        <v>1686.2000000000007</v>
      </c>
      <c r="BJ73" s="51">
        <f t="shared" si="130"/>
        <v>1332.6999999999998</v>
      </c>
      <c r="BK73" s="51">
        <f t="shared" si="130"/>
        <v>1709.5</v>
      </c>
      <c r="BL73" s="51">
        <f t="shared" ref="BL73:BN73" si="131">BL69-BL72</f>
        <v>1782.1999999999998</v>
      </c>
      <c r="BM73" s="51">
        <f t="shared" si="131"/>
        <v>1752.5</v>
      </c>
      <c r="BN73" s="51">
        <f t="shared" si="131"/>
        <v>1528.2000000000007</v>
      </c>
      <c r="BO73" s="51">
        <f>BO69-BO72</f>
        <v>1749.4000000000005</v>
      </c>
      <c r="BP73" s="51">
        <f>BP69-BP72</f>
        <v>1721.1999999999985</v>
      </c>
      <c r="BQ73" s="51">
        <f>BQ69-BQ72</f>
        <v>1611.3000000000002</v>
      </c>
      <c r="BR73" s="51">
        <f>BR69-BR72</f>
        <v>1236.9000000000005</v>
      </c>
      <c r="BS73" s="51">
        <f>+BS69-BS72</f>
        <v>1405.5</v>
      </c>
      <c r="BT73" s="51">
        <f>+BT69-BT72</f>
        <v>1201.9999999999991</v>
      </c>
      <c r="BU73" s="51">
        <f>+BU69-BU72</f>
        <v>1138.6999999999998</v>
      </c>
      <c r="BV73" s="51">
        <f>+BV69-BV72</f>
        <v>1268.4000000000001</v>
      </c>
      <c r="BW73" s="51">
        <f t="shared" ref="BW73:BZ73" si="132">+BW69-BW72</f>
        <v>1443.6</v>
      </c>
      <c r="BX73" s="51">
        <f t="shared" si="132"/>
        <v>1566.5</v>
      </c>
      <c r="BY73" s="51">
        <f t="shared" si="132"/>
        <v>1544.6999999999998</v>
      </c>
      <c r="BZ73" s="51">
        <f t="shared" si="132"/>
        <v>993.30000000000018</v>
      </c>
      <c r="CA73" s="51">
        <f t="shared" ref="CA73" si="133">CA69-CA72</f>
        <v>866.20000000000073</v>
      </c>
      <c r="CB73" s="51">
        <f t="shared" ref="CB73:CC73" si="134">CB69-CB72</f>
        <v>886.60000000000036</v>
      </c>
      <c r="CC73" s="51">
        <f t="shared" si="134"/>
        <v>693.30000000000018</v>
      </c>
      <c r="CD73" s="51">
        <f t="shared" ref="CD73" si="135">CD69-CD72</f>
        <v>882.59999999999991</v>
      </c>
      <c r="CE73" s="51">
        <f t="shared" ref="CE73:CF73" si="136">CE69-CE72</f>
        <v>889.19999999999982</v>
      </c>
      <c r="CF73" s="51">
        <f t="shared" si="136"/>
        <v>1139.8999999999996</v>
      </c>
      <c r="CG73" s="51">
        <f t="shared" ref="CG73:CI73" si="137">CG69-CG72</f>
        <v>1003.6999999999994</v>
      </c>
      <c r="CH73" s="51">
        <f t="shared" si="137"/>
        <v>743.80000000000018</v>
      </c>
      <c r="CI73" s="51">
        <f t="shared" si="137"/>
        <v>847.20000000000027</v>
      </c>
      <c r="CJ73" s="51">
        <f t="shared" ref="CJ73:CK73" si="138">CJ69-CJ72</f>
        <v>1147.8999999999996</v>
      </c>
      <c r="CK73" s="51">
        <f t="shared" si="138"/>
        <v>988.99999999999955</v>
      </c>
      <c r="CL73" s="51">
        <f t="shared" ref="CL73:CM73" si="139">CL69-CL72</f>
        <v>1053.8000000000002</v>
      </c>
      <c r="CM73" s="51">
        <f t="shared" si="139"/>
        <v>1054.4000000000001</v>
      </c>
      <c r="CN73" s="51">
        <f t="shared" ref="CN73" si="140">CN69-CN72</f>
        <v>1250.1000000000004</v>
      </c>
      <c r="CO73" s="51">
        <f t="shared" ref="CO73:CP73" si="141">CO69-CO72</f>
        <v>1153.1999999999998</v>
      </c>
      <c r="CP73" s="51">
        <f t="shared" si="141"/>
        <v>1225.3999999999992</v>
      </c>
      <c r="CQ73" s="51">
        <f t="shared" ref="CQ73:CR73" si="142">CQ69-CQ72</f>
        <v>715.59999999999991</v>
      </c>
      <c r="CR73" s="51">
        <f t="shared" si="142"/>
        <v>1665.6999999999998</v>
      </c>
      <c r="CS73" s="51">
        <f t="shared" ref="CS73:CT73" si="143">CS69-CS72</f>
        <v>1539.6999999999998</v>
      </c>
      <c r="CT73" s="51">
        <f t="shared" si="143"/>
        <v>1529.6000000000004</v>
      </c>
      <c r="CU73" s="51">
        <f t="shared" ref="CU73:DG73" si="144">CU69-CU72</f>
        <v>1333.9999999999977</v>
      </c>
      <c r="CV73" s="51">
        <f t="shared" si="144"/>
        <v>1575.0000000000009</v>
      </c>
      <c r="CW73" s="51">
        <f t="shared" si="144"/>
        <v>1565.0000000000009</v>
      </c>
      <c r="CX73" s="51">
        <f t="shared" si="144"/>
        <v>1604.8999999999996</v>
      </c>
      <c r="CY73" s="51">
        <f t="shared" si="144"/>
        <v>1761.5999999999976</v>
      </c>
      <c r="CZ73" s="51">
        <f t="shared" si="144"/>
        <v>1541.3999999999987</v>
      </c>
      <c r="DA73" s="51">
        <f t="shared" si="144"/>
        <v>1506.1999999999989</v>
      </c>
      <c r="DB73" s="51">
        <f t="shared" si="144"/>
        <v>2328.3999999999992</v>
      </c>
      <c r="DC73" s="51">
        <f t="shared" si="144"/>
        <v>1886.1000000000008</v>
      </c>
      <c r="DD73" s="51">
        <f t="shared" si="144"/>
        <v>1983.4999999999973</v>
      </c>
      <c r="DE73" s="51">
        <f t="shared" si="144"/>
        <v>2064.3999999999978</v>
      </c>
      <c r="DF73" s="51">
        <f t="shared" si="144"/>
        <v>2398.2999999999997</v>
      </c>
      <c r="DG73" s="51">
        <f t="shared" si="144"/>
        <v>2774.5999999999995</v>
      </c>
      <c r="DH73" s="51">
        <f t="shared" ref="DH73:DN73" si="145">DH69-DH72</f>
        <v>1771.7000000000016</v>
      </c>
      <c r="DI73" s="51">
        <f t="shared" si="145"/>
        <v>1945.2999999999993</v>
      </c>
      <c r="DJ73" s="51">
        <f t="shared" si="145"/>
        <v>2238.8000000000011</v>
      </c>
      <c r="DK73" s="51">
        <f t="shared" si="145"/>
        <v>1724.9999999999991</v>
      </c>
      <c r="DL73" s="51">
        <f t="shared" si="145"/>
        <v>1770.2999999999993</v>
      </c>
      <c r="DM73" s="51">
        <f t="shared" si="145"/>
        <v>2926.5999999999976</v>
      </c>
      <c r="DN73" s="51">
        <f t="shared" si="145"/>
        <v>3320.0000000000018</v>
      </c>
      <c r="DO73" s="51">
        <f t="shared" ref="DO73:DR73" si="146">DO69-DO72</f>
        <v>2758.8999999999996</v>
      </c>
      <c r="DP73" s="51">
        <f t="shared" si="146"/>
        <v>4597.3999999999987</v>
      </c>
      <c r="DQ73" s="51">
        <f t="shared" si="146"/>
        <v>4573.9000000000051</v>
      </c>
      <c r="DR73" s="51">
        <f t="shared" si="146"/>
        <v>5522.0582000000031</v>
      </c>
      <c r="DS73" s="51">
        <f t="shared" ref="DS73:DV73" si="147">DS69-DS72</f>
        <v>0</v>
      </c>
      <c r="DT73" s="51">
        <f t="shared" si="147"/>
        <v>0</v>
      </c>
      <c r="DU73" s="51">
        <f t="shared" si="147"/>
        <v>0</v>
      </c>
      <c r="DV73" s="51">
        <f t="shared" si="147"/>
        <v>0</v>
      </c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>
        <f t="shared" ref="EJ73" si="148">EJ69-EJ70-EJ71</f>
        <v>2438.3999999999996</v>
      </c>
      <c r="EK73" s="51">
        <f t="shared" ref="EK73:EM73" si="149">EK69-EK70-EK71</f>
        <v>2824.4999999999986</v>
      </c>
      <c r="EL73" s="51">
        <f t="shared" si="149"/>
        <v>3363.6999999999994</v>
      </c>
      <c r="EM73" s="51">
        <f t="shared" si="149"/>
        <v>3559.7</v>
      </c>
      <c r="EN73" s="51">
        <f t="shared" ref="EN73:EV73" si="150">EN69-EN70-EN71</f>
        <v>3817</v>
      </c>
      <c r="EO73" s="51">
        <f t="shared" si="150"/>
        <v>3406.2000000000007</v>
      </c>
      <c r="EP73" s="51">
        <f t="shared" si="150"/>
        <v>3505</v>
      </c>
      <c r="EQ73" s="51">
        <f t="shared" si="150"/>
        <v>3660</v>
      </c>
      <c r="ER73" s="51">
        <f t="shared" si="150"/>
        <v>3653</v>
      </c>
      <c r="ES73" s="51">
        <f t="shared" si="150"/>
        <v>4400.4999999999982</v>
      </c>
      <c r="ET73" s="51">
        <f t="shared" si="150"/>
        <v>6393.6959999999981</v>
      </c>
      <c r="EU73" s="51">
        <f>EU69-EU70-EU71</f>
        <v>10149.599999999999</v>
      </c>
      <c r="EV73" s="51">
        <f t="shared" si="150"/>
        <v>6035.2999999999993</v>
      </c>
      <c r="EW73" s="51">
        <f>EW69-EW70-EW71</f>
        <v>5589.9999999999964</v>
      </c>
      <c r="EX73" s="51">
        <f>EX69-EX70-EX71</f>
        <v>5908.7000000000016</v>
      </c>
      <c r="EY73" s="51">
        <f>EY69-EY70-EY71</f>
        <v>4413.3999999999996</v>
      </c>
      <c r="EZ73" s="51">
        <f t="shared" ref="EZ73:FB73" si="151">EZ69-EZ70-EZ71</f>
        <v>-7137.8249999999998</v>
      </c>
      <c r="FA73" s="51">
        <f t="shared" si="151"/>
        <v>-5710.26</v>
      </c>
      <c r="FB73" s="51">
        <f t="shared" si="151"/>
        <v>0</v>
      </c>
      <c r="FC73" s="51"/>
      <c r="FD73" s="51">
        <f t="shared" ref="FD73:FF73" si="152">+FD69-FD72</f>
        <v>4447.9000000000051</v>
      </c>
      <c r="FE73" s="51">
        <f t="shared" si="152"/>
        <v>5785.0999999999985</v>
      </c>
      <c r="FF73" s="51">
        <f t="shared" si="152"/>
        <v>6078.8999999999978</v>
      </c>
      <c r="FG73" s="51">
        <f>+FG69-FG72</f>
        <v>7137.6</v>
      </c>
      <c r="FH73" s="51">
        <f>+FH69-FH72</f>
        <v>8332.2999999999993</v>
      </c>
      <c r="FI73" s="51">
        <f>+FI69-FI72</f>
        <v>8730.4000000000051</v>
      </c>
      <c r="FJ73" s="51">
        <f>+FJ69-FJ72</f>
        <v>9580.2000000000025</v>
      </c>
      <c r="FK73" s="51">
        <f>+FK69-FK72</f>
        <v>16894.358200000006</v>
      </c>
      <c r="FL73" s="51">
        <f t="shared" ref="FL73" si="153">+FL69-FL72</f>
        <v>27261.359460000003</v>
      </c>
      <c r="FM73" s="51">
        <f t="shared" ref="FM73" si="154">+FM69-FM72</f>
        <v>32593.581657000002</v>
      </c>
      <c r="FN73" s="51">
        <f t="shared" ref="FN73" si="155">+FN69-FN72</f>
        <v>39640.983075449993</v>
      </c>
      <c r="FO73" s="51">
        <f t="shared" ref="FO73" si="156">+FO69-FO72</f>
        <v>44748.369438682479</v>
      </c>
      <c r="FP73" s="51">
        <f>+FP69-FP72</f>
        <v>48061.498913204639</v>
      </c>
      <c r="FQ73" s="51">
        <f>+FQ69-FQ72</f>
        <v>49343.570855330938</v>
      </c>
    </row>
    <row r="74" spans="1:251" x14ac:dyDescent="0.2">
      <c r="A74" s="102"/>
      <c r="B74" t="s">
        <v>78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69.099999999999994</v>
      </c>
      <c r="AQ74" s="51">
        <v>99</v>
      </c>
      <c r="AR74" s="51">
        <v>45.4</v>
      </c>
      <c r="AS74" s="51">
        <v>85</v>
      </c>
      <c r="AT74" s="51">
        <v>85.2</v>
      </c>
      <c r="AU74" s="51">
        <v>32</v>
      </c>
      <c r="AV74" s="51">
        <v>47</v>
      </c>
      <c r="AW74" s="51">
        <v>-4.8</v>
      </c>
      <c r="AX74" s="51">
        <v>38.9</v>
      </c>
      <c r="AY74" s="51">
        <v>38.299999999999997</v>
      </c>
      <c r="AZ74" s="51">
        <v>1.8</v>
      </c>
      <c r="BA74" s="51">
        <v>49.8</v>
      </c>
      <c r="BB74" s="51">
        <v>32.1</v>
      </c>
      <c r="BC74" s="51">
        <v>20.3</v>
      </c>
      <c r="BD74" s="51">
        <v>32.299999999999997</v>
      </c>
      <c r="BE74" s="51">
        <v>2.5</v>
      </c>
      <c r="BF74" s="51">
        <v>-48.2</v>
      </c>
      <c r="BG74" s="51">
        <v>-70.7</v>
      </c>
      <c r="BH74" s="51">
        <v>-24.1</v>
      </c>
      <c r="BI74" s="51">
        <f>-44-22.9</f>
        <v>-66.900000000000006</v>
      </c>
      <c r="BJ74" s="51">
        <v>-67.8</v>
      </c>
      <c r="BK74" s="51">
        <v>74.5</v>
      </c>
      <c r="BL74" s="51">
        <f>-36.5+18.1-18.4</f>
        <v>-36.799999999999997</v>
      </c>
      <c r="BM74" s="51">
        <f>-30.9+9.2-21.7</f>
        <v>-43.4</v>
      </c>
      <c r="BN74" s="51">
        <v>-39.4</v>
      </c>
      <c r="BO74" s="51">
        <v>-11.2</v>
      </c>
      <c r="BP74" s="51">
        <v>-57.6</v>
      </c>
      <c r="BQ74" s="51">
        <f>-22.8-60.6</f>
        <v>-83.4</v>
      </c>
      <c r="BR74" s="51">
        <v>-26.8</v>
      </c>
      <c r="BS74" s="51">
        <f>-19.2-26.8</f>
        <v>-46</v>
      </c>
      <c r="BT74" s="51">
        <f>-15.8-0.7</f>
        <v>-16.5</v>
      </c>
      <c r="BU74" s="51">
        <f>-21.3+22</f>
        <v>0.69999999999999929</v>
      </c>
      <c r="BV74" s="51">
        <v>-52</v>
      </c>
      <c r="BW74" s="51">
        <f>-16.7+50.5</f>
        <v>33.799999999999997</v>
      </c>
      <c r="BX74" s="51">
        <v>11.9</v>
      </c>
      <c r="BY74" s="51">
        <v>-31.3</v>
      </c>
      <c r="BZ74" s="51">
        <v>9.1</v>
      </c>
      <c r="CA74" s="51">
        <v>56</v>
      </c>
      <c r="CB74" s="51">
        <v>53.8</v>
      </c>
      <c r="CC74" s="51">
        <v>93.5</v>
      </c>
      <c r="CD74" s="51">
        <v>137.19999999999999</v>
      </c>
      <c r="CE74" s="51">
        <v>92.7</v>
      </c>
      <c r="CF74" s="51">
        <v>-123.3</v>
      </c>
      <c r="CG74" s="51">
        <v>86.5</v>
      </c>
      <c r="CH74" s="51">
        <v>44.7</v>
      </c>
      <c r="CI74" s="51">
        <v>-149</v>
      </c>
      <c r="CJ74" s="51">
        <v>21.2</v>
      </c>
      <c r="CK74" s="51">
        <v>27.2</v>
      </c>
      <c r="CL74" s="51">
        <v>15.8</v>
      </c>
      <c r="CM74" s="51">
        <v>78.3</v>
      </c>
      <c r="CN74" s="51">
        <v>60.4</v>
      </c>
      <c r="CO74" s="51">
        <f>-16.8+66.7</f>
        <v>49.900000000000006</v>
      </c>
      <c r="CP74" s="51">
        <f>-10.2+122.1</f>
        <v>111.89999999999999</v>
      </c>
      <c r="CQ74" s="51">
        <v>67.5</v>
      </c>
      <c r="CR74" s="51">
        <v>38</v>
      </c>
      <c r="CS74" s="51">
        <f>-37.3+21.9</f>
        <v>-15.399999999999999</v>
      </c>
      <c r="CT74" s="51">
        <f>-35.7+20.4</f>
        <v>-15.300000000000004</v>
      </c>
      <c r="CU74" s="51">
        <v>55.9</v>
      </c>
      <c r="CV74" s="51">
        <v>91.5</v>
      </c>
      <c r="CW74" s="51">
        <v>90.1</v>
      </c>
      <c r="CX74" s="51">
        <v>82.7</v>
      </c>
      <c r="CY74" s="51">
        <v>78.2</v>
      </c>
      <c r="CZ74" s="51">
        <v>81.2</v>
      </c>
      <c r="DA74" s="51">
        <v>83.8</v>
      </c>
      <c r="DB74" s="51">
        <v>83.4</v>
      </c>
      <c r="DC74" s="51">
        <v>-34.6</v>
      </c>
      <c r="DD74" s="51">
        <v>81.5</v>
      </c>
      <c r="DE74" s="51">
        <v>77.599999999999994</v>
      </c>
      <c r="DF74" s="51">
        <v>77.3</v>
      </c>
      <c r="DG74" s="51">
        <v>-37.700000000000003</v>
      </c>
      <c r="DH74" s="51">
        <f>-71-48.2</f>
        <v>-119.2</v>
      </c>
      <c r="DI74" s="51">
        <v>111</v>
      </c>
      <c r="DJ74" s="51">
        <f>260-216.5</f>
        <v>43.5</v>
      </c>
      <c r="DK74" s="51">
        <f>-68.6+104.3</f>
        <v>35.700000000000003</v>
      </c>
      <c r="DL74" s="51">
        <v>-36.799999999999997</v>
      </c>
      <c r="DM74" s="51">
        <v>0</v>
      </c>
      <c r="DN74" s="51">
        <f>121-117</f>
        <v>4</v>
      </c>
      <c r="DO74" s="51">
        <f>-133.8+160.9+27.1</f>
        <v>54.199999999999996</v>
      </c>
      <c r="DP74" s="51">
        <v>197.6</v>
      </c>
      <c r="DQ74" s="51">
        <v>-62</v>
      </c>
      <c r="DR74" s="51"/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-232.7</v>
      </c>
      <c r="EK74" s="49">
        <v>-181.3</v>
      </c>
      <c r="EL74" s="49">
        <v>-183.8</v>
      </c>
      <c r="EM74" s="49">
        <v>-182.3</v>
      </c>
      <c r="EN74" s="51">
        <v>134</v>
      </c>
      <c r="EO74" s="51">
        <v>214</v>
      </c>
      <c r="EP74" s="51">
        <v>85</v>
      </c>
      <c r="EQ74" s="51">
        <v>279</v>
      </c>
      <c r="ER74" s="51">
        <v>313</v>
      </c>
      <c r="ES74" s="51">
        <v>201</v>
      </c>
      <c r="ET74" s="51">
        <v>100</v>
      </c>
      <c r="EU74" s="51">
        <f>SUM(BC74:BF74)</f>
        <v>6.8999999999999915</v>
      </c>
      <c r="EV74" s="51">
        <f>SUM(BG74:BJ74)</f>
        <v>-229.5</v>
      </c>
      <c r="EW74" s="51">
        <f>SUM(BK74:BN74)</f>
        <v>-45.099999999999994</v>
      </c>
      <c r="EX74" s="51">
        <f t="shared" ref="EX74" si="157">SUM(BO74:BR74)</f>
        <v>-179</v>
      </c>
      <c r="EY74" s="51">
        <f>SUM(BS74:BV74)</f>
        <v>-113.8</v>
      </c>
      <c r="EZ74" s="51"/>
      <c r="FA74" s="51"/>
      <c r="FB74" s="51"/>
      <c r="FC74" s="51"/>
      <c r="FD74" s="51"/>
      <c r="FE74" s="53"/>
      <c r="FF74" s="49">
        <f t="shared" ref="FF74" si="158">SUM(CU74:CX74)</f>
        <v>320.2</v>
      </c>
      <c r="FG74" s="49">
        <f t="shared" ref="FG74" si="159">SUM(CY74:DB74)</f>
        <v>326.60000000000002</v>
      </c>
      <c r="FH74" s="49">
        <f>SUM(DC74:DF74)</f>
        <v>201.8</v>
      </c>
      <c r="FI74" s="49">
        <f>SUM(DG74:DJ74)</f>
        <v>-2.4000000000000057</v>
      </c>
      <c r="FJ74" s="49">
        <f>SUM(DK74:DN74)</f>
        <v>2.9000000000000057</v>
      </c>
      <c r="FK74" s="49">
        <v>-450</v>
      </c>
      <c r="FL74" s="49">
        <f t="shared" ref="FL74:FP74" si="160">+FK95*$FS$93</f>
        <v>-357.22763635999985</v>
      </c>
      <c r="FM74" s="49">
        <f t="shared" si="160"/>
        <v>1149.4037457638406</v>
      </c>
      <c r="FN74" s="49">
        <f t="shared" si="160"/>
        <v>3039.0109283186162</v>
      </c>
      <c r="FO74" s="49">
        <f t="shared" si="160"/>
        <v>5429.0905925296584</v>
      </c>
      <c r="FP74" s="49">
        <f t="shared" si="160"/>
        <v>8239.0283542775378</v>
      </c>
      <c r="FQ74" s="49">
        <f>+FP95*$FS$93</f>
        <v>11391.857881256541</v>
      </c>
    </row>
    <row r="75" spans="1:251" x14ac:dyDescent="0.2">
      <c r="A75" s="102"/>
      <c r="B75" t="s">
        <v>81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f t="shared" ref="AP75:AY75" si="161">AP73+AP74</f>
        <v>720.20000000000039</v>
      </c>
      <c r="AQ75" s="51">
        <f t="shared" si="161"/>
        <v>657.43663366336614</v>
      </c>
      <c r="AR75" s="51">
        <f t="shared" si="161"/>
        <v>596.29999999999973</v>
      </c>
      <c r="AS75" s="51">
        <f t="shared" si="161"/>
        <v>761.63333333333367</v>
      </c>
      <c r="AT75" s="51">
        <f t="shared" si="161"/>
        <v>837.40000000000077</v>
      </c>
      <c r="AU75" s="51">
        <f t="shared" si="161"/>
        <v>779.30000000000018</v>
      </c>
      <c r="AV75" s="51">
        <f t="shared" si="161"/>
        <v>821.09999999999991</v>
      </c>
      <c r="AW75" s="51">
        <f t="shared" si="161"/>
        <v>937.7000000000005</v>
      </c>
      <c r="AX75" s="51">
        <f t="shared" si="161"/>
        <v>2340.7000000000007</v>
      </c>
      <c r="AY75" s="51">
        <f t="shared" si="161"/>
        <v>1253.7000000000003</v>
      </c>
      <c r="AZ75" s="51">
        <f t="shared" ref="AZ75:BG75" si="162">AZ73+AZ74</f>
        <v>817.6</v>
      </c>
      <c r="BA75" s="51">
        <f t="shared" si="162"/>
        <v>2572.1999999999989</v>
      </c>
      <c r="BB75" s="51">
        <f t="shared" si="162"/>
        <v>2715.6000000000004</v>
      </c>
      <c r="BC75" s="51">
        <f t="shared" si="162"/>
        <v>2723.2000000000012</v>
      </c>
      <c r="BD75" s="51">
        <f t="shared" si="162"/>
        <v>2883.2999999999988</v>
      </c>
      <c r="BE75" s="51">
        <f t="shared" si="162"/>
        <v>3042.0000000000009</v>
      </c>
      <c r="BF75" s="51">
        <f t="shared" si="162"/>
        <v>1507.9999999999998</v>
      </c>
      <c r="BG75" s="51">
        <f t="shared" si="162"/>
        <v>1528.2</v>
      </c>
      <c r="BH75" s="51">
        <f t="shared" ref="BH75:BM75" si="163">BH73+BH74</f>
        <v>1393.4</v>
      </c>
      <c r="BI75" s="51">
        <f t="shared" si="163"/>
        <v>1619.3000000000006</v>
      </c>
      <c r="BJ75" s="51">
        <f t="shared" si="163"/>
        <v>1264.8999999999999</v>
      </c>
      <c r="BK75" s="51">
        <f t="shared" si="163"/>
        <v>1784</v>
      </c>
      <c r="BL75" s="51">
        <f t="shared" si="163"/>
        <v>1745.3999999999999</v>
      </c>
      <c r="BM75" s="51">
        <f t="shared" si="163"/>
        <v>1709.1</v>
      </c>
      <c r="BN75" s="51">
        <f>BN73+BN74</f>
        <v>1488.8000000000006</v>
      </c>
      <c r="BO75" s="51">
        <f>BO73+BO74</f>
        <v>1738.2000000000005</v>
      </c>
      <c r="BP75" s="51">
        <f>BP73+BP74</f>
        <v>1663.5999999999985</v>
      </c>
      <c r="BQ75" s="51">
        <f>BQ73+BQ74</f>
        <v>1527.9</v>
      </c>
      <c r="BR75" s="51">
        <f>BR73+BR74</f>
        <v>1210.1000000000006</v>
      </c>
      <c r="BS75" s="51">
        <f>+BS73+BS74</f>
        <v>1359.5</v>
      </c>
      <c r="BT75" s="51">
        <f>+BT73+BT74</f>
        <v>1185.4999999999991</v>
      </c>
      <c r="BU75" s="51">
        <f>+BU73+BU74</f>
        <v>1139.3999999999999</v>
      </c>
      <c r="BV75" s="51">
        <f>+BV73+BV74</f>
        <v>1216.4000000000001</v>
      </c>
      <c r="BW75" s="51">
        <f t="shared" ref="BW75:BY75" si="164">+BW73+BW74</f>
        <v>1477.3999999999999</v>
      </c>
      <c r="BX75" s="51">
        <f t="shared" si="164"/>
        <v>1578.4</v>
      </c>
      <c r="BY75" s="51">
        <f t="shared" si="164"/>
        <v>1513.3999999999999</v>
      </c>
      <c r="BZ75" s="51">
        <f>+BZ73+BZ74</f>
        <v>1002.4000000000002</v>
      </c>
      <c r="CA75" s="51">
        <f t="shared" ref="CA75" si="165">CA73-CA74</f>
        <v>810.20000000000073</v>
      </c>
      <c r="CB75" s="51">
        <f t="shared" ref="CB75:CC75" si="166">CB73-CB74</f>
        <v>832.80000000000041</v>
      </c>
      <c r="CC75" s="51">
        <f t="shared" si="166"/>
        <v>599.80000000000018</v>
      </c>
      <c r="CD75" s="51">
        <f t="shared" ref="CD75" si="167">CD73-CD74</f>
        <v>745.39999999999986</v>
      </c>
      <c r="CE75" s="51">
        <f t="shared" ref="CE75:CF75" si="168">CE73-CE74</f>
        <v>796.49999999999977</v>
      </c>
      <c r="CF75" s="51">
        <f t="shared" si="168"/>
        <v>1263.1999999999996</v>
      </c>
      <c r="CG75" s="51">
        <f t="shared" ref="CG75:CI75" si="169">CG73-CG74</f>
        <v>917.19999999999936</v>
      </c>
      <c r="CH75" s="51">
        <f t="shared" si="169"/>
        <v>699.10000000000014</v>
      </c>
      <c r="CI75" s="51">
        <f t="shared" si="169"/>
        <v>996.20000000000027</v>
      </c>
      <c r="CJ75" s="51">
        <f t="shared" ref="CJ75:CK75" si="170">CJ73-CJ74</f>
        <v>1126.6999999999996</v>
      </c>
      <c r="CK75" s="51">
        <f t="shared" si="170"/>
        <v>961.7999999999995</v>
      </c>
      <c r="CL75" s="51">
        <f t="shared" ref="CL75:CM75" si="171">CL73-CL74</f>
        <v>1038.0000000000002</v>
      </c>
      <c r="CM75" s="51">
        <f t="shared" si="171"/>
        <v>976.10000000000014</v>
      </c>
      <c r="CN75" s="51">
        <f t="shared" ref="CN75:CP75" si="172">CN73-CN74</f>
        <v>1189.7000000000003</v>
      </c>
      <c r="CO75" s="51">
        <f t="shared" si="172"/>
        <v>1103.2999999999997</v>
      </c>
      <c r="CP75" s="51">
        <f t="shared" si="172"/>
        <v>1113.4999999999991</v>
      </c>
      <c r="CQ75" s="51">
        <f t="shared" ref="CQ75:CR75" si="173">CQ73-CQ74</f>
        <v>648.09999999999991</v>
      </c>
      <c r="CR75" s="51">
        <f t="shared" si="173"/>
        <v>1627.6999999999998</v>
      </c>
      <c r="CS75" s="51">
        <f t="shared" ref="CS75:CT75" si="174">CS73-CS74</f>
        <v>1555.1</v>
      </c>
      <c r="CT75" s="51">
        <f t="shared" si="174"/>
        <v>1544.9000000000003</v>
      </c>
      <c r="CU75" s="51">
        <f t="shared" ref="CU75:DR75" si="175">CU73-CU74</f>
        <v>1278.0999999999976</v>
      </c>
      <c r="CV75" s="51">
        <f t="shared" si="175"/>
        <v>1483.5000000000009</v>
      </c>
      <c r="CW75" s="51">
        <f t="shared" si="175"/>
        <v>1474.900000000001</v>
      </c>
      <c r="CX75" s="51">
        <f t="shared" si="175"/>
        <v>1522.1999999999996</v>
      </c>
      <c r="CY75" s="51">
        <f t="shared" si="175"/>
        <v>1683.3999999999976</v>
      </c>
      <c r="CZ75" s="51">
        <f t="shared" si="175"/>
        <v>1460.1999999999987</v>
      </c>
      <c r="DA75" s="51">
        <f t="shared" si="175"/>
        <v>1422.399999999999</v>
      </c>
      <c r="DB75" s="51">
        <f t="shared" si="175"/>
        <v>2244.9999999999991</v>
      </c>
      <c r="DC75" s="51">
        <f t="shared" si="175"/>
        <v>1920.7000000000007</v>
      </c>
      <c r="DD75" s="51">
        <f t="shared" si="175"/>
        <v>1901.9999999999973</v>
      </c>
      <c r="DE75" s="51">
        <f t="shared" si="175"/>
        <v>1986.7999999999979</v>
      </c>
      <c r="DF75" s="51">
        <f t="shared" si="175"/>
        <v>2320.9999999999995</v>
      </c>
      <c r="DG75" s="51">
        <f t="shared" si="175"/>
        <v>2812.2999999999993</v>
      </c>
      <c r="DH75" s="51">
        <f t="shared" si="175"/>
        <v>1890.9000000000017</v>
      </c>
      <c r="DI75" s="51">
        <f t="shared" si="175"/>
        <v>1834.2999999999993</v>
      </c>
      <c r="DJ75" s="51">
        <f t="shared" si="175"/>
        <v>2195.3000000000011</v>
      </c>
      <c r="DK75" s="51">
        <f t="shared" si="175"/>
        <v>1689.299999999999</v>
      </c>
      <c r="DL75" s="51">
        <f t="shared" si="175"/>
        <v>1807.0999999999992</v>
      </c>
      <c r="DM75" s="51">
        <f t="shared" si="175"/>
        <v>2926.5999999999976</v>
      </c>
      <c r="DN75" s="51">
        <f t="shared" si="175"/>
        <v>3316.0000000000018</v>
      </c>
      <c r="DO75" s="51">
        <f t="shared" si="175"/>
        <v>2704.7</v>
      </c>
      <c r="DP75" s="51">
        <f t="shared" si="175"/>
        <v>4399.7999999999984</v>
      </c>
      <c r="DQ75" s="51">
        <f t="shared" si="175"/>
        <v>4635.9000000000051</v>
      </c>
      <c r="DR75" s="51">
        <f t="shared" si="175"/>
        <v>5522.0582000000031</v>
      </c>
      <c r="DS75" s="51"/>
      <c r="DT75" s="51"/>
      <c r="DU75" s="51"/>
      <c r="DV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>
        <f t="shared" ref="EJ75:EM75" si="176">EJ73+EJ74</f>
        <v>2205.6999999999998</v>
      </c>
      <c r="EK75" s="51">
        <f t="shared" si="176"/>
        <v>2643.1999999999985</v>
      </c>
      <c r="EL75" s="51">
        <f t="shared" si="176"/>
        <v>3179.8999999999992</v>
      </c>
      <c r="EM75" s="51">
        <f t="shared" si="176"/>
        <v>3377.3999999999996</v>
      </c>
      <c r="EN75" s="51">
        <f t="shared" ref="EN75:ES75" si="177">EN73+EN74</f>
        <v>3951</v>
      </c>
      <c r="EO75" s="51">
        <f t="shared" si="177"/>
        <v>3620.2000000000007</v>
      </c>
      <c r="EP75" s="51">
        <f t="shared" si="177"/>
        <v>3590</v>
      </c>
      <c r="EQ75" s="51">
        <f t="shared" si="177"/>
        <v>3939</v>
      </c>
      <c r="ER75" s="51">
        <f t="shared" si="177"/>
        <v>3966</v>
      </c>
      <c r="ES75" s="51">
        <f t="shared" si="177"/>
        <v>4601.4999999999982</v>
      </c>
      <c r="ET75" s="51">
        <f t="shared" ref="ET75" si="178">ET73+ET74</f>
        <v>6493.6959999999981</v>
      </c>
      <c r="EU75" s="51">
        <f t="shared" ref="EU75:FD75" si="179">EU73+EU74</f>
        <v>10156.499999999998</v>
      </c>
      <c r="EV75" s="51">
        <f t="shared" si="179"/>
        <v>5805.7999999999993</v>
      </c>
      <c r="EW75" s="51">
        <f t="shared" si="179"/>
        <v>5544.899999999996</v>
      </c>
      <c r="EX75" s="51">
        <f t="shared" si="179"/>
        <v>5729.7000000000016</v>
      </c>
      <c r="EY75" s="51">
        <f t="shared" si="179"/>
        <v>4299.5999999999995</v>
      </c>
      <c r="EZ75" s="51">
        <f t="shared" si="179"/>
        <v>-7137.8249999999998</v>
      </c>
      <c r="FA75" s="51">
        <f t="shared" si="179"/>
        <v>-5710.26</v>
      </c>
      <c r="FB75" s="51">
        <f t="shared" si="179"/>
        <v>0</v>
      </c>
      <c r="FC75" s="51">
        <f t="shared" si="179"/>
        <v>0</v>
      </c>
      <c r="FD75" s="51">
        <f t="shared" si="179"/>
        <v>4447.9000000000051</v>
      </c>
      <c r="FE75" s="51">
        <f t="shared" ref="FE75:FP75" si="180">FE73+FE74</f>
        <v>5785.0999999999985</v>
      </c>
      <c r="FF75" s="51">
        <f t="shared" si="180"/>
        <v>6399.0999999999976</v>
      </c>
      <c r="FG75" s="51">
        <f t="shared" si="180"/>
        <v>7464.2000000000007</v>
      </c>
      <c r="FH75" s="51">
        <f>FH73+FH74</f>
        <v>8534.0999999999985</v>
      </c>
      <c r="FI75" s="51">
        <f t="shared" si="180"/>
        <v>8728.0000000000055</v>
      </c>
      <c r="FJ75" s="51">
        <f>FJ73+FJ74</f>
        <v>9583.1000000000022</v>
      </c>
      <c r="FK75" s="51">
        <f>FK73+FK74</f>
        <v>16444.358200000006</v>
      </c>
      <c r="FL75" s="51">
        <f t="shared" si="180"/>
        <v>26904.131823640004</v>
      </c>
      <c r="FM75" s="51">
        <f t="shared" si="180"/>
        <v>33742.985402763843</v>
      </c>
      <c r="FN75" s="51">
        <f t="shared" si="180"/>
        <v>42679.99400376861</v>
      </c>
      <c r="FO75" s="51">
        <f t="shared" si="180"/>
        <v>50177.46003121214</v>
      </c>
      <c r="FP75" s="51">
        <f t="shared" si="180"/>
        <v>56300.527267482175</v>
      </c>
      <c r="FQ75" s="51">
        <f>FQ73+FQ74</f>
        <v>60735.428736587477</v>
      </c>
    </row>
    <row r="76" spans="1:251" x14ac:dyDescent="0.2">
      <c r="A76" s="102"/>
      <c r="B76" t="s">
        <v>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>
        <v>230</v>
      </c>
      <c r="AQ76" s="51">
        <v>208</v>
      </c>
      <c r="AR76" s="51">
        <v>205.3</v>
      </c>
      <c r="AS76" s="51">
        <v>224.1</v>
      </c>
      <c r="AT76" s="51">
        <v>195</v>
      </c>
      <c r="AU76" s="51">
        <v>222</v>
      </c>
      <c r="AV76" s="51">
        <v>219</v>
      </c>
      <c r="AW76" s="51">
        <v>220.6</v>
      </c>
      <c r="AX76" s="51">
        <v>226.6</v>
      </c>
      <c r="AY76" s="51">
        <v>257.60000000000002</v>
      </c>
      <c r="AZ76" s="51">
        <v>263.10000000000002</v>
      </c>
      <c r="BA76" s="51">
        <v>263.3</v>
      </c>
      <c r="BB76" s="51">
        <v>197.9</v>
      </c>
      <c r="BC76" s="51">
        <v>-8</v>
      </c>
      <c r="BD76" s="51">
        <v>247.5</v>
      </c>
      <c r="BE76" s="51">
        <v>320</v>
      </c>
      <c r="BF76" s="51">
        <v>295.89999999999998</v>
      </c>
      <c r="BG76" s="51">
        <v>370.3</v>
      </c>
      <c r="BH76" s="51">
        <v>346</v>
      </c>
      <c r="BI76" s="51">
        <v>127.7</v>
      </c>
      <c r="BJ76" s="51">
        <v>265.7</v>
      </c>
      <c r="BK76" s="51">
        <v>486.4</v>
      </c>
      <c r="BL76" s="51">
        <v>387.6</v>
      </c>
      <c r="BM76" s="51">
        <v>368.4</v>
      </c>
      <c r="BN76" s="51">
        <v>240</v>
      </c>
      <c r="BO76" s="51">
        <v>363.3</v>
      </c>
      <c r="BP76" s="51">
        <v>334</v>
      </c>
      <c r="BQ76" s="51">
        <v>273.89999999999998</v>
      </c>
      <c r="BR76" s="51">
        <v>240.5</v>
      </c>
      <c r="BS76" s="51">
        <v>332.2</v>
      </c>
      <c r="BT76" s="51">
        <v>262.10000000000002</v>
      </c>
      <c r="BU76" s="51">
        <v>251.9</v>
      </c>
      <c r="BV76" s="51">
        <v>185.2</v>
      </c>
      <c r="BW76" s="51">
        <v>403.1</v>
      </c>
      <c r="BX76" s="51">
        <v>308.7</v>
      </c>
      <c r="BY76" s="51">
        <v>310.3</v>
      </c>
      <c r="BZ76" s="51">
        <v>182.4</v>
      </c>
      <c r="CA76" s="51">
        <v>162.9</v>
      </c>
      <c r="CB76" s="51">
        <v>206.9</v>
      </c>
      <c r="CC76" s="51">
        <v>154.9</v>
      </c>
      <c r="CD76" s="51">
        <v>85.1</v>
      </c>
      <c r="CE76" s="51">
        <v>88.4</v>
      </c>
      <c r="CF76" s="51">
        <v>78.900000000000006</v>
      </c>
      <c r="CG76" s="51">
        <v>248.1</v>
      </c>
      <c r="CH76" s="51">
        <v>0</v>
      </c>
      <c r="CI76" s="51">
        <v>126.7</v>
      </c>
      <c r="CJ76" s="51">
        <v>196.8</v>
      </c>
      <c r="CK76" s="51">
        <v>192.7</v>
      </c>
      <c r="CL76" s="51">
        <v>120.2</v>
      </c>
      <c r="CM76" s="51">
        <v>172</v>
      </c>
      <c r="CN76" s="51">
        <v>252.5</v>
      </c>
      <c r="CO76" s="51">
        <v>36</v>
      </c>
      <c r="CP76" s="51">
        <v>0</v>
      </c>
      <c r="CQ76" s="51">
        <v>223.6</v>
      </c>
      <c r="CR76" s="51">
        <v>264.7</v>
      </c>
      <c r="CS76" s="51">
        <v>261.5</v>
      </c>
      <c r="CT76" s="51">
        <v>0</v>
      </c>
      <c r="CU76" s="51">
        <v>183.4</v>
      </c>
      <c r="CV76" s="51">
        <v>154.5</v>
      </c>
      <c r="CW76" s="51">
        <v>180.1</v>
      </c>
      <c r="CX76" s="51">
        <v>167.4</v>
      </c>
      <c r="CY76" s="51">
        <v>251.9</v>
      </c>
      <c r="CZ76" s="51">
        <v>231.7</v>
      </c>
      <c r="DA76" s="51">
        <v>258.2</v>
      </c>
      <c r="DB76" s="51">
        <v>352.3</v>
      </c>
      <c r="DC76" s="51">
        <v>143.19999999999999</v>
      </c>
      <c r="DD76" s="51">
        <v>203.7</v>
      </c>
      <c r="DE76" s="51">
        <v>293.2</v>
      </c>
      <c r="DF76" s="51">
        <v>113.8</v>
      </c>
      <c r="DG76" s="51">
        <v>273.8</v>
      </c>
      <c r="DH76" s="51">
        <v>187.2</v>
      </c>
      <c r="DI76" s="51">
        <v>113.8</v>
      </c>
      <c r="DJ76" s="51">
        <f>158.7+9.7</f>
        <v>168.39999999999998</v>
      </c>
      <c r="DK76" s="51">
        <v>184.8</v>
      </c>
      <c r="DL76" s="51">
        <v>325.7</v>
      </c>
      <c r="DM76" s="51">
        <f t="shared" ref="DM76" si="181">+DM75*0.1</f>
        <v>292.6599999999998</v>
      </c>
      <c r="DN76" s="51">
        <f>19.9+319.2</f>
        <v>339.09999999999997</v>
      </c>
      <c r="DO76" s="51">
        <f>293.2+23.3</f>
        <v>316.5</v>
      </c>
      <c r="DP76" s="51">
        <f>550.2+147.6</f>
        <v>697.80000000000007</v>
      </c>
      <c r="DQ76" s="51">
        <v>618.1</v>
      </c>
      <c r="DR76" s="51">
        <f>+DR75*0.15</f>
        <v>828.30873000000042</v>
      </c>
      <c r="DS76" s="51"/>
      <c r="DT76" s="51"/>
      <c r="DU76" s="51"/>
      <c r="DV76" s="51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>
        <v>885.2</v>
      </c>
      <c r="EK76" s="49">
        <v>568.70000000000005</v>
      </c>
      <c r="EL76" s="49">
        <v>698.7</v>
      </c>
      <c r="EM76" s="49">
        <v>800.9</v>
      </c>
      <c r="EN76" s="51">
        <v>850</v>
      </c>
      <c r="EO76" s="51">
        <v>779</v>
      </c>
      <c r="EP76" s="51">
        <v>788</v>
      </c>
      <c r="EQ76" s="51">
        <v>866</v>
      </c>
      <c r="ER76" s="51">
        <v>832</v>
      </c>
      <c r="ES76" s="51">
        <v>912</v>
      </c>
      <c r="ET76" s="51">
        <f>ET75*0.22</f>
        <v>1428.6131199999995</v>
      </c>
      <c r="EU76" s="51">
        <f>SUM(BC76:BF76)</f>
        <v>855.4</v>
      </c>
      <c r="EV76" s="51">
        <f>SUM(BG76:BJ76)</f>
        <v>1109.7</v>
      </c>
      <c r="EW76" s="51">
        <f>SUM(BK76:BN76)</f>
        <v>1482.4</v>
      </c>
      <c r="EX76" s="51">
        <f>SUM(BO76:BR76)</f>
        <v>1211.6999999999998</v>
      </c>
      <c r="EY76" s="51">
        <f>SUM(BS76:BV76)</f>
        <v>1031.3999999999999</v>
      </c>
      <c r="EZ76" s="51">
        <f t="shared" ref="EZ76:FB76" si="182">EZ75*0.28</f>
        <v>-1998.5910000000001</v>
      </c>
      <c r="FA76" s="51">
        <f t="shared" si="182"/>
        <v>-1598.8728000000003</v>
      </c>
      <c r="FB76" s="51">
        <f t="shared" si="182"/>
        <v>0</v>
      </c>
      <c r="FC76" s="51"/>
      <c r="FD76" s="51"/>
      <c r="FE76" s="51"/>
      <c r="FF76" s="49">
        <f t="shared" ref="FF76" si="183">SUM(CU76:CX76)</f>
        <v>685.4</v>
      </c>
      <c r="FG76" s="49">
        <f t="shared" ref="FG76" si="184">SUM(CY76:DB76)</f>
        <v>1094.0999999999999</v>
      </c>
      <c r="FH76" s="49">
        <f>SUM(DC76:DF76)</f>
        <v>753.89999999999986</v>
      </c>
      <c r="FI76" s="49">
        <f>SUM(DG76:DJ76)</f>
        <v>743.19999999999993</v>
      </c>
      <c r="FJ76" s="49">
        <f>SUM(DK76:DN76)</f>
        <v>1142.2599999999998</v>
      </c>
      <c r="FK76" s="51">
        <f>FK75*0.14</f>
        <v>2302.210148000001</v>
      </c>
      <c r="FL76" s="51">
        <f t="shared" ref="FL76:FP76" si="185">FL75*0.2</f>
        <v>5380.826364728001</v>
      </c>
      <c r="FM76" s="51">
        <f t="shared" si="185"/>
        <v>6748.5970805527686</v>
      </c>
      <c r="FN76" s="51">
        <f t="shared" si="185"/>
        <v>8535.9988007537231</v>
      </c>
      <c r="FO76" s="51">
        <f t="shared" si="185"/>
        <v>10035.492006242428</v>
      </c>
      <c r="FP76" s="51">
        <f t="shared" si="185"/>
        <v>11260.105453496435</v>
      </c>
      <c r="FQ76" s="51">
        <f>FQ75*0.2</f>
        <v>12147.085747317496</v>
      </c>
    </row>
    <row r="77" spans="1:251" x14ac:dyDescent="0.2">
      <c r="A77" s="102"/>
      <c r="B77" t="s">
        <v>83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Z77" si="186">AP75-AP76</f>
        <v>490.20000000000039</v>
      </c>
      <c r="AQ77" s="51">
        <f t="shared" si="186"/>
        <v>449.43663366336614</v>
      </c>
      <c r="AR77" s="51">
        <f t="shared" si="186"/>
        <v>390.99999999999972</v>
      </c>
      <c r="AS77" s="51">
        <f t="shared" si="186"/>
        <v>537.53333333333364</v>
      </c>
      <c r="AT77" s="51">
        <f t="shared" si="186"/>
        <v>642.40000000000077</v>
      </c>
      <c r="AU77" s="51">
        <f t="shared" si="186"/>
        <v>557.30000000000018</v>
      </c>
      <c r="AV77" s="51">
        <f t="shared" si="186"/>
        <v>602.09999999999991</v>
      </c>
      <c r="AW77" s="51">
        <f t="shared" si="186"/>
        <v>717.10000000000048</v>
      </c>
      <c r="AX77" s="51">
        <f t="shared" si="186"/>
        <v>2114.1000000000008</v>
      </c>
      <c r="AY77" s="51">
        <f t="shared" si="186"/>
        <v>996.10000000000025</v>
      </c>
      <c r="AZ77" s="51">
        <f t="shared" si="186"/>
        <v>554.5</v>
      </c>
      <c r="BA77" s="51">
        <f t="shared" ref="BA77:BF77" si="187">BA75-BA76</f>
        <v>2308.8999999999987</v>
      </c>
      <c r="BB77" s="51">
        <f t="shared" si="187"/>
        <v>2517.7000000000003</v>
      </c>
      <c r="BC77" s="51">
        <f t="shared" si="187"/>
        <v>2731.2000000000012</v>
      </c>
      <c r="BD77" s="51">
        <f t="shared" si="187"/>
        <v>2635.7999999999988</v>
      </c>
      <c r="BE77" s="51">
        <f t="shared" si="187"/>
        <v>2722.0000000000009</v>
      </c>
      <c r="BF77" s="51">
        <f t="shared" si="187"/>
        <v>1212.0999999999999</v>
      </c>
      <c r="BG77" s="51">
        <f t="shared" ref="BG77:BL77" si="188">BG75-BG76</f>
        <v>1157.9000000000001</v>
      </c>
      <c r="BH77" s="51">
        <f t="shared" si="188"/>
        <v>1047.4000000000001</v>
      </c>
      <c r="BI77" s="51">
        <f t="shared" si="188"/>
        <v>1491.6000000000006</v>
      </c>
      <c r="BJ77" s="51">
        <f t="shared" si="188"/>
        <v>999.19999999999982</v>
      </c>
      <c r="BK77" s="51">
        <f t="shared" si="188"/>
        <v>1297.5999999999999</v>
      </c>
      <c r="BL77" s="51">
        <f t="shared" si="188"/>
        <v>1357.7999999999997</v>
      </c>
      <c r="BM77" s="51">
        <f t="shared" ref="BM77:BS77" si="189">BM75-BM76</f>
        <v>1340.6999999999998</v>
      </c>
      <c r="BN77" s="51">
        <f t="shared" si="189"/>
        <v>1248.8000000000006</v>
      </c>
      <c r="BO77" s="51">
        <f>BO75-BO76</f>
        <v>1374.9000000000005</v>
      </c>
      <c r="BP77" s="51">
        <f>BP75-BP76</f>
        <v>1329.5999999999985</v>
      </c>
      <c r="BQ77" s="51">
        <f>BQ75-BQ76</f>
        <v>1254</v>
      </c>
      <c r="BR77" s="51">
        <f t="shared" si="189"/>
        <v>969.60000000000059</v>
      </c>
      <c r="BS77" s="51">
        <f t="shared" si="189"/>
        <v>1027.3</v>
      </c>
      <c r="BT77" s="51">
        <f t="shared" ref="BT77:BV77" si="190">BT75-BT76</f>
        <v>923.39999999999907</v>
      </c>
      <c r="BU77" s="51">
        <f t="shared" si="190"/>
        <v>887.49999999999989</v>
      </c>
      <c r="BV77" s="51">
        <f t="shared" si="190"/>
        <v>1031.2</v>
      </c>
      <c r="BW77" s="51">
        <f t="shared" ref="BW77:CA77" si="191">BW75-BW76</f>
        <v>1074.2999999999997</v>
      </c>
      <c r="BX77" s="51">
        <f t="shared" si="191"/>
        <v>1269.7</v>
      </c>
      <c r="BY77" s="51">
        <f t="shared" si="191"/>
        <v>1203.0999999999999</v>
      </c>
      <c r="BZ77" s="51">
        <f>BZ75-BZ76</f>
        <v>820.00000000000023</v>
      </c>
      <c r="CA77" s="51">
        <f t="shared" si="191"/>
        <v>647.30000000000075</v>
      </c>
      <c r="CB77" s="51">
        <f t="shared" ref="CB77:CC77" si="192">CB75-CB76</f>
        <v>625.90000000000043</v>
      </c>
      <c r="CC77" s="51">
        <f t="shared" si="192"/>
        <v>444.9000000000002</v>
      </c>
      <c r="CD77" s="51">
        <f t="shared" ref="CD77" si="193">CD75-CD76</f>
        <v>660.29999999999984</v>
      </c>
      <c r="CE77" s="51">
        <f t="shared" ref="CE77:CF77" si="194">CE75-CE76</f>
        <v>708.0999999999998</v>
      </c>
      <c r="CF77" s="51">
        <f t="shared" si="194"/>
        <v>1184.2999999999995</v>
      </c>
      <c r="CG77" s="51">
        <f t="shared" ref="CG77:CH77" si="195">CG75-CG76</f>
        <v>669.09999999999934</v>
      </c>
      <c r="CH77" s="51">
        <f t="shared" si="195"/>
        <v>699.10000000000014</v>
      </c>
      <c r="CI77" s="51">
        <f t="shared" ref="CI77:CJ77" si="196">CI75-CI76</f>
        <v>869.50000000000023</v>
      </c>
      <c r="CJ77" s="51">
        <f t="shared" si="196"/>
        <v>929.89999999999964</v>
      </c>
      <c r="CK77" s="51">
        <f t="shared" ref="CK77:CL77" si="197">CK75-CK76</f>
        <v>769.09999999999945</v>
      </c>
      <c r="CL77" s="51">
        <f t="shared" si="197"/>
        <v>917.80000000000018</v>
      </c>
      <c r="CM77" s="51">
        <f t="shared" ref="CM77:CN77" si="198">CM75-CM76</f>
        <v>804.10000000000014</v>
      </c>
      <c r="CN77" s="51">
        <f t="shared" si="198"/>
        <v>937.20000000000027</v>
      </c>
      <c r="CO77" s="51">
        <f t="shared" ref="CO77:CP77" si="199">CO75-CO76</f>
        <v>1067.2999999999997</v>
      </c>
      <c r="CP77" s="51">
        <f t="shared" si="199"/>
        <v>1113.4999999999991</v>
      </c>
      <c r="CQ77" s="51">
        <f t="shared" ref="CQ77:CR77" si="200">CQ75-CQ76</f>
        <v>424.49999999999989</v>
      </c>
      <c r="CR77" s="51">
        <f t="shared" si="200"/>
        <v>1362.9999999999998</v>
      </c>
      <c r="CS77" s="51">
        <f t="shared" ref="CS77:CT77" si="201">CS75-CS76</f>
        <v>1293.5999999999999</v>
      </c>
      <c r="CT77" s="51">
        <f t="shared" si="201"/>
        <v>1544.9000000000003</v>
      </c>
      <c r="CU77" s="51">
        <f t="shared" ref="CU77:DG77" si="202">CU75-CU76</f>
        <v>1094.6999999999975</v>
      </c>
      <c r="CV77" s="51">
        <f t="shared" si="202"/>
        <v>1329.0000000000009</v>
      </c>
      <c r="CW77" s="51">
        <f t="shared" si="202"/>
        <v>1294.8000000000011</v>
      </c>
      <c r="CX77" s="51">
        <f t="shared" si="202"/>
        <v>1354.7999999999995</v>
      </c>
      <c r="CY77" s="51">
        <f t="shared" si="202"/>
        <v>1431.4999999999975</v>
      </c>
      <c r="CZ77" s="51">
        <f t="shared" si="202"/>
        <v>1228.4999999999986</v>
      </c>
      <c r="DA77" s="51">
        <f t="shared" si="202"/>
        <v>1164.1999999999989</v>
      </c>
      <c r="DB77" s="51">
        <f t="shared" si="202"/>
        <v>1892.6999999999991</v>
      </c>
      <c r="DC77" s="51">
        <f t="shared" si="202"/>
        <v>1777.5000000000007</v>
      </c>
      <c r="DD77" s="51">
        <f t="shared" si="202"/>
        <v>1698.2999999999972</v>
      </c>
      <c r="DE77" s="51">
        <f t="shared" si="202"/>
        <v>1693.5999999999979</v>
      </c>
      <c r="DF77" s="51">
        <f t="shared" si="202"/>
        <v>2207.1999999999994</v>
      </c>
      <c r="DG77" s="51">
        <f t="shared" si="202"/>
        <v>2538.4999999999991</v>
      </c>
      <c r="DH77" s="51">
        <f>+DH75-DH76</f>
        <v>1703.7000000000016</v>
      </c>
      <c r="DI77" s="51">
        <f t="shared" ref="DI77:DR77" si="203">+DI75-DI76</f>
        <v>1720.4999999999993</v>
      </c>
      <c r="DJ77" s="51">
        <f t="shared" si="203"/>
        <v>2026.900000000001</v>
      </c>
      <c r="DK77" s="51">
        <f t="shared" si="203"/>
        <v>1504.4999999999991</v>
      </c>
      <c r="DL77" s="51">
        <f t="shared" si="203"/>
        <v>1481.3999999999992</v>
      </c>
      <c r="DM77" s="51">
        <f t="shared" si="203"/>
        <v>2633.9399999999978</v>
      </c>
      <c r="DN77" s="51">
        <f t="shared" si="203"/>
        <v>2976.9000000000019</v>
      </c>
      <c r="DO77" s="51">
        <f t="shared" si="203"/>
        <v>2388.1999999999998</v>
      </c>
      <c r="DP77" s="51">
        <f t="shared" si="203"/>
        <v>3701.9999999999982</v>
      </c>
      <c r="DQ77" s="51">
        <f t="shared" si="203"/>
        <v>4017.8000000000052</v>
      </c>
      <c r="DR77" s="51">
        <f t="shared" si="203"/>
        <v>4693.7494700000025</v>
      </c>
      <c r="DS77" s="51">
        <f t="shared" ref="DS77:DV77" si="204">+DS75-DS76</f>
        <v>0</v>
      </c>
      <c r="DT77" s="51">
        <f t="shared" si="204"/>
        <v>0</v>
      </c>
      <c r="DU77" s="51">
        <f t="shared" si="204"/>
        <v>0</v>
      </c>
      <c r="DV77" s="51">
        <f t="shared" si="204"/>
        <v>0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:EM77" si="205">EJ75-EJ76</f>
        <v>1320.4999999999998</v>
      </c>
      <c r="EK77" s="51">
        <f t="shared" si="205"/>
        <v>2074.4999999999982</v>
      </c>
      <c r="EL77" s="51">
        <f t="shared" si="205"/>
        <v>2481.1999999999989</v>
      </c>
      <c r="EM77" s="51">
        <f t="shared" si="205"/>
        <v>2576.4999999999995</v>
      </c>
      <c r="EN77" s="51">
        <f t="shared" ref="EN77:ET77" si="206">EN75-EN76</f>
        <v>3101</v>
      </c>
      <c r="EO77" s="51">
        <f t="shared" si="206"/>
        <v>2841.2000000000007</v>
      </c>
      <c r="EP77" s="51">
        <f t="shared" si="206"/>
        <v>2802</v>
      </c>
      <c r="EQ77" s="51">
        <f t="shared" si="206"/>
        <v>3073</v>
      </c>
      <c r="ER77" s="51">
        <f t="shared" si="206"/>
        <v>3134</v>
      </c>
      <c r="ES77" s="51">
        <f t="shared" si="206"/>
        <v>3689.4999999999982</v>
      </c>
      <c r="ET77" s="51">
        <f t="shared" si="206"/>
        <v>5065.0828799999981</v>
      </c>
      <c r="EU77" s="51">
        <f>EU75-EU76</f>
        <v>9301.0999999999985</v>
      </c>
      <c r="EV77" s="51">
        <f>EV75-EV76</f>
        <v>4696.0999999999995</v>
      </c>
      <c r="EW77" s="51">
        <f>EW75-EW76</f>
        <v>4062.4999999999959</v>
      </c>
      <c r="EX77" s="51">
        <f>EX75-EX76</f>
        <v>4518.0000000000018</v>
      </c>
      <c r="EY77" s="51">
        <f t="shared" ref="EY77:FB77" si="207">EY75-EY76</f>
        <v>3268.2</v>
      </c>
      <c r="EZ77" s="51">
        <f t="shared" si="207"/>
        <v>-5139.2339999999995</v>
      </c>
      <c r="FA77" s="51">
        <f t="shared" si="207"/>
        <v>-4111.3872000000001</v>
      </c>
      <c r="FB77" s="51">
        <f t="shared" si="207"/>
        <v>0</v>
      </c>
      <c r="FC77" s="51">
        <f>FC75-FC76</f>
        <v>0</v>
      </c>
      <c r="FD77" s="51">
        <f>FD75-FD76</f>
        <v>4447.9000000000051</v>
      </c>
      <c r="FE77" s="51">
        <f t="shared" ref="FE77:FH77" si="208">FE75-FE76</f>
        <v>5785.0999999999985</v>
      </c>
      <c r="FF77" s="51">
        <f t="shared" si="208"/>
        <v>5713.699999999998</v>
      </c>
      <c r="FG77" s="51">
        <f t="shared" si="208"/>
        <v>6370.1</v>
      </c>
      <c r="FH77" s="51">
        <f t="shared" si="208"/>
        <v>7780.1999999999989</v>
      </c>
      <c r="FI77" s="51">
        <f>+FI75-FI76</f>
        <v>7984.8000000000056</v>
      </c>
      <c r="FJ77" s="51">
        <f>+FJ75-FJ76</f>
        <v>8440.840000000002</v>
      </c>
      <c r="FK77" s="51">
        <f>+FK75-FK76</f>
        <v>14142.148052000004</v>
      </c>
      <c r="FL77" s="51">
        <f t="shared" ref="FL77:FO77" si="209">+FL75-FL76</f>
        <v>21523.305458912004</v>
      </c>
      <c r="FM77" s="51">
        <f t="shared" si="209"/>
        <v>26994.388322211074</v>
      </c>
      <c r="FN77" s="51">
        <f t="shared" si="209"/>
        <v>34143.995203014885</v>
      </c>
      <c r="FO77" s="51">
        <f t="shared" si="209"/>
        <v>40141.968024969712</v>
      </c>
      <c r="FP77" s="51">
        <f>+FP75-FP76</f>
        <v>45040.42181398574</v>
      </c>
      <c r="FQ77" s="51">
        <f>+FQ75-FQ76</f>
        <v>48588.342989269979</v>
      </c>
      <c r="FR77" s="54">
        <f>+FQ77*(1+$FS$94)</f>
        <v>49560.109849055378</v>
      </c>
      <c r="FS77" s="54">
        <f t="shared" ref="FS77:ID77" si="210">+FR77*(1+$FS$94)</f>
        <v>50551.312046036488</v>
      </c>
      <c r="FT77" s="54">
        <f t="shared" si="210"/>
        <v>51562.338286957216</v>
      </c>
      <c r="FU77" s="54">
        <f t="shared" si="210"/>
        <v>52593.585052696362</v>
      </c>
      <c r="FV77" s="54">
        <f t="shared" si="210"/>
        <v>53645.456753750288</v>
      </c>
      <c r="FW77" s="54">
        <f t="shared" si="210"/>
        <v>54718.365888825298</v>
      </c>
      <c r="FX77" s="54">
        <f t="shared" si="210"/>
        <v>55812.733206601806</v>
      </c>
      <c r="FY77" s="54">
        <f t="shared" si="210"/>
        <v>56928.987870733843</v>
      </c>
      <c r="FZ77" s="54">
        <f t="shared" si="210"/>
        <v>58067.567628148521</v>
      </c>
      <c r="GA77" s="54">
        <f t="shared" si="210"/>
        <v>59228.918980711496</v>
      </c>
      <c r="GB77" s="54">
        <f t="shared" si="210"/>
        <v>60413.497360325724</v>
      </c>
      <c r="GC77" s="54">
        <f t="shared" si="210"/>
        <v>61621.767307532238</v>
      </c>
      <c r="GD77" s="54">
        <f t="shared" si="210"/>
        <v>62854.202653682885</v>
      </c>
      <c r="GE77" s="54">
        <f t="shared" si="210"/>
        <v>64111.286706756546</v>
      </c>
      <c r="GF77" s="54">
        <f t="shared" si="210"/>
        <v>65393.512440891674</v>
      </c>
      <c r="GG77" s="54">
        <f t="shared" si="210"/>
        <v>66701.382689709513</v>
      </c>
      <c r="GH77" s="54">
        <f t="shared" si="210"/>
        <v>68035.41034350371</v>
      </c>
      <c r="GI77" s="54">
        <f t="shared" si="210"/>
        <v>69396.11855037378</v>
      </c>
      <c r="GJ77" s="54">
        <f t="shared" si="210"/>
        <v>70784.040921381253</v>
      </c>
      <c r="GK77" s="54">
        <f t="shared" si="210"/>
        <v>72199.721739808883</v>
      </c>
      <c r="GL77" s="54">
        <f t="shared" si="210"/>
        <v>73643.716174605055</v>
      </c>
      <c r="GM77" s="54">
        <f t="shared" si="210"/>
        <v>75116.590498097154</v>
      </c>
      <c r="GN77" s="54">
        <f t="shared" si="210"/>
        <v>76618.922308059104</v>
      </c>
      <c r="GO77" s="54">
        <f t="shared" si="210"/>
        <v>78151.300754220283</v>
      </c>
      <c r="GP77" s="54">
        <f t="shared" si="210"/>
        <v>79714.326769304695</v>
      </c>
      <c r="GQ77" s="54">
        <f t="shared" si="210"/>
        <v>81308.613304690793</v>
      </c>
      <c r="GR77" s="54">
        <f t="shared" si="210"/>
        <v>82934.785570784603</v>
      </c>
      <c r="GS77" s="54">
        <f t="shared" si="210"/>
        <v>84593.4812822003</v>
      </c>
      <c r="GT77" s="54">
        <f t="shared" si="210"/>
        <v>86285.350907844302</v>
      </c>
      <c r="GU77" s="54">
        <f t="shared" si="210"/>
        <v>88011.057926001187</v>
      </c>
      <c r="GV77" s="54">
        <f t="shared" si="210"/>
        <v>89771.279084521215</v>
      </c>
      <c r="GW77" s="54">
        <f t="shared" si="210"/>
        <v>91566.704666211634</v>
      </c>
      <c r="GX77" s="54">
        <f t="shared" si="210"/>
        <v>93398.038759535862</v>
      </c>
      <c r="GY77" s="54">
        <f t="shared" si="210"/>
        <v>95265.999534726579</v>
      </c>
      <c r="GZ77" s="54">
        <f t="shared" si="210"/>
        <v>97171.319525421117</v>
      </c>
      <c r="HA77" s="54">
        <f t="shared" si="210"/>
        <v>99114.745915929539</v>
      </c>
      <c r="HB77" s="54">
        <f t="shared" si="210"/>
        <v>101097.04083424814</v>
      </c>
      <c r="HC77" s="54">
        <f t="shared" si="210"/>
        <v>103118.9816509331</v>
      </c>
      <c r="HD77" s="54">
        <f t="shared" si="210"/>
        <v>105181.36128395176</v>
      </c>
      <c r="HE77" s="54">
        <f t="shared" si="210"/>
        <v>107284.9885096308</v>
      </c>
      <c r="HF77" s="54">
        <f t="shared" si="210"/>
        <v>109430.68827982341</v>
      </c>
      <c r="HG77" s="54">
        <f t="shared" si="210"/>
        <v>111619.30204541988</v>
      </c>
      <c r="HH77" s="54">
        <f t="shared" si="210"/>
        <v>113851.68808632829</v>
      </c>
      <c r="HI77" s="54">
        <f t="shared" si="210"/>
        <v>116128.72184805485</v>
      </c>
      <c r="HJ77" s="54">
        <f t="shared" si="210"/>
        <v>118451.29628501595</v>
      </c>
      <c r="HK77" s="54">
        <f t="shared" si="210"/>
        <v>120820.32221071627</v>
      </c>
      <c r="HL77" s="54">
        <f t="shared" si="210"/>
        <v>123236.7286549306</v>
      </c>
      <c r="HM77" s="54">
        <f t="shared" si="210"/>
        <v>125701.46322802921</v>
      </c>
      <c r="HN77" s="54">
        <f t="shared" si="210"/>
        <v>128215.49249258979</v>
      </c>
      <c r="HO77" s="54">
        <f t="shared" si="210"/>
        <v>130779.80234244159</v>
      </c>
      <c r="HP77" s="54">
        <f t="shared" si="210"/>
        <v>133395.39838929044</v>
      </c>
      <c r="HQ77" s="54">
        <f t="shared" si="210"/>
        <v>136063.30635707625</v>
      </c>
      <c r="HR77" s="54">
        <f t="shared" si="210"/>
        <v>138784.57248421779</v>
      </c>
      <c r="HS77" s="54">
        <f t="shared" si="210"/>
        <v>141560.26393390214</v>
      </c>
      <c r="HT77" s="54">
        <f t="shared" si="210"/>
        <v>144391.46921258018</v>
      </c>
      <c r="HU77" s="54">
        <f t="shared" si="210"/>
        <v>147279.2985968318</v>
      </c>
      <c r="HV77" s="54">
        <f t="shared" si="210"/>
        <v>150224.88456876844</v>
      </c>
      <c r="HW77" s="54">
        <f t="shared" si="210"/>
        <v>153229.38226014382</v>
      </c>
      <c r="HX77" s="54">
        <f t="shared" si="210"/>
        <v>156293.96990534669</v>
      </c>
      <c r="HY77" s="54">
        <f t="shared" si="210"/>
        <v>159419.84930345364</v>
      </c>
      <c r="HZ77" s="54">
        <f t="shared" si="210"/>
        <v>162608.24628952271</v>
      </c>
      <c r="IA77" s="54">
        <f t="shared" si="210"/>
        <v>165860.41121531316</v>
      </c>
      <c r="IB77" s="54">
        <f t="shared" si="210"/>
        <v>169177.61943961942</v>
      </c>
      <c r="IC77" s="54">
        <f t="shared" si="210"/>
        <v>172561.17182841181</v>
      </c>
      <c r="ID77" s="54">
        <f t="shared" si="210"/>
        <v>176012.39526498006</v>
      </c>
      <c r="IE77" s="54">
        <f t="shared" ref="IE77:IQ77" si="211">+ID77*(1+$FS$94)</f>
        <v>179532.64317027965</v>
      </c>
      <c r="IF77" s="54">
        <f t="shared" si="211"/>
        <v>183123.29603368524</v>
      </c>
      <c r="IG77" s="54">
        <f t="shared" si="211"/>
        <v>186785.76195435895</v>
      </c>
      <c r="IH77" s="54">
        <f t="shared" si="211"/>
        <v>190521.47719344613</v>
      </c>
      <c r="II77" s="54">
        <f t="shared" si="211"/>
        <v>194331.90673731506</v>
      </c>
      <c r="IJ77" s="54">
        <f t="shared" si="211"/>
        <v>198218.54487206138</v>
      </c>
      <c r="IK77" s="54">
        <f t="shared" si="211"/>
        <v>202182.91576950261</v>
      </c>
      <c r="IL77" s="54">
        <f t="shared" si="211"/>
        <v>206226.57408489267</v>
      </c>
      <c r="IM77" s="54">
        <f t="shared" si="211"/>
        <v>210351.10556659053</v>
      </c>
      <c r="IN77" s="54">
        <f t="shared" si="211"/>
        <v>214558.12767792234</v>
      </c>
      <c r="IO77" s="54">
        <f t="shared" si="211"/>
        <v>218849.29023148079</v>
      </c>
      <c r="IP77" s="54">
        <f t="shared" si="211"/>
        <v>223226.27603611042</v>
      </c>
      <c r="IQ77" s="54">
        <f t="shared" si="211"/>
        <v>227690.80155683262</v>
      </c>
    </row>
    <row r="78" spans="1:251" s="58" customFormat="1" x14ac:dyDescent="0.2">
      <c r="A78" s="108"/>
      <c r="B78" s="58" t="s">
        <v>56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>
        <f t="shared" ref="AP78:AY78" si="212">AP77/AP79</f>
        <v>0.4500550863018733</v>
      </c>
      <c r="AQ78" s="59">
        <f t="shared" si="212"/>
        <v>0.41270581603614886</v>
      </c>
      <c r="AR78" s="59">
        <f t="shared" si="212"/>
        <v>0.35871559633027494</v>
      </c>
      <c r="AS78" s="59">
        <f t="shared" si="212"/>
        <v>0.49269783073632784</v>
      </c>
      <c r="AT78" s="59">
        <f t="shared" si="212"/>
        <v>0.58747142203932401</v>
      </c>
      <c r="AU78" s="59">
        <f t="shared" si="212"/>
        <v>0.51269549218031296</v>
      </c>
      <c r="AV78" s="59">
        <f t="shared" si="212"/>
        <v>0.55477748088086243</v>
      </c>
      <c r="AW78" s="59">
        <f t="shared" si="212"/>
        <v>0.66006266499265509</v>
      </c>
      <c r="AX78" s="59">
        <f t="shared" si="212"/>
        <v>1.9411494109340131</v>
      </c>
      <c r="AY78" s="59">
        <f t="shared" si="212"/>
        <v>0.91395466836226802</v>
      </c>
      <c r="AZ78" s="59">
        <f t="shared" ref="AZ78:BF78" si="213">AZ77/AZ79</f>
        <v>0.50877207469820052</v>
      </c>
      <c r="BA78" s="59">
        <f t="shared" si="213"/>
        <v>2.117813888471034</v>
      </c>
      <c r="BB78" s="59">
        <f t="shared" si="213"/>
        <v>2.3042440483381479</v>
      </c>
      <c r="BC78" s="59">
        <f t="shared" si="213"/>
        <v>2.4963987218204564</v>
      </c>
      <c r="BD78" s="59">
        <f t="shared" si="213"/>
        <v>2.4096936275406082</v>
      </c>
      <c r="BE78" s="59">
        <f t="shared" si="213"/>
        <v>2.4881693125175399</v>
      </c>
      <c r="BF78" s="59">
        <f t="shared" si="213"/>
        <v>1.1054354299305693</v>
      </c>
      <c r="BG78" s="59">
        <f t="shared" ref="BG78:BL78" si="214">BG77/BG79</f>
        <v>1.0552687795737732</v>
      </c>
      <c r="BH78" s="59">
        <f t="shared" si="214"/>
        <v>0.95460042854031091</v>
      </c>
      <c r="BI78" s="59">
        <f t="shared" si="214"/>
        <v>1.3588746375286636</v>
      </c>
      <c r="BJ78" s="59">
        <f t="shared" si="214"/>
        <v>0.90717029507547786</v>
      </c>
      <c r="BK78" s="59">
        <f t="shared" si="214"/>
        <v>1.1759950553105565</v>
      </c>
      <c r="BL78" s="59">
        <f t="shared" si="214"/>
        <v>1.2301063501137424</v>
      </c>
      <c r="BM78" s="59">
        <f>BM77/BM79</f>
        <v>1.2130858000104956</v>
      </c>
      <c r="BN78" s="59">
        <f>BN77/BN79</f>
        <v>1.1256930791689996</v>
      </c>
      <c r="BO78" s="59">
        <f>+BO77/BO79</f>
        <v>1.236420863309353</v>
      </c>
      <c r="BP78" s="59">
        <f t="shared" ref="BP78:BV78" si="215">BP77/BP79</f>
        <v>1.1491789109766626</v>
      </c>
      <c r="BQ78" s="59">
        <f t="shared" si="215"/>
        <v>1.125833938596263</v>
      </c>
      <c r="BR78" s="59">
        <f t="shared" si="215"/>
        <v>0.86959641255605435</v>
      </c>
      <c r="BS78" s="59">
        <f t="shared" si="215"/>
        <v>0.91970961062075252</v>
      </c>
      <c r="BT78" s="59">
        <f t="shared" si="215"/>
        <v>0.82593917710196696</v>
      </c>
      <c r="BU78" s="59">
        <f t="shared" si="215"/>
        <v>0.79266479166089832</v>
      </c>
      <c r="BV78" s="59">
        <f t="shared" si="215"/>
        <v>0.92577297374941636</v>
      </c>
      <c r="BW78" s="59">
        <f t="shared" ref="BW78:CA78" si="216">BW77/BW79</f>
        <v>0.98390293403280205</v>
      </c>
      <c r="BX78" s="59">
        <f t="shared" si="216"/>
        <v>1.1712699843271033</v>
      </c>
      <c r="BY78" s="59">
        <f t="shared" si="216"/>
        <v>1.1096077774918676</v>
      </c>
      <c r="BZ78" s="59">
        <f t="shared" si="216"/>
        <v>0.75997983273029257</v>
      </c>
      <c r="CA78" s="59">
        <f t="shared" si="216"/>
        <v>0.60167163024847725</v>
      </c>
      <c r="CB78" s="59">
        <f t="shared" ref="CB78:CC78" si="217">CB77/CB79</f>
        <v>0.58146556449260467</v>
      </c>
      <c r="CC78" s="59">
        <f t="shared" si="217"/>
        <v>0.41409698190408312</v>
      </c>
      <c r="CD78" s="59">
        <f t="shared" ref="CD78" si="218">CD77/CD79</f>
        <v>0.61722567202630041</v>
      </c>
      <c r="CE78" s="59">
        <f t="shared" ref="CE78:CF78" si="219">CE77/CE79</f>
        <v>0.66361397366161945</v>
      </c>
      <c r="CF78" s="59">
        <f t="shared" si="219"/>
        <v>1.1114093304704269</v>
      </c>
      <c r="CG78" s="59">
        <f t="shared" ref="CG78:CH78" si="220">CG77/CG79</f>
        <v>0.62816912780157641</v>
      </c>
      <c r="CH78" s="59">
        <f t="shared" si="220"/>
        <v>0.65649788288588629</v>
      </c>
      <c r="CI78" s="59">
        <f t="shared" ref="CI78:CJ78" si="221">CI77/CI79</f>
        <v>0.81791030736307424</v>
      </c>
      <c r="CJ78" s="59">
        <f t="shared" si="221"/>
        <v>0.87719546488340971</v>
      </c>
      <c r="CK78" s="59">
        <f t="shared" ref="CK78:CL78" si="222">CK77/CK79</f>
        <v>0.72502842232080689</v>
      </c>
      <c r="CL78" s="59">
        <f t="shared" si="222"/>
        <v>0.86462715897721909</v>
      </c>
      <c r="CM78" s="59">
        <f t="shared" ref="CM78:CN78" si="223">CM77/CM79</f>
        <v>0.76123774739516781</v>
      </c>
      <c r="CN78" s="59">
        <f t="shared" si="223"/>
        <v>0.88656809603541764</v>
      </c>
      <c r="CO78" s="59">
        <f t="shared" ref="CO78:CP78" si="224">CO77/CO79</f>
        <v>1.0106768305674578</v>
      </c>
      <c r="CP78" s="59">
        <f t="shared" si="224"/>
        <v>1.0593754489382929</v>
      </c>
      <c r="CQ78" s="59">
        <f t="shared" ref="CQ78:CR78" si="225">CQ77/CQ79</f>
        <v>0.40434771426856869</v>
      </c>
      <c r="CR78" s="59">
        <f t="shared" si="225"/>
        <v>1.3230312266431112</v>
      </c>
      <c r="CS78" s="59">
        <f t="shared" ref="CS78:CT78" si="226">CS77/CS79</f>
        <v>1.2604526170761319</v>
      </c>
      <c r="CT78" s="59">
        <f t="shared" si="226"/>
        <v>1.5171587522157357</v>
      </c>
      <c r="CU78" s="59">
        <f t="shared" ref="CU78:DO78" si="227">CU77/CU79</f>
        <v>1.1124988694117157</v>
      </c>
      <c r="CV78" s="59">
        <f t="shared" si="227"/>
        <v>1.4373316894325308</v>
      </c>
      <c r="CW78" s="59">
        <f t="shared" si="227"/>
        <v>1.4097603146156488</v>
      </c>
      <c r="CX78" s="59">
        <f t="shared" si="227"/>
        <v>1.4811769825009451</v>
      </c>
      <c r="CY78" s="59">
        <f t="shared" si="227"/>
        <v>1.5701212991368967</v>
      </c>
      <c r="CZ78" s="59">
        <f t="shared" si="227"/>
        <v>1.3486809603794077</v>
      </c>
      <c r="DA78" s="59">
        <f t="shared" si="227"/>
        <v>1.2773432314084667</v>
      </c>
      <c r="DB78" s="59">
        <f t="shared" si="227"/>
        <v>2.0739849505419174</v>
      </c>
      <c r="DC78" s="59">
        <f t="shared" si="227"/>
        <v>1.9481587023235432</v>
      </c>
      <c r="DD78" s="59">
        <f t="shared" si="227"/>
        <v>1.8654765461607379</v>
      </c>
      <c r="DE78" s="59">
        <f t="shared" si="227"/>
        <v>1.8595642497235774</v>
      </c>
      <c r="DF78" s="59">
        <f t="shared" si="227"/>
        <v>2.4266811792579883</v>
      </c>
      <c r="DG78" s="59">
        <f t="shared" si="227"/>
        <v>2.8006398940864949</v>
      </c>
      <c r="DH78" s="59">
        <f t="shared" si="227"/>
        <v>1.8868363346401771</v>
      </c>
      <c r="DI78" s="59">
        <f t="shared" si="227"/>
        <v>1.9036670347495295</v>
      </c>
      <c r="DJ78" s="59">
        <f t="shared" si="227"/>
        <v>2.2403319436031897</v>
      </c>
      <c r="DK78" s="59">
        <f t="shared" si="227"/>
        <v>1.6655909609723631</v>
      </c>
      <c r="DL78" s="59">
        <f t="shared" si="227"/>
        <v>1.641078587657679</v>
      </c>
      <c r="DM78" s="59">
        <f t="shared" si="227"/>
        <v>2.9178496929762834</v>
      </c>
      <c r="DN78" s="59">
        <f t="shared" si="227"/>
        <v>3.2931038297307484</v>
      </c>
      <c r="DO78" s="59">
        <f t="shared" si="227"/>
        <v>2.642392913492114</v>
      </c>
      <c r="DP78" s="59">
        <f>+DP77/DP79</f>
        <v>4.0940096079836481</v>
      </c>
      <c r="DQ78" s="59">
        <f t="shared" ref="DQ78:DR78" si="228">DQ77/DQ79</f>
        <v>4.4394255640991984</v>
      </c>
      <c r="DR78" s="59">
        <f t="shared" si="228"/>
        <v>5.1863087731084292</v>
      </c>
      <c r="DS78" s="59" t="e">
        <f t="shared" ref="DS78:DV78" si="229">DS77/DS79</f>
        <v>#DIV/0!</v>
      </c>
      <c r="DT78" s="59" t="e">
        <f t="shared" si="229"/>
        <v>#DIV/0!</v>
      </c>
      <c r="DU78" s="59" t="e">
        <f t="shared" si="229"/>
        <v>#DIV/0!</v>
      </c>
      <c r="DV78" s="59" t="e">
        <f t="shared" si="229"/>
        <v>#DIV/0!</v>
      </c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>
        <f t="shared" ref="EJ78:EM78" si="230">EJ77/EJ79</f>
        <v>1.1679856073746282</v>
      </c>
      <c r="EK78" s="59">
        <f t="shared" si="230"/>
        <v>1.8497778839860668</v>
      </c>
      <c r="EL78" s="59">
        <f t="shared" si="230"/>
        <v>2.2432880824190469</v>
      </c>
      <c r="EM78" s="59">
        <f t="shared" si="230"/>
        <v>2.3471270126853261</v>
      </c>
      <c r="EN78" s="59">
        <f t="shared" ref="EN78:ES78" si="231">EN77/EN79</f>
        <v>2.842346471127406</v>
      </c>
      <c r="EO78" s="59">
        <f t="shared" si="231"/>
        <v>2.6186175115207382</v>
      </c>
      <c r="EP78" s="59">
        <f t="shared" si="231"/>
        <v>2.5920444033302497</v>
      </c>
      <c r="EQ78" s="59">
        <f t="shared" si="231"/>
        <v>2.8218549127640036</v>
      </c>
      <c r="ER78" s="59">
        <f t="shared" si="231"/>
        <v>2.8752293577981654</v>
      </c>
      <c r="ES78" s="59">
        <f t="shared" si="231"/>
        <v>3.3973296500920793</v>
      </c>
      <c r="ET78" s="59">
        <f>ET77/ET79</f>
        <v>4.6440721932819287</v>
      </c>
      <c r="EU78" s="59">
        <f>EU77/EU79</f>
        <v>8.4973446654406342</v>
      </c>
      <c r="EV78" s="59">
        <f>EV77/EV79</f>
        <v>4.275411286763509</v>
      </c>
      <c r="EW78" s="59">
        <f>EW77/EW79</f>
        <v>3.6749972635404955</v>
      </c>
      <c r="EX78" s="59">
        <f>EX77/EX79</f>
        <v>4.0179277124291426</v>
      </c>
      <c r="EY78" s="59">
        <f t="shared" ref="EY78:FD78" si="232">EY77/EY79</f>
        <v>2.9255428662478531</v>
      </c>
      <c r="EZ78" s="59">
        <f t="shared" si="232"/>
        <v>-4.6004067580559385</v>
      </c>
      <c r="FA78" s="59">
        <f t="shared" si="232"/>
        <v>-3.6803254064447515</v>
      </c>
      <c r="FB78" s="59">
        <f t="shared" si="232"/>
        <v>0</v>
      </c>
      <c r="FC78" s="59">
        <f t="shared" si="232"/>
        <v>0</v>
      </c>
      <c r="FD78" s="59">
        <f t="shared" si="232"/>
        <v>4.2279493889392201</v>
      </c>
      <c r="FE78" s="59">
        <f t="shared" ref="FE78:FQ78" si="233">FE77/FE79</f>
        <v>5.5966766860120316</v>
      </c>
      <c r="FF78" s="59">
        <f t="shared" si="233"/>
        <v>6.1080298244437161</v>
      </c>
      <c r="FG78" s="59">
        <f t="shared" si="233"/>
        <v>6.9874077809652082</v>
      </c>
      <c r="FH78" s="59">
        <f t="shared" si="233"/>
        <v>8.5424186610816637</v>
      </c>
      <c r="FI78" s="59">
        <f t="shared" si="233"/>
        <v>8.8282169485004154</v>
      </c>
      <c r="FJ78" s="59">
        <f>FJ77/FJ79</f>
        <v>9.3458423029451172</v>
      </c>
      <c r="FK78" s="59">
        <f>FK77/FK79</f>
        <v>15.658428014142489</v>
      </c>
      <c r="FL78" s="59">
        <f t="shared" si="233"/>
        <v>23.830971639920826</v>
      </c>
      <c r="FM78" s="59">
        <f t="shared" si="233"/>
        <v>29.888648087613063</v>
      </c>
      <c r="FN78" s="59">
        <f t="shared" si="233"/>
        <v>37.804815013658782</v>
      </c>
      <c r="FO78" s="59">
        <f t="shared" si="233"/>
        <v>44.445873028185829</v>
      </c>
      <c r="FP78" s="59">
        <f t="shared" si="233"/>
        <v>49.869524778533872</v>
      </c>
      <c r="FQ78" s="59">
        <f t="shared" si="233"/>
        <v>53.797843738197386</v>
      </c>
    </row>
    <row r="79" spans="1:251" x14ac:dyDescent="0.2">
      <c r="A79" s="102"/>
      <c r="B79" t="s">
        <v>84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v>1089.2</v>
      </c>
      <c r="AQ79" s="51">
        <v>1089</v>
      </c>
      <c r="AR79" s="51">
        <v>1090</v>
      </c>
      <c r="AS79" s="51">
        <v>1091</v>
      </c>
      <c r="AT79" s="51">
        <v>1093.5</v>
      </c>
      <c r="AU79" s="51">
        <v>1087</v>
      </c>
      <c r="AV79" s="51">
        <v>1085.3</v>
      </c>
      <c r="AW79" s="51">
        <v>1086.412</v>
      </c>
      <c r="AX79" s="51">
        <v>1089.097</v>
      </c>
      <c r="AY79" s="51">
        <v>1089.8789999999999</v>
      </c>
      <c r="AZ79" s="51">
        <f>AY79</f>
        <v>1089.8789999999999</v>
      </c>
      <c r="BA79" s="51">
        <v>1090.2280000000001</v>
      </c>
      <c r="BB79" s="51">
        <v>1092.636</v>
      </c>
      <c r="BC79" s="51">
        <v>1094.056</v>
      </c>
      <c r="BD79" s="51">
        <v>1093.8320000000001</v>
      </c>
      <c r="BE79" s="51">
        <v>1093.9770000000001</v>
      </c>
      <c r="BF79" s="51">
        <v>1096.491</v>
      </c>
      <c r="BG79" s="51">
        <v>1097.2560000000001</v>
      </c>
      <c r="BH79" s="51">
        <v>1097.213</v>
      </c>
      <c r="BI79" s="51">
        <v>1097.673</v>
      </c>
      <c r="BJ79" s="51">
        <v>1101.4469999999999</v>
      </c>
      <c r="BK79" s="51">
        <v>1103.4059999999999</v>
      </c>
      <c r="BL79" s="51">
        <v>1103.807</v>
      </c>
      <c r="BM79" s="51">
        <v>1105.1980000000001</v>
      </c>
      <c r="BN79" s="51">
        <v>1109.3610000000001</v>
      </c>
      <c r="BO79" s="51">
        <v>1112</v>
      </c>
      <c r="BP79" s="51">
        <v>1157</v>
      </c>
      <c r="BQ79" s="51">
        <v>1113.8409999999999</v>
      </c>
      <c r="BR79" s="51">
        <v>1115</v>
      </c>
      <c r="BS79" s="51">
        <v>1116.9829999999999</v>
      </c>
      <c r="BT79" s="51">
        <v>1118</v>
      </c>
      <c r="BU79" s="51">
        <v>1119.6410000000001</v>
      </c>
      <c r="BV79" s="51">
        <v>1113.8800000000001</v>
      </c>
      <c r="BW79" s="51">
        <v>1091.876</v>
      </c>
      <c r="BX79" s="51">
        <v>1084.037</v>
      </c>
      <c r="BY79" s="51">
        <v>1084.2570000000001</v>
      </c>
      <c r="BZ79" s="51">
        <v>1078.9760000000001</v>
      </c>
      <c r="CA79" s="51">
        <v>1075.836</v>
      </c>
      <c r="CB79" s="51">
        <v>1076.4179999999999</v>
      </c>
      <c r="CC79" s="51">
        <v>1074.386</v>
      </c>
      <c r="CD79" s="51">
        <v>1069.787</v>
      </c>
      <c r="CE79" s="51">
        <v>1067.0360000000001</v>
      </c>
      <c r="CF79" s="51">
        <v>1065.5840000000001</v>
      </c>
      <c r="CG79" s="51">
        <v>1065.1590000000001</v>
      </c>
      <c r="CH79" s="51">
        <v>1064.893</v>
      </c>
      <c r="CI79" s="51">
        <v>1063.075</v>
      </c>
      <c r="CJ79" s="51">
        <v>1060.0830000000001</v>
      </c>
      <c r="CK79" s="51">
        <v>1060.7860000000001</v>
      </c>
      <c r="CL79" s="51">
        <v>1061.498</v>
      </c>
      <c r="CM79" s="51">
        <v>1056.306</v>
      </c>
      <c r="CN79" s="51">
        <v>1057.1099999999999</v>
      </c>
      <c r="CO79" s="51">
        <v>1056.0250000000001</v>
      </c>
      <c r="CP79" s="51">
        <v>1051.0909999999999</v>
      </c>
      <c r="CQ79" s="51">
        <v>1049.8389999999999</v>
      </c>
      <c r="CR79" s="51">
        <v>1030.21</v>
      </c>
      <c r="CS79" s="51">
        <v>1026.298</v>
      </c>
      <c r="CT79" s="51">
        <v>1018.285</v>
      </c>
      <c r="CU79" s="51">
        <v>984.00099999999998</v>
      </c>
      <c r="CV79" s="51">
        <v>924.63</v>
      </c>
      <c r="CW79" s="51">
        <v>918.45399999999995</v>
      </c>
      <c r="CX79" s="51">
        <v>914.678</v>
      </c>
      <c r="CY79" s="51">
        <v>911.71299999999997</v>
      </c>
      <c r="CZ79" s="51">
        <v>910.89</v>
      </c>
      <c r="DA79" s="51">
        <v>911.423</v>
      </c>
      <c r="DB79" s="51">
        <v>912.59100000000001</v>
      </c>
      <c r="DC79" s="51">
        <v>912.4</v>
      </c>
      <c r="DD79" s="51">
        <v>910.38400000000001</v>
      </c>
      <c r="DE79" s="51">
        <v>910.75099999999998</v>
      </c>
      <c r="DF79" s="51">
        <v>909.55499999999995</v>
      </c>
      <c r="DG79" s="51">
        <v>906.4</v>
      </c>
      <c r="DH79" s="51">
        <v>902.94</v>
      </c>
      <c r="DI79" s="51">
        <v>903.78200000000004</v>
      </c>
      <c r="DJ79" s="51">
        <v>904.73199999999997</v>
      </c>
      <c r="DK79" s="51">
        <v>903.28300000000002</v>
      </c>
      <c r="DL79" s="51">
        <v>902.69899999999996</v>
      </c>
      <c r="DM79" s="51">
        <f t="shared" ref="DM79" si="234">+DL79</f>
        <v>902.69899999999996</v>
      </c>
      <c r="DN79" s="51">
        <v>903.98</v>
      </c>
      <c r="DO79" s="51">
        <v>903.80200000000002</v>
      </c>
      <c r="DP79" s="51">
        <v>904.24800000000005</v>
      </c>
      <c r="DQ79" s="51">
        <v>905.02700000000004</v>
      </c>
      <c r="DR79" s="51">
        <f t="shared" ref="DR79" si="235">+DQ79</f>
        <v>905.02700000000004</v>
      </c>
      <c r="DS79" s="51"/>
      <c r="DT79" s="51"/>
      <c r="DU79" s="51"/>
      <c r="DV79" s="51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>
        <v>552.47151499999995</v>
      </c>
      <c r="EI79" s="49">
        <v>1117.1099999999999</v>
      </c>
      <c r="EJ79" s="49">
        <v>1130.579</v>
      </c>
      <c r="EK79" s="49">
        <v>1121.4860000000001</v>
      </c>
      <c r="EL79" s="49">
        <v>1106.0550000000001</v>
      </c>
      <c r="EM79" s="49">
        <v>1097.7249999999999</v>
      </c>
      <c r="EN79" s="51">
        <v>1091</v>
      </c>
      <c r="EO79" s="51">
        <v>1085</v>
      </c>
      <c r="EP79" s="51">
        <v>1081</v>
      </c>
      <c r="EQ79" s="51">
        <v>1089</v>
      </c>
      <c r="ER79" s="51">
        <v>1090</v>
      </c>
      <c r="ES79" s="51">
        <v>1086</v>
      </c>
      <c r="ET79" s="51">
        <f>AVERAGE(AY79:BB79)</f>
        <v>1090.6554999999998</v>
      </c>
      <c r="EU79" s="51">
        <f>AVERAGE(BC79:BF79)</f>
        <v>1094.5889999999999</v>
      </c>
      <c r="EV79" s="51">
        <f>AVERAGE(BG79:BJ79)</f>
        <v>1098.39725</v>
      </c>
      <c r="EW79" s="51">
        <f>AVERAGE(BK79:BN79)</f>
        <v>1105.443</v>
      </c>
      <c r="EX79" s="51">
        <f>AVERAGE(BO79:BR79)</f>
        <v>1124.4602500000001</v>
      </c>
      <c r="EY79" s="51">
        <f>AVERAGE(BS79:BV79)</f>
        <v>1117.1260000000002</v>
      </c>
      <c r="EZ79" s="51">
        <f t="shared" ref="EZ79:FC79" si="236">EY79</f>
        <v>1117.1260000000002</v>
      </c>
      <c r="FA79" s="51">
        <f t="shared" si="236"/>
        <v>1117.1260000000002</v>
      </c>
      <c r="FB79" s="51">
        <f t="shared" si="236"/>
        <v>1117.1260000000002</v>
      </c>
      <c r="FC79" s="51">
        <f t="shared" si="236"/>
        <v>1117.1260000000002</v>
      </c>
      <c r="FD79" s="51">
        <v>1052.0229999999999</v>
      </c>
      <c r="FE79" s="51">
        <v>1033.6669999999999</v>
      </c>
      <c r="FF79" s="51">
        <f>AVERAGE(CU79:CX79)</f>
        <v>935.44074999999998</v>
      </c>
      <c r="FG79" s="51">
        <f>AVERAGE(CY79:DB79)</f>
        <v>911.65424999999993</v>
      </c>
      <c r="FH79" s="51">
        <f>AVERAGE(DC79:DF79)</f>
        <v>910.77249999999992</v>
      </c>
      <c r="FI79" s="49">
        <f>AVERAGE(DG79:DJ79)</f>
        <v>904.46350000000007</v>
      </c>
      <c r="FJ79" s="49">
        <f>AVERAGE(DK79:DN79)</f>
        <v>903.16525000000001</v>
      </c>
      <c r="FK79" s="49">
        <f>+FJ79</f>
        <v>903.16525000000001</v>
      </c>
      <c r="FL79" s="49">
        <f t="shared" ref="FL79:FQ79" si="237">+FK79</f>
        <v>903.16525000000001</v>
      </c>
      <c r="FM79" s="49">
        <f t="shared" si="237"/>
        <v>903.16525000000001</v>
      </c>
      <c r="FN79" s="49">
        <f t="shared" si="237"/>
        <v>903.16525000000001</v>
      </c>
      <c r="FO79" s="49">
        <f t="shared" si="237"/>
        <v>903.16525000000001</v>
      </c>
      <c r="FP79" s="49">
        <f t="shared" si="237"/>
        <v>903.16525000000001</v>
      </c>
      <c r="FQ79" s="49">
        <f t="shared" si="237"/>
        <v>903.16525000000001</v>
      </c>
    </row>
    <row r="80" spans="1:251" x14ac:dyDescent="0.2">
      <c r="A80" s="102"/>
      <c r="AW80" s="51"/>
    </row>
    <row r="81" spans="1:175" s="55" customFormat="1" x14ac:dyDescent="0.2">
      <c r="A81" s="107"/>
      <c r="B81" s="55" t="s">
        <v>380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1">
        <f t="shared" ref="BD81:BV81" si="238">BD67/AZ67-1</f>
        <v>0.59843101721588976</v>
      </c>
      <c r="BE81" s="61">
        <f t="shared" si="238"/>
        <v>0.15215364534775344</v>
      </c>
      <c r="BF81" s="61">
        <f t="shared" si="238"/>
        <v>-0.21831165519000262</v>
      </c>
      <c r="BG81" s="61">
        <f t="shared" si="238"/>
        <v>-0.21628376429876006</v>
      </c>
      <c r="BH81" s="61">
        <f t="shared" si="238"/>
        <v>-0.23718952785858127</v>
      </c>
      <c r="BI81" s="61">
        <f t="shared" si="238"/>
        <v>-0.18168576851211593</v>
      </c>
      <c r="BJ81" s="61">
        <f t="shared" si="238"/>
        <v>0.13885423663755869</v>
      </c>
      <c r="BK81" s="61">
        <f t="shared" si="238"/>
        <v>0.12136636820802149</v>
      </c>
      <c r="BL81" s="61">
        <f t="shared" si="238"/>
        <v>0.12422020142759349</v>
      </c>
      <c r="BM81" s="61">
        <f t="shared" si="238"/>
        <v>1.6684645810859378E-2</v>
      </c>
      <c r="BN81" s="61">
        <f t="shared" si="238"/>
        <v>4.2669362992922233E-2</v>
      </c>
      <c r="BO81" s="61">
        <f t="shared" si="238"/>
        <v>6.4479081214109835E-2</v>
      </c>
      <c r="BP81" s="61">
        <f t="shared" si="238"/>
        <v>8.768939064484127E-2</v>
      </c>
      <c r="BQ81" s="61">
        <f t="shared" si="238"/>
        <v>8.7235622833698789E-2</v>
      </c>
      <c r="BR81" s="61">
        <f t="shared" si="238"/>
        <v>-2.2611197310576814E-2</v>
      </c>
      <c r="BS81" s="61">
        <f t="shared" si="238"/>
        <v>-4.0553500479517668E-2</v>
      </c>
      <c r="BT81" s="61">
        <f t="shared" si="238"/>
        <v>-0.10432126407369491</v>
      </c>
      <c r="BU81" s="61">
        <f t="shared" si="238"/>
        <v>-0.11476716383923491</v>
      </c>
      <c r="BV81" s="61">
        <f t="shared" si="238"/>
        <v>-1.4882674912770955E-2</v>
      </c>
      <c r="BW81" s="61">
        <f t="shared" ref="BW81:BZ81" si="239">BW67/BS67-1</f>
        <v>-7.1397972297715384E-5</v>
      </c>
      <c r="BX81" s="61">
        <f t="shared" si="239"/>
        <v>5.8780466029819012E-2</v>
      </c>
      <c r="BY81" s="61">
        <f t="shared" si="239"/>
        <v>6.0652273771244936E-2</v>
      </c>
      <c r="BZ81" s="61">
        <f t="shared" si="239"/>
        <v>-2.492739999664273E-2</v>
      </c>
      <c r="CA81" s="61">
        <f t="shared" ref="CA81" si="240">CA67/BW67-1</f>
        <v>-0.16403070332024272</v>
      </c>
      <c r="CB81" s="61">
        <f t="shared" ref="CB81" si="241">CB67/BX67-1</f>
        <v>-0.16764760443192728</v>
      </c>
      <c r="CC81" s="61">
        <f t="shared" ref="CC81" si="242">CC67/BY67-1</f>
        <v>-0.155389252676437</v>
      </c>
      <c r="CD81" s="61">
        <f t="shared" ref="CD81" si="243">CD67/BZ67-1</f>
        <v>-0.11835490979203966</v>
      </c>
      <c r="CE81" s="61">
        <f t="shared" ref="CE81:CH81" si="244">CE67/CA67-1</f>
        <v>-8.1996967820462396E-3</v>
      </c>
      <c r="CF81" s="61">
        <f t="shared" si="244"/>
        <v>8.73247426857926E-3</v>
      </c>
      <c r="CG81" s="61">
        <f t="shared" si="244"/>
        <v>1.7249159077856957E-2</v>
      </c>
      <c r="CH81" s="61">
        <f t="shared" si="244"/>
        <v>4.9655360943510418E-2</v>
      </c>
      <c r="CI81" s="61">
        <f t="shared" ref="CI81" si="245">CI67/CE67-1</f>
        <v>4.7451934462936274E-2</v>
      </c>
      <c r="CJ81" s="61">
        <f t="shared" ref="CJ81" si="246">CJ67/CF67-1</f>
        <v>8.5584590354911949E-2</v>
      </c>
      <c r="CK81" s="61">
        <f t="shared" ref="CK81" si="247">CK67/CG67-1</f>
        <v>4.6777022803798696E-2</v>
      </c>
      <c r="CL81" s="61">
        <f t="shared" ref="CL81" si="248">CL67/CH67-1</f>
        <v>7.1601309621251552E-2</v>
      </c>
      <c r="CM81" s="61">
        <f t="shared" ref="CM81" si="249">CM67/CI67-1</f>
        <v>7.4654169492918809E-2</v>
      </c>
      <c r="CN81" s="61">
        <f t="shared" ref="CN81:CU81" si="250">CN67/CJ67-1</f>
        <v>7.761619301361744E-2</v>
      </c>
      <c r="CO81" s="61">
        <f t="shared" si="250"/>
        <v>8.9816437775680491E-2</v>
      </c>
      <c r="CP81" s="61">
        <f t="shared" si="250"/>
        <v>6.9473136012498937E-2</v>
      </c>
      <c r="CQ81" s="61">
        <f t="shared" si="250"/>
        <v>-5.0590057953828205E-2</v>
      </c>
      <c r="CR81" s="61">
        <f t="shared" si="250"/>
        <v>9.115258485998301E-2</v>
      </c>
      <c r="CS81" s="61">
        <f t="shared" si="250"/>
        <v>7.1385648639094912E-2</v>
      </c>
      <c r="CT81" s="61">
        <f t="shared" si="250"/>
        <v>4.5108510396545842E-2</v>
      </c>
      <c r="CU81" s="61">
        <f t="shared" si="250"/>
        <v>2.5847133244691012E-2</v>
      </c>
      <c r="CV81" s="61">
        <f>CV67/CR67-1</f>
        <v>-0.11304128902316191</v>
      </c>
      <c r="CW81" s="61">
        <f>CW67/CS67-1</f>
        <v>-9.6553885745393253E-2</v>
      </c>
      <c r="CX81" s="61">
        <f>CX67/CT67-1</f>
        <v>-5.0445749075886281E-2</v>
      </c>
      <c r="CY81" s="61">
        <f>CY67/CU67-1</f>
        <v>0.15076294652500932</v>
      </c>
      <c r="CZ81" s="61">
        <f t="shared" ref="CZ81:DG81" si="251">CZ67/CV67-1</f>
        <v>-2.4375532216861062E-2</v>
      </c>
      <c r="DA81" s="61">
        <f t="shared" si="251"/>
        <v>4.8205090749734891E-2</v>
      </c>
      <c r="DB81" s="61">
        <f t="shared" si="251"/>
        <v>0.21693545748961363</v>
      </c>
      <c r="DC81" s="61">
        <f t="shared" si="251"/>
        <v>0.16140482610328055</v>
      </c>
      <c r="DD81" s="61">
        <f t="shared" si="251"/>
        <v>0.22558824599047145</v>
      </c>
      <c r="DE81" s="61">
        <f t="shared" si="251"/>
        <v>0.17984182838030871</v>
      </c>
      <c r="DF81" s="61">
        <f t="shared" si="251"/>
        <v>7.5240924181126712E-2</v>
      </c>
      <c r="DG81" s="61">
        <f t="shared" si="251"/>
        <v>0.14759903608792735</v>
      </c>
      <c r="DH81" s="61">
        <f t="shared" ref="DH81" si="252">DH67/DD67-1</f>
        <v>-3.7403560830859939E-2</v>
      </c>
      <c r="DI81" s="61">
        <f t="shared" ref="DI81" si="253">DI67/DE67-1</f>
        <v>2.4878192824450363E-2</v>
      </c>
      <c r="DJ81" s="61">
        <f t="shared" ref="DJ81" si="254">DJ67/DF67-1</f>
        <v>-8.7251090638632789E-2</v>
      </c>
      <c r="DK81" s="61">
        <f t="shared" ref="DK81" si="255">DK67/DG67-1</f>
        <v>-0.10882062969744299</v>
      </c>
      <c r="DL81" s="61">
        <f t="shared" ref="DL81" si="256">DL67/DH67-1</f>
        <v>0.19194192265602084</v>
      </c>
      <c r="DM81" s="61">
        <f t="shared" ref="DM81" si="257">DM67/DI67-1</f>
        <v>0.16382626233522979</v>
      </c>
      <c r="DN81" s="61">
        <f t="shared" ref="DN81" si="258">DN67/DJ67-1</f>
        <v>0.29641600131472612</v>
      </c>
      <c r="DO81" s="61">
        <f>DO67/DK67-1</f>
        <v>0.25977701790178442</v>
      </c>
      <c r="DP81" s="61">
        <f>DP67/DL67-1</f>
        <v>0.4615812341592096</v>
      </c>
      <c r="DQ81" s="61">
        <f t="shared" ref="DQ81" si="259">DQ67/DM67-1</f>
        <v>0.41597039127582502</v>
      </c>
      <c r="DR81" s="61">
        <f t="shared" ref="DR81:DV81" si="260">DR67/DN67-1</f>
        <v>0.36391409526425345</v>
      </c>
      <c r="DS81" s="61">
        <f t="shared" si="260"/>
        <v>0.46897289098228878</v>
      </c>
      <c r="DT81" s="61">
        <f t="shared" si="260"/>
        <v>0.26846726888265682</v>
      </c>
      <c r="DU81" s="61">
        <f t="shared" si="260"/>
        <v>0.33671629134904557</v>
      </c>
      <c r="DV81" s="61">
        <f t="shared" si="260"/>
        <v>0.30097670863016823</v>
      </c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2">
        <f t="shared" ref="EG81:EL81" si="261">EG67/EF67-1</f>
        <v>9.8701548523612681E-2</v>
      </c>
      <c r="EH81" s="62">
        <f t="shared" si="261"/>
        <v>0.13957560053225015</v>
      </c>
      <c r="EI81" s="62">
        <f t="shared" si="261"/>
        <v>7.5205875122910548E-2</v>
      </c>
      <c r="EJ81" s="62">
        <f t="shared" si="261"/>
        <v>0.14137719160367501</v>
      </c>
      <c r="EK81" s="62">
        <f t="shared" si="261"/>
        <v>0.15637793106901854</v>
      </c>
      <c r="EL81" s="62">
        <f t="shared" si="261"/>
        <v>8.2939979213580539E-2</v>
      </c>
      <c r="EM81" s="62">
        <f t="shared" ref="EM81" si="262">EM67/EL67-1</f>
        <v>8.5905087524617896E-2</v>
      </c>
      <c r="EN81" s="62">
        <f t="shared" ref="EN81" si="263">EN67/EM67-1</f>
        <v>7.0593434110953535E-2</v>
      </c>
      <c r="EO81" s="62">
        <f t="shared" ref="EO81" si="264">EO67/EN67-1</f>
        <v>-4.0656978244045017E-2</v>
      </c>
      <c r="EP81" s="62">
        <f t="shared" ref="EP81" si="265">EP67/EO67-1</f>
        <v>0.12807228267689719</v>
      </c>
      <c r="EQ81" s="62">
        <f t="shared" ref="EQ81" si="266">EQ67/EP67-1</f>
        <v>0.10123162495033777</v>
      </c>
      <c r="ER81" s="62">
        <f t="shared" ref="ER81:FD81" si="267">ER67/EQ67-1</f>
        <v>5.7074825023450515E-2</v>
      </c>
      <c r="ES81" s="62">
        <f t="shared" si="267"/>
        <v>7.7372013651876959E-2</v>
      </c>
      <c r="ET81" s="62">
        <f t="shared" si="267"/>
        <v>0.17624101118256408</v>
      </c>
      <c r="EU81" s="62">
        <f t="shared" si="267"/>
        <v>5.6004917803201604E-2</v>
      </c>
      <c r="EV81" s="62">
        <f t="shared" si="267"/>
        <v>6.985394754409513E-2</v>
      </c>
      <c r="EW81" s="62">
        <f t="shared" si="267"/>
        <v>4.383313819191037E-2</v>
      </c>
      <c r="EX81" s="62">
        <f t="shared" si="267"/>
        <v>9.0596424558550881E-2</v>
      </c>
      <c r="EY81" s="62">
        <f t="shared" si="267"/>
        <v>-7.8559971186021871E-2</v>
      </c>
      <c r="EZ81" s="62">
        <f t="shared" si="267"/>
        <v>5.0523827920823772E-2</v>
      </c>
      <c r="FA81" s="62">
        <f t="shared" si="267"/>
        <v>-0.15131678571892138</v>
      </c>
      <c r="FB81" s="62">
        <f t="shared" si="267"/>
        <v>2.1136130752407389E-2</v>
      </c>
      <c r="FC81" s="62">
        <f t="shared" si="267"/>
        <v>7.9534505224584828E-2</v>
      </c>
      <c r="FD81" s="62">
        <f t="shared" si="267"/>
        <v>-7.6269226856090944E-2</v>
      </c>
      <c r="FE81" s="62">
        <f t="shared" ref="FE81:FL81" si="268">FE67/FD67-1</f>
        <v>7.6043095593315124E-2</v>
      </c>
      <c r="FF81" s="62">
        <f t="shared" si="268"/>
        <v>3.8440243613066638E-2</v>
      </c>
      <c r="FG81" s="62">
        <f t="shared" si="268"/>
        <v>9.9492367592173503E-2</v>
      </c>
      <c r="FH81" s="62">
        <f t="shared" si="268"/>
        <v>0.15397780757052804</v>
      </c>
      <c r="FI81" s="62">
        <f t="shared" si="268"/>
        <v>7.871179617564783E-3</v>
      </c>
      <c r="FJ81" s="62">
        <f t="shared" si="268"/>
        <v>0.12386568283265698</v>
      </c>
      <c r="FK81" s="62">
        <f t="shared" si="268"/>
        <v>0.36745737560285208</v>
      </c>
      <c r="FL81" s="62">
        <f t="shared" si="268"/>
        <v>0.15093360040416259</v>
      </c>
      <c r="FM81" s="62">
        <f t="shared" ref="FM81:FQ81" si="269">FM67/FL67-1</f>
        <v>0.19559634231828604</v>
      </c>
      <c r="FN81" s="62">
        <f t="shared" si="269"/>
        <v>0.21622052748340548</v>
      </c>
      <c r="FO81" s="62">
        <f t="shared" si="269"/>
        <v>0.12884106212783419</v>
      </c>
      <c r="FP81" s="62">
        <f t="shared" si="269"/>
        <v>7.4039110610768955E-2</v>
      </c>
      <c r="FQ81" s="62">
        <f t="shared" si="269"/>
        <v>-7.5991910905702897E-2</v>
      </c>
    </row>
    <row r="82" spans="1:175" s="55" customFormat="1" x14ac:dyDescent="0.2">
      <c r="A82" s="107"/>
      <c r="B82" s="55" t="s">
        <v>756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>
        <v>0.1</v>
      </c>
      <c r="EN82" s="60"/>
      <c r="EO82" s="60"/>
      <c r="EP82" s="60"/>
      <c r="EQ82" s="60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</row>
    <row r="83" spans="1:175" s="38" customFormat="1" x14ac:dyDescent="0.2">
      <c r="A83" s="106"/>
      <c r="B83" s="38" t="s">
        <v>378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>
        <f t="shared" ref="CH83:DR83" si="270">+CH5/CD5-1</f>
        <v>10.029411764705882</v>
      </c>
      <c r="CI83" s="66">
        <f t="shared" si="270"/>
        <v>6.8469945355191246</v>
      </c>
      <c r="CJ83" s="66">
        <f t="shared" si="270"/>
        <v>3.544018058690745</v>
      </c>
      <c r="CK83" s="66">
        <f t="shared" si="270"/>
        <v>2.3052917232021706</v>
      </c>
      <c r="CL83" s="66">
        <f t="shared" si="270"/>
        <v>1.9955555555555557</v>
      </c>
      <c r="CM83" s="66">
        <f t="shared" si="270"/>
        <v>1.5967966573816157</v>
      </c>
      <c r="CN83" s="66">
        <f t="shared" si="270"/>
        <v>1.3854942871336311</v>
      </c>
      <c r="CO83" s="66">
        <f t="shared" si="270"/>
        <v>1.1662561576354684</v>
      </c>
      <c r="CP83" s="66">
        <f t="shared" si="270"/>
        <v>0.9258160237388724</v>
      </c>
      <c r="CQ83" s="66">
        <f t="shared" si="270"/>
        <v>0.81898632341110211</v>
      </c>
      <c r="CR83" s="66">
        <f t="shared" si="270"/>
        <v>0.62390670553935856</v>
      </c>
      <c r="CS83" s="66">
        <f t="shared" si="270"/>
        <v>0.54671214705324989</v>
      </c>
      <c r="CT83" s="66">
        <f t="shared" si="270"/>
        <v>0.42480739599383677</v>
      </c>
      <c r="CU83" s="66">
        <f t="shared" si="270"/>
        <v>0.29691876750700286</v>
      </c>
      <c r="CV83" s="66">
        <f t="shared" si="270"/>
        <v>0.31892793023852284</v>
      </c>
      <c r="CW83" s="66">
        <f t="shared" si="270"/>
        <v>0.23927958833619201</v>
      </c>
      <c r="CX83" s="66">
        <f t="shared" si="270"/>
        <v>0.3064777765761868</v>
      </c>
      <c r="CY83" s="66">
        <f t="shared" si="270"/>
        <v>0.39752188245992959</v>
      </c>
      <c r="CZ83" s="66">
        <f t="shared" si="270"/>
        <v>0.19572192513368969</v>
      </c>
      <c r="DA83" s="66">
        <f t="shared" si="270"/>
        <v>9.4018783984181731E-2</v>
      </c>
      <c r="DB83" s="66">
        <f t="shared" si="270"/>
        <v>0.24360566178296517</v>
      </c>
      <c r="DC83" s="66">
        <f t="shared" si="270"/>
        <v>0.18138929559134542</v>
      </c>
      <c r="DD83" s="66">
        <f t="shared" si="270"/>
        <v>0.24865831842576025</v>
      </c>
      <c r="DE83" s="66">
        <f t="shared" si="270"/>
        <v>0.44596060003614668</v>
      </c>
      <c r="DF83" s="66">
        <f t="shared" si="270"/>
        <v>0.25379392971246006</v>
      </c>
      <c r="DG83" s="66">
        <f t="shared" si="270"/>
        <v>0.19891214541448621</v>
      </c>
      <c r="DH83" s="66">
        <f t="shared" si="270"/>
        <v>0.24505079447772871</v>
      </c>
      <c r="DI83" s="66">
        <f t="shared" si="270"/>
        <v>0.15642772326729593</v>
      </c>
      <c r="DJ83" s="66">
        <f t="shared" si="270"/>
        <v>2.7870680044593144E-2</v>
      </c>
      <c r="DK83" s="66">
        <f t="shared" si="270"/>
        <v>0.13541606845460286</v>
      </c>
      <c r="DL83" s="66">
        <f t="shared" si="270"/>
        <v>-5.1990166849730679E-2</v>
      </c>
      <c r="DM83" s="66">
        <f t="shared" si="270"/>
        <v>-9.5546908776480866E-2</v>
      </c>
      <c r="DN83" s="66">
        <f t="shared" si="270"/>
        <v>-0.13784732982129955</v>
      </c>
      <c r="DO83" s="66">
        <f t="shared" si="270"/>
        <v>-0.26341611451115265</v>
      </c>
      <c r="DP83" s="66">
        <f t="shared" si="270"/>
        <v>-0.3127724137931035</v>
      </c>
      <c r="DQ83" s="66">
        <f t="shared" si="270"/>
        <v>-0.22239483747609934</v>
      </c>
      <c r="DR83" s="66">
        <f t="shared" si="270"/>
        <v>-0.2802971305337566</v>
      </c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48"/>
      <c r="EO83" s="48"/>
      <c r="EP83" s="48"/>
      <c r="EQ83" s="48"/>
      <c r="ER83" s="67"/>
      <c r="ES83" s="67"/>
      <c r="ET83" s="67"/>
      <c r="EU83" s="67"/>
      <c r="EV83" s="67"/>
      <c r="EW83" s="67"/>
      <c r="EX83" s="96"/>
      <c r="EY83" s="96"/>
      <c r="EZ83" s="96"/>
      <c r="FA83" s="96"/>
      <c r="FB83" s="96">
        <f t="shared" ref="FB83:FJ83" si="271">+FB5/FA5-1</f>
        <v>23.3921568627451</v>
      </c>
      <c r="FC83" s="96">
        <f t="shared" si="271"/>
        <v>2.719855305466238</v>
      </c>
      <c r="FD83" s="96">
        <f t="shared" si="271"/>
        <v>1.1931928687196112</v>
      </c>
      <c r="FE83" s="96">
        <f t="shared" si="271"/>
        <v>0.57606660754754158</v>
      </c>
      <c r="FF83" s="96">
        <f t="shared" si="271"/>
        <v>0.29030039698665222</v>
      </c>
      <c r="FG83" s="96">
        <f t="shared" si="271"/>
        <v>0.22782111536411676</v>
      </c>
      <c r="FH83" s="96">
        <f t="shared" si="271"/>
        <v>0.2769425042421374</v>
      </c>
      <c r="FI83" s="96">
        <f t="shared" si="271"/>
        <v>0.14957198924565041</v>
      </c>
      <c r="FJ83" s="96">
        <f t="shared" si="271"/>
        <v>-4.1304873786929819E-2</v>
      </c>
    </row>
    <row r="84" spans="1:175" s="38" customFormat="1" x14ac:dyDescent="0.2">
      <c r="A84" s="106"/>
      <c r="B84" s="38" t="s">
        <v>709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>
        <f>DO6/DK6-1</f>
        <v>2.177660510114336</v>
      </c>
      <c r="DP84" s="66">
        <f>DP6/DL6-1</f>
        <v>2.1548433193834846</v>
      </c>
      <c r="DQ84" s="66">
        <f>DQ6/DM6-1</f>
        <v>1.2086851628468032</v>
      </c>
      <c r="DR84" s="66">
        <f>DR6/DN6-1</f>
        <v>0.63796699310845129</v>
      </c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48"/>
      <c r="EO84" s="48"/>
      <c r="EP84" s="48"/>
      <c r="EQ84" s="48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</row>
    <row r="85" spans="1:175" s="38" customFormat="1" x14ac:dyDescent="0.2">
      <c r="A85" s="106"/>
      <c r="B85" s="38" t="s">
        <v>489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>
        <f t="shared" ref="CN85:DR85" si="272">+CN9/CJ9-1</f>
        <v>6.1865284974093253</v>
      </c>
      <c r="CO85" s="66">
        <f t="shared" si="272"/>
        <v>3.6553846153846159</v>
      </c>
      <c r="CP85" s="66">
        <f t="shared" si="272"/>
        <v>1.8140293637846656</v>
      </c>
      <c r="CQ85" s="66">
        <f t="shared" si="272"/>
        <v>0.51656314699792971</v>
      </c>
      <c r="CR85" s="66">
        <f t="shared" si="272"/>
        <v>0.58687815428983425</v>
      </c>
      <c r="CS85" s="66">
        <f t="shared" si="272"/>
        <v>0.74421678783873069</v>
      </c>
      <c r="CT85" s="66">
        <f t="shared" si="272"/>
        <v>0.77971014492753632</v>
      </c>
      <c r="CU85" s="66">
        <f t="shared" si="272"/>
        <v>0.72354948805460761</v>
      </c>
      <c r="CV85" s="66">
        <f t="shared" si="272"/>
        <v>0.607451158564289</v>
      </c>
      <c r="CW85" s="66">
        <f t="shared" si="272"/>
        <v>0.28836680560818495</v>
      </c>
      <c r="CX85" s="66">
        <f t="shared" si="272"/>
        <v>0.36840390879478835</v>
      </c>
      <c r="CY85" s="66">
        <f t="shared" si="272"/>
        <v>0.75643564356435644</v>
      </c>
      <c r="CZ85" s="66">
        <f t="shared" si="272"/>
        <v>0.11701526286037311</v>
      </c>
      <c r="DA85" s="66">
        <f t="shared" si="272"/>
        <v>0.33676470588235285</v>
      </c>
      <c r="DB85" s="66">
        <f t="shared" si="272"/>
        <v>0.17900499880980725</v>
      </c>
      <c r="DC85" s="66">
        <f t="shared" si="272"/>
        <v>-9.0868094701240132E-2</v>
      </c>
      <c r="DD85" s="66">
        <f t="shared" si="272"/>
        <v>0.44003036437246967</v>
      </c>
      <c r="DE85" s="66">
        <f t="shared" si="272"/>
        <v>0.304950495049505</v>
      </c>
      <c r="DF85" s="66">
        <f t="shared" si="272"/>
        <v>0.30708661417322825</v>
      </c>
      <c r="DG85" s="66">
        <f t="shared" si="272"/>
        <v>0.21056547619047628</v>
      </c>
      <c r="DH85" s="66">
        <f t="shared" si="272"/>
        <v>6.519065190651907E-2</v>
      </c>
      <c r="DI85" s="66">
        <f t="shared" si="272"/>
        <v>0.14634968807958182</v>
      </c>
      <c r="DJ85" s="66">
        <f t="shared" si="272"/>
        <v>9.3296261970960748E-2</v>
      </c>
      <c r="DK85" s="66">
        <f t="shared" si="272"/>
        <v>7.9696783446015163E-2</v>
      </c>
      <c r="DL85" s="66">
        <f t="shared" si="272"/>
        <v>0.16116793137578345</v>
      </c>
      <c r="DM85" s="66">
        <f t="shared" si="272"/>
        <v>9.4572731284012557E-2</v>
      </c>
      <c r="DN85" s="66">
        <f t="shared" si="272"/>
        <v>0.10850522746538571</v>
      </c>
      <c r="DO85" s="66">
        <f t="shared" si="272"/>
        <v>0.14629981024667926</v>
      </c>
      <c r="DP85" s="66">
        <f t="shared" si="272"/>
        <v>0.17161528626225331</v>
      </c>
      <c r="DQ85" s="66">
        <f t="shared" si="272"/>
        <v>0.18194033861865089</v>
      </c>
      <c r="DR85" s="66">
        <f t="shared" si="272"/>
        <v>0.19999999999999996</v>
      </c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48"/>
      <c r="EO85" s="48"/>
      <c r="EP85" s="48"/>
      <c r="EQ85" s="48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96"/>
      <c r="FD85" s="96"/>
      <c r="FE85" s="96">
        <f t="shared" ref="FE85:FJ86" si="273">+FE9/FD9-1</f>
        <v>0.67680200321945971</v>
      </c>
      <c r="FF85" s="96">
        <f t="shared" si="273"/>
        <v>0.45749333333333353</v>
      </c>
      <c r="FG85" s="96">
        <f t="shared" si="273"/>
        <v>0.3089139344262295</v>
      </c>
      <c r="FH85" s="96">
        <f t="shared" si="273"/>
        <v>0.23723790886217522</v>
      </c>
      <c r="FI85" s="96">
        <f t="shared" si="273"/>
        <v>0.12165582067968184</v>
      </c>
      <c r="FJ85" s="96">
        <f t="shared" si="273"/>
        <v>0.11188557614826755</v>
      </c>
    </row>
    <row r="86" spans="1:175" s="38" customFormat="1" x14ac:dyDescent="0.2">
      <c r="A86" s="106"/>
      <c r="B86" s="38" t="s">
        <v>490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>
        <f t="shared" ref="CT86:DC87" si="274">+CT10/CP10-1</f>
        <v>2.9571428571428569</v>
      </c>
      <c r="CU86" s="66">
        <f t="shared" si="274"/>
        <v>2.6835016835016838</v>
      </c>
      <c r="CV86" s="66">
        <f t="shared" si="274"/>
        <v>1.3206239168110918</v>
      </c>
      <c r="CW86" s="66">
        <f t="shared" si="274"/>
        <v>0.86035502958579868</v>
      </c>
      <c r="CX86" s="66">
        <f t="shared" si="274"/>
        <v>1.1552346570397112</v>
      </c>
      <c r="CY86" s="66">
        <f t="shared" si="274"/>
        <v>0.71846435100548445</v>
      </c>
      <c r="CZ86" s="66">
        <f t="shared" si="274"/>
        <v>0.55787901418969366</v>
      </c>
      <c r="DA86" s="66">
        <f t="shared" si="274"/>
        <v>0.49109414758269732</v>
      </c>
      <c r="DB86" s="66">
        <f t="shared" si="274"/>
        <v>0.57230597431602481</v>
      </c>
      <c r="DC86" s="66">
        <f t="shared" si="274"/>
        <v>0.43085106382978733</v>
      </c>
      <c r="DD86" s="66">
        <f t="shared" ref="DD86:DM87" si="275">+DD10/CZ10-1</f>
        <v>0.63614573346116976</v>
      </c>
      <c r="DE86" s="66">
        <f t="shared" si="275"/>
        <v>0.43131399317406149</v>
      </c>
      <c r="DF86" s="66">
        <f t="shared" si="275"/>
        <v>0.43501420454545459</v>
      </c>
      <c r="DG86" s="66">
        <f t="shared" si="275"/>
        <v>0.7449814126394052</v>
      </c>
      <c r="DH86" s="66">
        <f t="shared" si="275"/>
        <v>0.72428948139466742</v>
      </c>
      <c r="DI86" s="66">
        <f t="shared" si="275"/>
        <v>0.84113263785394943</v>
      </c>
      <c r="DJ86" s="66">
        <f t="shared" si="275"/>
        <v>0.99950507300173208</v>
      </c>
      <c r="DK86" s="66">
        <f t="shared" si="275"/>
        <v>0.59970174691095024</v>
      </c>
      <c r="DL86" s="66">
        <f t="shared" si="275"/>
        <v>0.57485131690739166</v>
      </c>
      <c r="DM86" s="66">
        <f t="shared" si="275"/>
        <v>0.68398899141978298</v>
      </c>
      <c r="DN86" s="66">
        <f t="shared" ref="DN86:DR87" si="276">+DN10/DJ10-1</f>
        <v>0.41757425742574261</v>
      </c>
      <c r="DO86" s="66">
        <f t="shared" si="276"/>
        <v>0.39872153415900913</v>
      </c>
      <c r="DP86" s="66">
        <f t="shared" si="276"/>
        <v>0.43709538195943054</v>
      </c>
      <c r="DQ86" s="66">
        <f t="shared" si="276"/>
        <v>0.31638146510286469</v>
      </c>
      <c r="DR86" s="66">
        <f t="shared" si="276"/>
        <v>0.35000000000000009</v>
      </c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48"/>
      <c r="EO86" s="48"/>
      <c r="EP86" s="48"/>
      <c r="EQ86" s="48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96">
        <f t="shared" si="273"/>
        <v>11.142857142857142</v>
      </c>
      <c r="FF86" s="96">
        <f t="shared" si="273"/>
        <v>1.2729411764705882</v>
      </c>
      <c r="FG86" s="96">
        <f t="shared" si="273"/>
        <v>0.57453416149068315</v>
      </c>
      <c r="FH86" s="96">
        <f t="shared" si="273"/>
        <v>0.47918036379574858</v>
      </c>
      <c r="FI86" s="96">
        <f t="shared" si="273"/>
        <v>0.83983998814727023</v>
      </c>
      <c r="FJ86" s="96">
        <f t="shared" si="273"/>
        <v>0.55552423900789139</v>
      </c>
    </row>
    <row r="87" spans="1:175" s="38" customFormat="1" x14ac:dyDescent="0.2">
      <c r="A87" s="106"/>
      <c r="B87" s="38" t="s">
        <v>491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>
        <f t="shared" ref="CI87:CS87" si="277">+CI11/CE11-1</f>
        <v>0.97927461139896388</v>
      </c>
      <c r="CJ87" s="66">
        <f t="shared" si="277"/>
        <v>2.612612612612613</v>
      </c>
      <c r="CK87" s="66">
        <f t="shared" si="277"/>
        <v>2.0844155844155843</v>
      </c>
      <c r="CL87" s="66">
        <f t="shared" si="277"/>
        <v>4.212328767123287</v>
      </c>
      <c r="CM87" s="66">
        <f t="shared" si="277"/>
        <v>0.93717277486910988</v>
      </c>
      <c r="CN87" s="66">
        <f t="shared" si="277"/>
        <v>1.57356608478803</v>
      </c>
      <c r="CO87" s="66">
        <f t="shared" si="277"/>
        <v>1.6778947368421053</v>
      </c>
      <c r="CP87" s="66">
        <f t="shared" si="277"/>
        <v>0.88173455978975035</v>
      </c>
      <c r="CQ87" s="66">
        <f t="shared" si="277"/>
        <v>1.0405405405405403</v>
      </c>
      <c r="CR87" s="66">
        <f t="shared" si="277"/>
        <v>0.42635658914728669</v>
      </c>
      <c r="CS87" s="66">
        <f t="shared" si="277"/>
        <v>0.31210691823899372</v>
      </c>
      <c r="CT87" s="66">
        <f t="shared" si="274"/>
        <v>0.34916201117318435</v>
      </c>
      <c r="CU87" s="66">
        <f t="shared" si="274"/>
        <v>0.34834437086092707</v>
      </c>
      <c r="CV87" s="66">
        <f t="shared" si="274"/>
        <v>0.57540760869565233</v>
      </c>
      <c r="CW87" s="66">
        <f t="shared" si="274"/>
        <v>0.44218094667465535</v>
      </c>
      <c r="CX87" s="66">
        <f t="shared" si="274"/>
        <v>0.38716356107660466</v>
      </c>
      <c r="CY87" s="66">
        <f t="shared" si="274"/>
        <v>0.31385068762278978</v>
      </c>
      <c r="CZ87" s="66">
        <f t="shared" si="274"/>
        <v>0.1297973264338077</v>
      </c>
      <c r="DA87" s="66">
        <f t="shared" si="274"/>
        <v>0.29123390112172842</v>
      </c>
      <c r="DB87" s="66">
        <f t="shared" si="274"/>
        <v>0.17014925373134338</v>
      </c>
      <c r="DC87" s="66">
        <f t="shared" si="274"/>
        <v>0.16635514018691588</v>
      </c>
      <c r="DD87" s="66">
        <f t="shared" si="275"/>
        <v>0.36068702290076327</v>
      </c>
      <c r="DE87" s="66">
        <f t="shared" si="275"/>
        <v>0.25611325611325597</v>
      </c>
      <c r="DF87" s="66">
        <f t="shared" si="275"/>
        <v>0.37723214285714279</v>
      </c>
      <c r="DG87" s="66">
        <f t="shared" si="275"/>
        <v>0.34423076923076912</v>
      </c>
      <c r="DH87" s="66">
        <f t="shared" si="275"/>
        <v>0.29312762973352036</v>
      </c>
      <c r="DI87" s="66">
        <f t="shared" si="275"/>
        <v>0.46849385245901631</v>
      </c>
      <c r="DJ87" s="66">
        <f t="shared" si="275"/>
        <v>0.41768927992590865</v>
      </c>
      <c r="DK87" s="66">
        <f t="shared" si="275"/>
        <v>0.37696709585121613</v>
      </c>
      <c r="DL87" s="66">
        <f t="shared" si="275"/>
        <v>0.44967462039045536</v>
      </c>
      <c r="DM87" s="66">
        <f t="shared" si="275"/>
        <v>0.22239665096807948</v>
      </c>
      <c r="DN87" s="66">
        <f t="shared" si="276"/>
        <v>0.30344602319124636</v>
      </c>
      <c r="DO87" s="66">
        <f t="shared" si="276"/>
        <v>0.18874458874458866</v>
      </c>
      <c r="DP87" s="66">
        <f t="shared" si="276"/>
        <v>0.15157863235074087</v>
      </c>
      <c r="DQ87" s="66">
        <f t="shared" si="276"/>
        <v>-2.0547945205479423E-2</v>
      </c>
      <c r="DR87" s="66">
        <f t="shared" si="276"/>
        <v>-0.11489788247086841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67"/>
      <c r="FG87" s="67"/>
      <c r="FH87" s="67"/>
    </row>
    <row r="88" spans="1:175" s="38" customFormat="1" x14ac:dyDescent="0.2">
      <c r="A88" s="106"/>
      <c r="B88" s="38" t="s">
        <v>56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66">
        <f t="shared" ref="AU88:BY88" si="278">AU78/AQ78-1</f>
        <v>0.24227833061457504</v>
      </c>
      <c r="AV88" s="66">
        <f t="shared" si="278"/>
        <v>0.54656637892619053</v>
      </c>
      <c r="AW88" s="66">
        <f t="shared" si="278"/>
        <v>0.33969062540056982</v>
      </c>
      <c r="AX88" s="66">
        <f t="shared" si="278"/>
        <v>2.3042448332134815</v>
      </c>
      <c r="AY88" s="66">
        <f t="shared" si="278"/>
        <v>0.78264619506510846</v>
      </c>
      <c r="AZ88" s="66">
        <f t="shared" si="278"/>
        <v>-8.2925871665907591E-2</v>
      </c>
      <c r="BA88" s="66">
        <f t="shared" si="278"/>
        <v>2.2085042842024705</v>
      </c>
      <c r="BB88" s="66">
        <f t="shared" si="278"/>
        <v>0.1870513600647703</v>
      </c>
      <c r="BC88" s="66">
        <f t="shared" si="278"/>
        <v>1.731425100430636</v>
      </c>
      <c r="BD88" s="66">
        <f t="shared" si="278"/>
        <v>3.7362930227057349</v>
      </c>
      <c r="BE88" s="66">
        <f t="shared" si="278"/>
        <v>0.17487628448498183</v>
      </c>
      <c r="BF88" s="66">
        <f t="shared" si="278"/>
        <v>-0.52026113261404561</v>
      </c>
      <c r="BG88" s="66">
        <f t="shared" si="278"/>
        <v>-0.57728356037442752</v>
      </c>
      <c r="BH88" s="66">
        <f t="shared" si="278"/>
        <v>-0.60384987633693532</v>
      </c>
      <c r="BI88" s="66">
        <f t="shared" si="278"/>
        <v>-0.45386568723743781</v>
      </c>
      <c r="BJ88" s="66">
        <f t="shared" si="278"/>
        <v>-0.17935478589422826</v>
      </c>
      <c r="BK88" s="66">
        <f t="shared" si="278"/>
        <v>0.1144033426114861</v>
      </c>
      <c r="BL88" s="66">
        <f t="shared" si="278"/>
        <v>0.28860862968049394</v>
      </c>
      <c r="BM88" s="66">
        <f t="shared" si="278"/>
        <v>-0.10728645122357194</v>
      </c>
      <c r="BN88" s="66">
        <f t="shared" si="278"/>
        <v>0.24088397214917667</v>
      </c>
      <c r="BO88" s="66">
        <f t="shared" si="278"/>
        <v>5.1382705842108578E-2</v>
      </c>
      <c r="BP88" s="66">
        <f t="shared" si="278"/>
        <v>-6.5788977619371525E-2</v>
      </c>
      <c r="BQ88" s="66">
        <f t="shared" si="278"/>
        <v>-7.1925548393590666E-2</v>
      </c>
      <c r="BR88" s="66">
        <f t="shared" si="278"/>
        <v>-0.22750132460794636</v>
      </c>
      <c r="BS88" s="66">
        <f t="shared" si="278"/>
        <v>-0.25615165684029639</v>
      </c>
      <c r="BT88" s="66">
        <f t="shared" si="278"/>
        <v>-0.28127885987742418</v>
      </c>
      <c r="BU88" s="66">
        <f t="shared" si="278"/>
        <v>-0.29593098547977148</v>
      </c>
      <c r="BV88" s="66">
        <f t="shared" si="278"/>
        <v>6.4600727857465623E-2</v>
      </c>
      <c r="BW88" s="66">
        <f t="shared" si="278"/>
        <v>6.9797382424570564E-2</v>
      </c>
      <c r="BX88" s="66">
        <f t="shared" si="278"/>
        <v>0.41810682529532461</v>
      </c>
      <c r="BY88" s="66">
        <f t="shared" si="278"/>
        <v>0.39984491447748982</v>
      </c>
      <c r="BZ88" s="66">
        <f t="shared" ref="BZ88" si="279">+BZ78/BV78-1</f>
        <v>-0.17908617525056403</v>
      </c>
      <c r="CA88" s="66">
        <f t="shared" ref="CA88" si="280">+CA78/BW78-1</f>
        <v>-0.38848476873388582</v>
      </c>
      <c r="CB88" s="66">
        <f t="shared" ref="CB88" si="281">+CB78/BX78-1</f>
        <v>-0.50355974944012782</v>
      </c>
      <c r="CC88" s="66">
        <f t="shared" ref="CC88" si="282">+CC78/BY78-1</f>
        <v>-0.6268077871262776</v>
      </c>
      <c r="CD88" s="66">
        <f t="shared" ref="CD88:CH88" si="283">+CD78/BZ78-1</f>
        <v>-0.18783940646311048</v>
      </c>
      <c r="CE88" s="66">
        <f t="shared" si="283"/>
        <v>0.10295041397840432</v>
      </c>
      <c r="CF88" s="66">
        <f t="shared" si="283"/>
        <v>0.91139320767904608</v>
      </c>
      <c r="CG88" s="66">
        <f t="shared" si="283"/>
        <v>0.5169613768087753</v>
      </c>
      <c r="CH88" s="66">
        <f t="shared" si="283"/>
        <v>6.3626988700353992E-2</v>
      </c>
      <c r="CI88" s="66">
        <f t="shared" ref="CI88" si="284">+CI78/CE78-1</f>
        <v>0.23250916922393094</v>
      </c>
      <c r="CJ88" s="66">
        <f t="shared" ref="CJ88" si="285">+CJ78/CF78-1</f>
        <v>-0.21073591805089609</v>
      </c>
      <c r="CK88" s="66">
        <f t="shared" ref="CK88" si="286">+CK78/CG78-1</f>
        <v>0.15419301941534758</v>
      </c>
      <c r="CL88" s="66">
        <f t="shared" ref="CL88" si="287">+CL78/CH78-1</f>
        <v>0.3170296226644651</v>
      </c>
      <c r="CM88" s="66">
        <f t="shared" ref="CM88" si="288">+CM78/CI78-1</f>
        <v>-6.9289455650238252E-2</v>
      </c>
      <c r="CN88" s="66">
        <f t="shared" ref="CN88:CQ88" si="289">+CN78/CJ78-1</f>
        <v>1.0684769275743689E-2</v>
      </c>
      <c r="CO88" s="66">
        <f t="shared" si="289"/>
        <v>0.39398235910848012</v>
      </c>
      <c r="CP88" s="66">
        <f t="shared" si="289"/>
        <v>0.22523961679788629</v>
      </c>
      <c r="CQ88" s="66">
        <f t="shared" si="289"/>
        <v>-0.46882860755108235</v>
      </c>
      <c r="CR88" s="66">
        <f t="shared" ref="CR88" si="290">+CR78/CN78-1</f>
        <v>0.49230638070497101</v>
      </c>
      <c r="CS88" s="66">
        <f t="shared" ref="CS88" si="291">+CS78/CO78-1</f>
        <v>0.24713714508369033</v>
      </c>
      <c r="CT88" s="66">
        <f t="shared" ref="CT88" si="292">+CT78/CP78-1</f>
        <v>0.43212564887758509</v>
      </c>
      <c r="CU88" s="66">
        <f t="shared" ref="CU88" si="293">+CU78/CQ78-1</f>
        <v>1.7513420507993556</v>
      </c>
      <c r="CV88" s="66">
        <f t="shared" ref="CV88:DF88" si="294">+CV78/CR78-1</f>
        <v>8.6392868503512688E-2</v>
      </c>
      <c r="CW88" s="66">
        <f t="shared" si="294"/>
        <v>0.11845562103386764</v>
      </c>
      <c r="CX88" s="66">
        <f t="shared" si="294"/>
        <v>-2.3716548886028588E-2</v>
      </c>
      <c r="CY88" s="66">
        <f t="shared" si="294"/>
        <v>0.41134642228191165</v>
      </c>
      <c r="CZ88" s="66">
        <f t="shared" si="294"/>
        <v>-6.1677293908494524E-2</v>
      </c>
      <c r="DA88" s="66">
        <f t="shared" si="294"/>
        <v>-9.3928791890615648E-2</v>
      </c>
      <c r="DB88" s="66">
        <f t="shared" si="294"/>
        <v>0.40022763994078892</v>
      </c>
      <c r="DC88" s="66">
        <f t="shared" si="294"/>
        <v>0.24076955289661717</v>
      </c>
      <c r="DD88" s="66">
        <f t="shared" si="294"/>
        <v>0.38318594312768117</v>
      </c>
      <c r="DE88" s="66">
        <f t="shared" si="294"/>
        <v>0.45580624220564636</v>
      </c>
      <c r="DF88" s="66">
        <f t="shared" si="294"/>
        <v>0.17005727482444555</v>
      </c>
      <c r="DG88" s="66">
        <f>+DG78/DC78-1</f>
        <v>0.43758303199128945</v>
      </c>
      <c r="DH88" s="66">
        <f t="shared" ref="DH88:DN88" si="295">+DH78/DD78-1</f>
        <v>1.1450043970479884E-2</v>
      </c>
      <c r="DI88" s="66">
        <f t="shared" si="295"/>
        <v>2.3716730966681032E-2</v>
      </c>
      <c r="DJ88" s="66">
        <f t="shared" si="295"/>
        <v>-7.6791808189561661E-2</v>
      </c>
      <c r="DK88" s="66">
        <f t="shared" si="295"/>
        <v>-0.40528199841427992</v>
      </c>
      <c r="DL88" s="66">
        <f t="shared" si="295"/>
        <v>-0.130248576662779</v>
      </c>
      <c r="DM88" s="66">
        <f t="shared" si="295"/>
        <v>0.53275212509008574</v>
      </c>
      <c r="DN88" s="66">
        <f t="shared" si="295"/>
        <v>0.4699178124623602</v>
      </c>
      <c r="DO88" s="66">
        <f>+DO78/DK78-1</f>
        <v>0.58645968632628698</v>
      </c>
      <c r="DP88" s="66">
        <f>+DP78/DL78-1</f>
        <v>1.4947066147679449</v>
      </c>
      <c r="DQ88" s="66">
        <f t="shared" ref="DQ88" si="296">+DQ78/DM78-1</f>
        <v>0.52147164221158615</v>
      </c>
      <c r="DR88" s="66">
        <f t="shared" ref="DR88" si="297">+DR78/DN78-1</f>
        <v>0.57489986385654701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67">
        <f t="shared" ref="EO88:FF88" si="298">EO78/EN78-1</f>
        <v>-7.8712768439495151E-2</v>
      </c>
      <c r="EP88" s="67">
        <f t="shared" si="298"/>
        <v>-1.0147762349246858E-2</v>
      </c>
      <c r="EQ88" s="67">
        <f t="shared" si="298"/>
        <v>8.8659943146997877E-2</v>
      </c>
      <c r="ER88" s="67">
        <f t="shared" si="298"/>
        <v>1.8914666658705448E-2</v>
      </c>
      <c r="ES88" s="67">
        <f t="shared" si="298"/>
        <v>0.18158561537982321</v>
      </c>
      <c r="ET88" s="67">
        <f t="shared" si="298"/>
        <v>0.36697720609951956</v>
      </c>
      <c r="EU88" s="67">
        <f t="shared" si="298"/>
        <v>0.82971846943568472</v>
      </c>
      <c r="EV88" s="67">
        <f t="shared" si="298"/>
        <v>-0.49685325768272748</v>
      </c>
      <c r="EW88" s="67">
        <f t="shared" si="298"/>
        <v>-0.14043421391571609</v>
      </c>
      <c r="EX88" s="67">
        <f t="shared" si="298"/>
        <v>9.3314477344200064E-2</v>
      </c>
      <c r="EY88" s="67">
        <f t="shared" si="298"/>
        <v>-0.27187767535042584</v>
      </c>
      <c r="EZ88" s="67">
        <f t="shared" si="298"/>
        <v>-2.5724967872223239</v>
      </c>
      <c r="FA88" s="67">
        <f t="shared" si="298"/>
        <v>-0.19999999999999984</v>
      </c>
      <c r="FB88" s="67">
        <f t="shared" si="298"/>
        <v>-1</v>
      </c>
      <c r="FC88" s="67" t="e">
        <f t="shared" si="298"/>
        <v>#DIV/0!</v>
      </c>
      <c r="FD88" s="67" t="e">
        <f t="shared" si="298"/>
        <v>#DIV/0!</v>
      </c>
      <c r="FE88" s="67">
        <f t="shared" si="298"/>
        <v>0.32373313187086694</v>
      </c>
      <c r="FF88" s="67">
        <f t="shared" si="298"/>
        <v>9.1367282249790627E-2</v>
      </c>
      <c r="FG88" s="67"/>
      <c r="FH88" s="67"/>
    </row>
    <row r="89" spans="1:175" x14ac:dyDescent="0.2">
      <c r="A89" s="102"/>
      <c r="FE89" s="47"/>
      <c r="FF89" s="47"/>
      <c r="FG89" s="47"/>
      <c r="FH89" s="47"/>
    </row>
    <row r="90" spans="1:175" x14ac:dyDescent="0.2">
      <c r="A90" s="102"/>
      <c r="B90" t="s">
        <v>123</v>
      </c>
      <c r="AP90" s="64">
        <f t="shared" ref="AP90:BB90" si="299">AP69/AP67</f>
        <v>0.73930980486629738</v>
      </c>
      <c r="AQ90" s="64">
        <f t="shared" si="299"/>
        <v>0.73235178068634854</v>
      </c>
      <c r="AR90" s="64">
        <f t="shared" si="299"/>
        <v>0.73840333863752361</v>
      </c>
      <c r="AS90" s="64">
        <f t="shared" si="299"/>
        <v>0.74711692764659565</v>
      </c>
      <c r="AT90" s="64">
        <f t="shared" si="299"/>
        <v>0.75394477317554254</v>
      </c>
      <c r="AU90" s="64">
        <f t="shared" si="299"/>
        <v>0.76540229216359301</v>
      </c>
      <c r="AV90" s="64">
        <f t="shared" si="299"/>
        <v>0.76398673281982399</v>
      </c>
      <c r="AW90" s="64">
        <f t="shared" si="299"/>
        <v>0.76998832428042041</v>
      </c>
      <c r="AX90" s="64">
        <f t="shared" si="299"/>
        <v>0.81222054008379396</v>
      </c>
      <c r="AY90" s="64">
        <f t="shared" si="299"/>
        <v>0.78590823644085506</v>
      </c>
      <c r="AZ90" s="64">
        <f t="shared" si="299"/>
        <v>0.76181506032714963</v>
      </c>
      <c r="BA90" s="64">
        <f t="shared" si="299"/>
        <v>0.82123302764734796</v>
      </c>
      <c r="BB90" s="64">
        <f t="shared" si="299"/>
        <v>0.80905231258532484</v>
      </c>
      <c r="BC90" s="64">
        <v>0.75800000000000001</v>
      </c>
      <c r="BD90" s="64">
        <v>0.75800000000000001</v>
      </c>
      <c r="BE90" s="64">
        <v>0.75800000000000001</v>
      </c>
      <c r="BF90" s="64">
        <v>0.75800000000000001</v>
      </c>
      <c r="BG90" s="64">
        <f t="shared" ref="BG90:BZ90" si="300">BG69/BG67</f>
        <v>0.83310846723087617</v>
      </c>
      <c r="BH90" s="64">
        <f t="shared" si="300"/>
        <v>0.81472572601936055</v>
      </c>
      <c r="BI90" s="64">
        <f t="shared" si="300"/>
        <v>0.81087738223660555</v>
      </c>
      <c r="BJ90" s="64">
        <f t="shared" si="300"/>
        <v>0.75879676440849342</v>
      </c>
      <c r="BK90" s="64">
        <f t="shared" si="300"/>
        <v>0.79536961079208823</v>
      </c>
      <c r="BL90" s="64">
        <f t="shared" si="300"/>
        <v>0.82189016647241986</v>
      </c>
      <c r="BM90" s="64">
        <f t="shared" si="300"/>
        <v>0.82535191341868852</v>
      </c>
      <c r="BN90" s="64">
        <f t="shared" si="300"/>
        <v>0.80084690974915962</v>
      </c>
      <c r="BO90" s="64">
        <f t="shared" si="300"/>
        <v>0.79790039731470075</v>
      </c>
      <c r="BP90" s="64">
        <f t="shared" si="300"/>
        <v>0.80360798362333674</v>
      </c>
      <c r="BQ90" s="64">
        <f t="shared" si="300"/>
        <v>0.78235552447097467</v>
      </c>
      <c r="BR90" s="64">
        <f t="shared" si="300"/>
        <v>0.78143965075322874</v>
      </c>
      <c r="BS90" s="64">
        <f t="shared" si="300"/>
        <v>0.78618092246180205</v>
      </c>
      <c r="BT90" s="64">
        <f t="shared" si="300"/>
        <v>0.79525042406927948</v>
      </c>
      <c r="BU90" s="64">
        <f t="shared" si="300"/>
        <v>0.77885163068442809</v>
      </c>
      <c r="BV90" s="64">
        <f t="shared" si="300"/>
        <v>0.79045876487670585</v>
      </c>
      <c r="BW90" s="64">
        <f t="shared" si="300"/>
        <v>0.79323455908604068</v>
      </c>
      <c r="BX90" s="64">
        <f t="shared" si="300"/>
        <v>0.80349764743578933</v>
      </c>
      <c r="BY90" s="64">
        <f t="shared" si="300"/>
        <v>0.79245054221667877</v>
      </c>
      <c r="BZ90" s="64">
        <f t="shared" si="300"/>
        <v>0.76131042556121742</v>
      </c>
      <c r="CA90" s="64">
        <f t="shared" ref="CA90:CB90" si="301">CA69/CA67</f>
        <v>0.73891225897375679</v>
      </c>
      <c r="CB90" s="64">
        <f t="shared" si="301"/>
        <v>0.75895534484155935</v>
      </c>
      <c r="CC90" s="64">
        <f t="shared" ref="CC90:CD90" si="302">CC69/CC67</f>
        <v>0.74013454754286656</v>
      </c>
      <c r="CD90" s="64">
        <f t="shared" si="302"/>
        <v>0.75531603303848638</v>
      </c>
      <c r="CE90" s="64">
        <f t="shared" ref="CE90" si="303">CE69/CE67</f>
        <v>0.74321269403836632</v>
      </c>
      <c r="CF90" s="64">
        <f t="shared" ref="CF90" si="304">CF69/CF67</f>
        <v>0.79233534858497201</v>
      </c>
      <c r="CG90" s="64">
        <f t="shared" ref="CG90" si="305">CG69/CG67</f>
        <v>0.75060991592233395</v>
      </c>
      <c r="CH90" s="64">
        <f t="shared" ref="CH90" si="306">CH69/CH67</f>
        <v>0.7415730337078652</v>
      </c>
      <c r="CI90" s="64">
        <f t="shared" ref="CI90:CJ90" si="307">CI69/CI67</f>
        <v>0.72806314361472535</v>
      </c>
      <c r="CJ90" s="64">
        <f t="shared" si="307"/>
        <v>0.75976909413854343</v>
      </c>
      <c r="CK90" s="64">
        <f t="shared" ref="CK90:CL90" si="308">CK69/CK67</f>
        <v>0.73016545640156405</v>
      </c>
      <c r="CL90" s="64">
        <f t="shared" si="308"/>
        <v>0.74550820241298499</v>
      </c>
      <c r="CM90" s="64">
        <f t="shared" ref="CM90:CN90" si="309">CM69/CM67</f>
        <v>0.74219153453321351</v>
      </c>
      <c r="CN90" s="64">
        <f t="shared" si="309"/>
        <v>0.73014782892364749</v>
      </c>
      <c r="CO90" s="64">
        <f t="shared" ref="CO90:CQ90" si="310">CO69/CO67</f>
        <v>0.71963591375044178</v>
      </c>
      <c r="CP90" s="64">
        <f t="shared" si="310"/>
        <v>0.73300112000259698</v>
      </c>
      <c r="CQ90" s="64">
        <f t="shared" si="310"/>
        <v>0.68344816471251857</v>
      </c>
      <c r="CR90" s="64">
        <f t="shared" ref="CR90" si="311">CR69/CR67</f>
        <v>0.7320776686807654</v>
      </c>
      <c r="CS90" s="64">
        <f t="shared" ref="CS90" si="312">CS69/CS67</f>
        <v>0.74227552417558851</v>
      </c>
      <c r="CT90" s="64">
        <f t="shared" ref="CT90:CU90" si="313">CT69/CT67</f>
        <v>0.75247724660640514</v>
      </c>
      <c r="CU90" s="64">
        <f t="shared" si="313"/>
        <v>0.80155535044480652</v>
      </c>
      <c r="CV90" s="64">
        <f t="shared" ref="CV90:CW90" si="314">CV69/CV67</f>
        <v>0.80959054782855522</v>
      </c>
      <c r="CW90" s="64">
        <f t="shared" si="314"/>
        <v>0.79578570646021263</v>
      </c>
      <c r="CX90" s="64">
        <f t="shared" ref="CX90:CY90" si="315">CX69/CX67</f>
        <v>0.79891393241519193</v>
      </c>
      <c r="CY90" s="64">
        <f t="shared" si="315"/>
        <v>0.80263831530086338</v>
      </c>
      <c r="CZ90" s="64">
        <f t="shared" ref="CZ90:DF90" si="316">CZ69/CZ67</f>
        <v>0.79648688947885227</v>
      </c>
      <c r="DA90" s="64">
        <f t="shared" si="316"/>
        <v>0.79098003692993768</v>
      </c>
      <c r="DB90" s="64">
        <f t="shared" si="316"/>
        <v>0.76884719291407366</v>
      </c>
      <c r="DC90" s="64">
        <f t="shared" si="316"/>
        <v>0.75440813447748922</v>
      </c>
      <c r="DD90" s="64">
        <f t="shared" si="316"/>
        <v>0.7925816023738872</v>
      </c>
      <c r="DE90" s="64">
        <f t="shared" si="316"/>
        <v>0.79007825188247449</v>
      </c>
      <c r="DF90" s="64">
        <f t="shared" si="316"/>
        <v>0.74372179652245651</v>
      </c>
      <c r="DG90" s="64">
        <f>DG69/DG67</f>
        <v>0.76088654434642322</v>
      </c>
      <c r="DH90" s="64">
        <f t="shared" ref="DH90:DN90" si="317">DH69/DH67</f>
        <v>0.79820897362783039</v>
      </c>
      <c r="DI90" s="64">
        <f t="shared" si="317"/>
        <v>0.77251314557372319</v>
      </c>
      <c r="DJ90" s="64">
        <f t="shared" si="317"/>
        <v>0.80498226488996016</v>
      </c>
      <c r="DK90" s="64">
        <f t="shared" si="317"/>
        <v>0.78435964483779197</v>
      </c>
      <c r="DL90" s="64">
        <f t="shared" si="317"/>
        <v>0.78262556250969839</v>
      </c>
      <c r="DM90" s="64">
        <f t="shared" si="317"/>
        <v>0.78523772389122004</v>
      </c>
      <c r="DN90" s="64">
        <f t="shared" si="317"/>
        <v>0.82474673314811486</v>
      </c>
      <c r="DO90" s="64">
        <f t="shared" ref="DO90:DR90" si="318">DO69/DO67</f>
        <v>0.82500598747761822</v>
      </c>
      <c r="DP90" s="64">
        <f t="shared" si="318"/>
        <v>0.82029957443796608</v>
      </c>
      <c r="DQ90" s="64">
        <f t="shared" si="318"/>
        <v>0.82241765158402691</v>
      </c>
      <c r="DR90" s="64">
        <f t="shared" si="318"/>
        <v>0.81</v>
      </c>
      <c r="DS90" s="64"/>
      <c r="DT90" s="64"/>
      <c r="DU90" s="64"/>
      <c r="DV90" s="64"/>
      <c r="ER90" s="64">
        <f>ER69/ER67</f>
        <v>0.76286689419795217</v>
      </c>
      <c r="ES90" s="64">
        <f>ES69/ES67</f>
        <v>0.77818608040041815</v>
      </c>
      <c r="ET90" s="64">
        <v>0.78</v>
      </c>
      <c r="EU90" s="64">
        <f>EU69/EU67</f>
        <v>1.0500260329761233</v>
      </c>
      <c r="EV90" s="64">
        <f>EV69/EV67</f>
        <v>0.82263518056731488</v>
      </c>
      <c r="EW90" s="64">
        <f>EW69/EW67</f>
        <v>0.80057367839296967</v>
      </c>
      <c r="EX90" s="64">
        <f>EX69/EX67</f>
        <v>0.78775238406352488</v>
      </c>
      <c r="EY90" s="64">
        <f>EY69/EY67</f>
        <v>0.78199213689975688</v>
      </c>
      <c r="EZ90" s="64"/>
      <c r="FA90" s="64"/>
      <c r="FB90" s="64"/>
      <c r="FC90" s="64"/>
      <c r="FD90" s="64"/>
      <c r="FE90" s="64"/>
      <c r="FF90" s="64">
        <f t="shared" ref="FF90" si="319">FF69/FF67</f>
        <v>0.80144538583199287</v>
      </c>
      <c r="FG90" s="64">
        <f t="shared" ref="FG90:FQ90" si="320">FG69/FG67</f>
        <v>0.78828764583392763</v>
      </c>
      <c r="FH90" s="64">
        <f t="shared" si="320"/>
        <v>0.7690061267369388</v>
      </c>
      <c r="FI90" s="64">
        <f t="shared" si="320"/>
        <v>0.78347943688816957</v>
      </c>
      <c r="FJ90" s="64">
        <f t="shared" si="320"/>
        <v>0.79499449756365215</v>
      </c>
      <c r="FK90" s="64">
        <f>FK69/FK67</f>
        <v>0.81647547210073435</v>
      </c>
      <c r="FL90" s="64">
        <f t="shared" si="320"/>
        <v>0.79000000000000015</v>
      </c>
      <c r="FM90" s="64">
        <f t="shared" si="320"/>
        <v>0.79</v>
      </c>
      <c r="FN90" s="64">
        <f t="shared" si="320"/>
        <v>0.79</v>
      </c>
      <c r="FO90" s="64">
        <f t="shared" si="320"/>
        <v>0.79</v>
      </c>
      <c r="FP90" s="64">
        <f t="shared" si="320"/>
        <v>0.79</v>
      </c>
      <c r="FQ90" s="64">
        <f t="shared" si="320"/>
        <v>0.85</v>
      </c>
    </row>
    <row r="91" spans="1:175" x14ac:dyDescent="0.2">
      <c r="A91" s="102"/>
      <c r="B91" t="s">
        <v>59</v>
      </c>
      <c r="AP91" s="64">
        <f t="shared" ref="AP91:BZ91" si="321">AP70/AP67</f>
        <v>0.33064321850156586</v>
      </c>
      <c r="AQ91" s="64">
        <f t="shared" si="321"/>
        <v>0.33962346804642624</v>
      </c>
      <c r="AR91" s="64">
        <f t="shared" si="321"/>
        <v>0.34410184045395864</v>
      </c>
      <c r="AS91" s="64">
        <f t="shared" si="321"/>
        <v>0.32022287121113957</v>
      </c>
      <c r="AT91" s="64">
        <f t="shared" si="321"/>
        <v>0.32599167214551827</v>
      </c>
      <c r="AU91" s="64">
        <f t="shared" si="321"/>
        <v>0.3324800744662284</v>
      </c>
      <c r="AV91" s="64">
        <f t="shared" si="321"/>
        <v>0.33935473260053178</v>
      </c>
      <c r="AW91" s="64">
        <f t="shared" si="321"/>
        <v>0.33054977410020808</v>
      </c>
      <c r="AX91" s="64">
        <f t="shared" si="321"/>
        <v>0.25034327359785935</v>
      </c>
      <c r="AY91" s="64">
        <f t="shared" si="321"/>
        <v>0.31024159298196752</v>
      </c>
      <c r="AZ91" s="64">
        <f t="shared" si="321"/>
        <v>0.36356049406266394</v>
      </c>
      <c r="BA91" s="64">
        <f t="shared" si="321"/>
        <v>0.25050429711999733</v>
      </c>
      <c r="BB91" s="64">
        <f t="shared" si="321"/>
        <v>0.26340819418815725</v>
      </c>
      <c r="BC91" s="64">
        <f t="shared" si="321"/>
        <v>0.24840590855202022</v>
      </c>
      <c r="BD91" s="64">
        <f t="shared" si="321"/>
        <v>0.25361378384426048</v>
      </c>
      <c r="BE91" s="64">
        <f t="shared" si="321"/>
        <v>0.24264002707116478</v>
      </c>
      <c r="BF91" s="64">
        <f t="shared" si="321"/>
        <v>0.32983398906055078</v>
      </c>
      <c r="BG91" s="64">
        <f t="shared" si="321"/>
        <v>0.31260476716137209</v>
      </c>
      <c r="BH91" s="64">
        <f t="shared" si="321"/>
        <v>0.33405690818421824</v>
      </c>
      <c r="BI91" s="64">
        <f t="shared" si="321"/>
        <v>0.30596907587198846</v>
      </c>
      <c r="BJ91" s="64">
        <f t="shared" si="321"/>
        <v>0.32917087967644082</v>
      </c>
      <c r="BK91" s="64">
        <f t="shared" si="321"/>
        <v>0.29430316288396685</v>
      </c>
      <c r="BL91" s="64">
        <f t="shared" si="321"/>
        <v>0.3053559935289718</v>
      </c>
      <c r="BM91" s="64">
        <f t="shared" si="321"/>
        <v>0.2997276649925727</v>
      </c>
      <c r="BN91" s="64">
        <f t="shared" si="321"/>
        <v>0.32142164468580292</v>
      </c>
      <c r="BO91" s="64">
        <f t="shared" si="321"/>
        <v>0.30581244006028224</v>
      </c>
      <c r="BP91" s="64">
        <f t="shared" si="321"/>
        <v>0.32673362333674522</v>
      </c>
      <c r="BQ91" s="64">
        <f t="shared" si="321"/>
        <v>0.31193376815601565</v>
      </c>
      <c r="BR91" s="64">
        <f t="shared" si="321"/>
        <v>0.35278554065450696</v>
      </c>
      <c r="BS91" s="64">
        <f t="shared" si="321"/>
        <v>0.32976938454947874</v>
      </c>
      <c r="BT91" s="64">
        <f t="shared" si="321"/>
        <v>0.34480849924113921</v>
      </c>
      <c r="BU91" s="64">
        <f t="shared" si="321"/>
        <v>0.32290307762976572</v>
      </c>
      <c r="BV91" s="64">
        <f t="shared" si="321"/>
        <v>0.33194568008997366</v>
      </c>
      <c r="BW91" s="64">
        <f t="shared" si="321"/>
        <v>0.29489468047126027</v>
      </c>
      <c r="BX91" s="64">
        <f t="shared" si="321"/>
        <v>0.3149569118167867</v>
      </c>
      <c r="BY91" s="64">
        <f t="shared" si="321"/>
        <v>0.28624883068288121</v>
      </c>
      <c r="BZ91" s="64">
        <f t="shared" si="321"/>
        <v>0.3363173116650599</v>
      </c>
      <c r="CA91" s="64">
        <f t="shared" ref="CA91:CB91" si="322">CA70/CA67</f>
        <v>0.31707629561615169</v>
      </c>
      <c r="CB91" s="64">
        <f t="shared" si="322"/>
        <v>0.33712213307399302</v>
      </c>
      <c r="CC91" s="64">
        <f t="shared" ref="CC91:CD91" si="323">CC70/CC67</f>
        <v>0.34295266223644266</v>
      </c>
      <c r="CD91" s="64">
        <f t="shared" si="323"/>
        <v>0.35145373245074496</v>
      </c>
      <c r="CE91" s="64">
        <f t="shared" ref="CE91" si="324">CE70/CE67</f>
        <v>0.32800826748767414</v>
      </c>
      <c r="CF91" s="64">
        <f t="shared" ref="CF91" si="325">CF70/CF67</f>
        <v>0.32847932191134233</v>
      </c>
      <c r="CG91" s="64">
        <f t="shared" ref="CG91" si="326">CG70/CG67</f>
        <v>0.31770066737907537</v>
      </c>
      <c r="CH91" s="64">
        <f t="shared" ref="CH91" si="327">CH70/CH67</f>
        <v>0.33454870154029315</v>
      </c>
      <c r="CI91" s="64">
        <f t="shared" ref="CI91:CJ91" si="328">CI70/CI67</f>
        <v>0.30295369057162236</v>
      </c>
      <c r="CJ91" s="64">
        <f t="shared" si="328"/>
        <v>0.30021462403789223</v>
      </c>
      <c r="CK91" s="64">
        <f t="shared" ref="CK91:CL91" si="329">CK70/CK67</f>
        <v>0.30151973342065225</v>
      </c>
      <c r="CL91" s="64">
        <f t="shared" si="329"/>
        <v>0.31075427480253448</v>
      </c>
      <c r="CM91" s="64">
        <f t="shared" ref="CM91:CN91" si="330">CM70/CM67</f>
        <v>0.29984889925979763</v>
      </c>
      <c r="CN91" s="64">
        <f t="shared" si="330"/>
        <v>0.29710008069639271</v>
      </c>
      <c r="CO91" s="64">
        <f t="shared" ref="CO91:CQ91" si="331">CO70/CO67</f>
        <v>0.27898550724637683</v>
      </c>
      <c r="CP91" s="64">
        <f t="shared" si="331"/>
        <v>0.29274270780917755</v>
      </c>
      <c r="CQ91" s="64">
        <f t="shared" si="331"/>
        <v>0.30218783996131993</v>
      </c>
      <c r="CR91" s="64">
        <f t="shared" ref="CR91" si="332">CR70/CR67</f>
        <v>0.26021210976837866</v>
      </c>
      <c r="CS91" s="64">
        <f t="shared" ref="CS91" si="333">CS70/CS67</f>
        <v>0.26668206337946848</v>
      </c>
      <c r="CT91" s="64">
        <f t="shared" ref="CT91:CU91" si="334">CT70/CT67</f>
        <v>0.28911564625850339</v>
      </c>
      <c r="CU91" s="64">
        <f t="shared" si="334"/>
        <v>0.29793209088588218</v>
      </c>
      <c r="CV91" s="64">
        <f t="shared" ref="CV91:CW91" si="335">CV70/CV67</f>
        <v>0.28141853533919947</v>
      </c>
      <c r="CW91" s="64">
        <f t="shared" si="335"/>
        <v>0.25787897600701165</v>
      </c>
      <c r="CX91" s="64">
        <f t="shared" ref="CX91:CY91" si="336">CX70/CX67</f>
        <v>0.27774869966305737</v>
      </c>
      <c r="CY91" s="64">
        <f t="shared" si="336"/>
        <v>0.26444588552510334</v>
      </c>
      <c r="CZ91" s="64">
        <f t="shared" ref="CZ91:DF91" si="337">CZ70/CZ67</f>
        <v>0.26341055387860496</v>
      </c>
      <c r="DA91" s="64">
        <f t="shared" si="337"/>
        <v>0.27333379786085082</v>
      </c>
      <c r="DB91" s="64">
        <f t="shared" si="337"/>
        <v>0.20885471969462779</v>
      </c>
      <c r="DC91" s="64">
        <f t="shared" si="337"/>
        <v>0.23157399788409544</v>
      </c>
      <c r="DD91" s="64">
        <f t="shared" si="337"/>
        <v>0.25010385756676567</v>
      </c>
      <c r="DE91" s="64">
        <f t="shared" si="337"/>
        <v>0.23296914218219408</v>
      </c>
      <c r="DF91" s="64">
        <f t="shared" si="337"/>
        <v>0.19900248753109415</v>
      </c>
      <c r="DG91" s="64">
        <f>DG70/DG67</f>
        <v>0.1994724779452248</v>
      </c>
      <c r="DH91" s="64">
        <f t="shared" ref="DH91:DN91" si="338">DH70/DH67</f>
        <v>0.27464973257910874</v>
      </c>
      <c r="DI91" s="64">
        <f t="shared" si="338"/>
        <v>0.232543398400922</v>
      </c>
      <c r="DJ91" s="64">
        <f t="shared" si="338"/>
        <v>0.22503731905394483</v>
      </c>
      <c r="DK91" s="64">
        <f t="shared" si="338"/>
        <v>0.25131461739605188</v>
      </c>
      <c r="DL91" s="64">
        <f t="shared" si="338"/>
        <v>0.24897843066259767</v>
      </c>
      <c r="DM91" s="64">
        <f t="shared" si="338"/>
        <v>0.19980937527077383</v>
      </c>
      <c r="DN91" s="64">
        <f t="shared" si="338"/>
        <v>0.20331069161129478</v>
      </c>
      <c r="DO91" s="64">
        <f t="shared" ref="DO91:DR91" si="339">DO70/DO67</f>
        <v>0.22264292964428684</v>
      </c>
      <c r="DP91" s="64">
        <f t="shared" si="339"/>
        <v>0.18732692188592109</v>
      </c>
      <c r="DQ91" s="64">
        <f t="shared" si="339"/>
        <v>0.23901146933351972</v>
      </c>
      <c r="DR91" s="64">
        <f t="shared" si="339"/>
        <v>0.16397056203828914</v>
      </c>
      <c r="DS91" s="64"/>
      <c r="DT91" s="64"/>
      <c r="DU91" s="64"/>
      <c r="DV91" s="64"/>
      <c r="EN91" s="64">
        <f t="shared" ref="EN91:FG91" si="340">EN70/EN67</f>
        <v>0.29383437956832059</v>
      </c>
      <c r="EO91" s="64">
        <f t="shared" si="340"/>
        <v>0.30691454079346014</v>
      </c>
      <c r="EP91" s="64">
        <f t="shared" si="340"/>
        <v>0.32220897894318634</v>
      </c>
      <c r="EQ91" s="64">
        <f t="shared" si="340"/>
        <v>0.30911321163143085</v>
      </c>
      <c r="ER91" s="64">
        <f t="shared" si="340"/>
        <v>0.30696245733788396</v>
      </c>
      <c r="ES91" s="64">
        <f t="shared" si="340"/>
        <v>0.30107390629454817</v>
      </c>
      <c r="ET91" s="64">
        <f t="shared" si="340"/>
        <v>0.26364165212332757</v>
      </c>
      <c r="EU91" s="64">
        <f t="shared" si="340"/>
        <v>0.33758834028714957</v>
      </c>
      <c r="EV91" s="64">
        <f t="shared" si="340"/>
        <v>0.32861448926124026</v>
      </c>
      <c r="EW91" s="64">
        <f t="shared" si="340"/>
        <v>0.32216426568252204</v>
      </c>
      <c r="EX91" s="64">
        <f t="shared" si="340"/>
        <v>0.33001637538582668</v>
      </c>
      <c r="EY91" s="64">
        <f t="shared" si="340"/>
        <v>0.34149944321978049</v>
      </c>
      <c r="EZ91" s="64">
        <f t="shared" si="340"/>
        <v>0.30882162063937763</v>
      </c>
      <c r="FA91" s="64">
        <f t="shared" si="340"/>
        <v>0.2911066135799385</v>
      </c>
      <c r="FB91" s="64">
        <f t="shared" si="340"/>
        <v>0</v>
      </c>
      <c r="FC91" s="64">
        <f t="shared" si="340"/>
        <v>0</v>
      </c>
      <c r="FD91" s="64">
        <f t="shared" si="340"/>
        <v>0.29950636320853891</v>
      </c>
      <c r="FE91" s="64">
        <f t="shared" si="340"/>
        <v>0.27800084678338632</v>
      </c>
      <c r="FF91" s="64">
        <f t="shared" ref="FF91" si="341">FF70/FF67</f>
        <v>0.27840478868064855</v>
      </c>
      <c r="FG91" s="64">
        <f t="shared" si="340"/>
        <v>0.24943866926923092</v>
      </c>
      <c r="FH91" s="64">
        <f>FH70/FH67</f>
        <v>0.22711654925225563</v>
      </c>
      <c r="FI91" s="64">
        <f t="shared" ref="FI91:FQ91" si="342">FI70/FI67</f>
        <v>0.23114493332492445</v>
      </c>
      <c r="FJ91" s="64">
        <f t="shared" si="342"/>
        <v>0.22487974136990399</v>
      </c>
      <c r="FK91" s="64">
        <f t="shared" si="342"/>
        <v>0.20337309910376547</v>
      </c>
      <c r="FL91" s="64">
        <f t="shared" si="342"/>
        <v>0.25</v>
      </c>
      <c r="FM91" s="64">
        <f t="shared" si="342"/>
        <v>0.25</v>
      </c>
      <c r="FN91" s="64">
        <f t="shared" si="342"/>
        <v>0.25</v>
      </c>
      <c r="FO91" s="64">
        <f t="shared" si="342"/>
        <v>0.25</v>
      </c>
      <c r="FP91" s="64">
        <f t="shared" si="342"/>
        <v>0.25</v>
      </c>
      <c r="FQ91" s="64">
        <f t="shared" si="342"/>
        <v>0.25</v>
      </c>
    </row>
    <row r="92" spans="1:175" x14ac:dyDescent="0.2">
      <c r="A92" s="102"/>
      <c r="B92" t="s">
        <v>60</v>
      </c>
      <c r="AP92" s="64">
        <f t="shared" ref="AP92:BZ92" si="343">AP71/AP67</f>
        <v>0.21259937364490483</v>
      </c>
      <c r="AQ92" s="64">
        <f t="shared" si="343"/>
        <v>0.2187299766684323</v>
      </c>
      <c r="AR92" s="64">
        <f t="shared" si="343"/>
        <v>0.22890083165700903</v>
      </c>
      <c r="AS92" s="64">
        <f t="shared" si="343"/>
        <v>0.2245656702582555</v>
      </c>
      <c r="AT92" s="64">
        <f t="shared" si="343"/>
        <v>0.22189349112426032</v>
      </c>
      <c r="AU92" s="64">
        <f t="shared" si="343"/>
        <v>0.21554482517889348</v>
      </c>
      <c r="AV92" s="64">
        <f t="shared" si="343"/>
        <v>0.21243935199144762</v>
      </c>
      <c r="AW92" s="64">
        <f t="shared" si="343"/>
        <v>0.20021320879232446</v>
      </c>
      <c r="AX92" s="64">
        <f t="shared" si="343"/>
        <v>0.15667359081787136</v>
      </c>
      <c r="AY92" s="64">
        <f t="shared" si="343"/>
        <v>0.19359929448351085</v>
      </c>
      <c r="AZ92" s="64">
        <f t="shared" si="343"/>
        <v>0.20372931470265629</v>
      </c>
      <c r="BA92" s="64">
        <f t="shared" si="343"/>
        <v>0.14315257742444021</v>
      </c>
      <c r="BB92" s="64">
        <f t="shared" si="343"/>
        <v>0.14306074380785214</v>
      </c>
      <c r="BC92" s="64">
        <f t="shared" si="343"/>
        <v>0.14052036271588322</v>
      </c>
      <c r="BD92" s="64">
        <f t="shared" si="343"/>
        <v>0.14194077720593723</v>
      </c>
      <c r="BE92" s="64">
        <f t="shared" si="343"/>
        <v>0.14021097853433181</v>
      </c>
      <c r="BF92" s="64">
        <f t="shared" si="343"/>
        <v>0.19884847903272238</v>
      </c>
      <c r="BG92" s="64">
        <f t="shared" si="343"/>
        <v>0.19365059896152745</v>
      </c>
      <c r="BH92" s="64">
        <f t="shared" si="343"/>
        <v>0.20346142563801703</v>
      </c>
      <c r="BI92" s="64">
        <f t="shared" si="343"/>
        <v>0.20174397698669541</v>
      </c>
      <c r="BJ92" s="64">
        <f t="shared" si="343"/>
        <v>0.2050387596899225</v>
      </c>
      <c r="BK92" s="64">
        <f t="shared" si="343"/>
        <v>0.1894266703126424</v>
      </c>
      <c r="BL92" s="64">
        <f t="shared" si="343"/>
        <v>0.20651625584914851</v>
      </c>
      <c r="BM92" s="64">
        <f t="shared" si="343"/>
        <v>0.2157105467921058</v>
      </c>
      <c r="BN92" s="64">
        <f t="shared" si="343"/>
        <v>0.23243147142487713</v>
      </c>
      <c r="BO92" s="64">
        <f t="shared" si="343"/>
        <v>0.19249212220852172</v>
      </c>
      <c r="BP92" s="64">
        <f t="shared" si="343"/>
        <v>0.20160568065506657</v>
      </c>
      <c r="BQ92" s="64">
        <f t="shared" si="343"/>
        <v>0.20834078821099203</v>
      </c>
      <c r="BR92" s="64">
        <f t="shared" si="343"/>
        <v>0.22411654788087243</v>
      </c>
      <c r="BS92" s="64">
        <f t="shared" si="343"/>
        <v>0.20553691275167782</v>
      </c>
      <c r="BT92" s="64">
        <f t="shared" si="343"/>
        <v>0.23581823051513262</v>
      </c>
      <c r="BU92" s="64">
        <f t="shared" si="343"/>
        <v>0.24672485071198896</v>
      </c>
      <c r="BV92" s="64">
        <f t="shared" si="343"/>
        <v>0.2455978379467208</v>
      </c>
      <c r="BW92" s="64">
        <f t="shared" si="343"/>
        <v>0.24064619778650481</v>
      </c>
      <c r="BX92" s="64">
        <f t="shared" si="343"/>
        <v>0.22436210938158763</v>
      </c>
      <c r="BY92" s="64">
        <f t="shared" si="343"/>
        <v>0.23860998510203374</v>
      </c>
      <c r="BZ92" s="64">
        <f t="shared" si="343"/>
        <v>0.25399394022861865</v>
      </c>
      <c r="CA92" s="64">
        <f t="shared" ref="CA92:CB92" si="344">CA71/CA67</f>
        <v>0.23687301146676343</v>
      </c>
      <c r="CB92" s="64">
        <f t="shared" si="344"/>
        <v>0.24219952994570063</v>
      </c>
      <c r="CC92" s="64">
        <f t="shared" ref="CC92:CD92" si="345">CC71/CC67</f>
        <v>0.25498400196898841</v>
      </c>
      <c r="CD92" s="64">
        <f t="shared" si="345"/>
        <v>0.2315232460508074</v>
      </c>
      <c r="CE92" s="64">
        <f t="shared" ref="CE92" si="346">CE71/CE67</f>
        <v>0.22376041509677697</v>
      </c>
      <c r="CF92" s="64">
        <f t="shared" ref="CF92" si="347">CF71/CF67</f>
        <v>0.23490067688352381</v>
      </c>
      <c r="CG92" s="64">
        <f t="shared" ref="CG92" si="348">CG71/CG67</f>
        <v>0.230538137387342</v>
      </c>
      <c r="CH92" s="64">
        <f t="shared" ref="CH92" si="349">CH71/CH67</f>
        <v>0.26865838232011308</v>
      </c>
      <c r="CI92" s="64">
        <f t="shared" ref="CI92:CJ92" si="350">CI71/CI67</f>
        <v>0.25097120305851883</v>
      </c>
      <c r="CJ92" s="64">
        <f t="shared" si="350"/>
        <v>0.24716918294849025</v>
      </c>
      <c r="CK92" s="64">
        <f t="shared" ref="CK92:CL92" si="351">CK71/CK67</f>
        <v>0.23814935377621976</v>
      </c>
      <c r="CL92" s="64">
        <f t="shared" si="351"/>
        <v>0.25181841854005726</v>
      </c>
      <c r="CM92" s="64">
        <f t="shared" ref="CM92:CN92" si="352">CM71/CM67</f>
        <v>0.24067096379320235</v>
      </c>
      <c r="CN92" s="64">
        <f t="shared" si="352"/>
        <v>0.21841251309170198</v>
      </c>
      <c r="CO92" s="64">
        <f t="shared" ref="CO92:CQ92" si="353">CO71/CO67</f>
        <v>0.23683280311063981</v>
      </c>
      <c r="CP92" s="64">
        <f t="shared" si="353"/>
        <v>0.24135244371581155</v>
      </c>
      <c r="CQ92" s="64">
        <f t="shared" si="353"/>
        <v>0.23709657923365166</v>
      </c>
      <c r="CR92" s="64">
        <f t="shared" ref="CR92" si="354">CR71/CR67</f>
        <v>0.20976523162134944</v>
      </c>
      <c r="CS92" s="64">
        <f t="shared" ref="CS92" si="355">CS71/CS67</f>
        <v>0.22159718900014846</v>
      </c>
      <c r="CT92" s="64">
        <f t="shared" ref="CT92:CU92" si="356">CT71/CT67</f>
        <v>0.22579442735998506</v>
      </c>
      <c r="CU92" s="64">
        <f t="shared" si="356"/>
        <v>0.2416488285776007</v>
      </c>
      <c r="CV92" s="64">
        <f t="shared" ref="CV92:CW92" si="357">CV71/CV67</f>
        <v>0.24875816065852963</v>
      </c>
      <c r="CW92" s="64">
        <f t="shared" si="357"/>
        <v>0.25214549172844464</v>
      </c>
      <c r="CX92" s="64">
        <f t="shared" ref="CX92:CY92" si="358">CX71/CX67</f>
        <v>0.25866073473126372</v>
      </c>
      <c r="CY92" s="64">
        <f t="shared" si="358"/>
        <v>0.23756783507969564</v>
      </c>
      <c r="CZ92" s="64">
        <f t="shared" ref="CZ92:DF92" si="359">CZ71/CZ67</f>
        <v>0.25279121358693685</v>
      </c>
      <c r="DA92" s="64">
        <f t="shared" si="359"/>
        <v>0.25526948402606009</v>
      </c>
      <c r="DB92" s="64">
        <f t="shared" si="359"/>
        <v>0.24703969032674294</v>
      </c>
      <c r="DC92" s="64">
        <f t="shared" si="359"/>
        <v>0.24569472199365225</v>
      </c>
      <c r="DD92" s="64">
        <f t="shared" si="359"/>
        <v>0.24818991097922857</v>
      </c>
      <c r="DE92" s="64">
        <f t="shared" si="359"/>
        <v>0.25231064520891783</v>
      </c>
      <c r="DF92" s="64">
        <f t="shared" si="359"/>
        <v>0.24492806160077002</v>
      </c>
      <c r="DG92" s="64">
        <f>DG71/DG67</f>
        <v>0.20615613116349343</v>
      </c>
      <c r="DH92" s="64">
        <f t="shared" ref="DH92:DN92" si="360">DH71/DH67</f>
        <v>0.25048166587031234</v>
      </c>
      <c r="DI92" s="64">
        <f t="shared" si="360"/>
        <v>0.25972772455521143</v>
      </c>
      <c r="DJ92" s="64">
        <f t="shared" si="360"/>
        <v>0.27333981566441606</v>
      </c>
      <c r="DK92" s="64">
        <f t="shared" si="360"/>
        <v>0.28520732162868884</v>
      </c>
      <c r="DL92" s="64">
        <f t="shared" si="360"/>
        <v>0.3047250814669219</v>
      </c>
      <c r="DM92" s="64">
        <f t="shared" si="360"/>
        <v>0.22316709371557311</v>
      </c>
      <c r="DN92" s="64">
        <f t="shared" si="360"/>
        <v>0.27071823204419887</v>
      </c>
      <c r="DO92" s="64">
        <f t="shared" ref="DO92:DR92" si="361">DO71/DO67</f>
        <v>0.28771825781508392</v>
      </c>
      <c r="DP92" s="64">
        <f t="shared" si="361"/>
        <v>0.22622028364903959</v>
      </c>
      <c r="DQ92" s="64">
        <f t="shared" si="361"/>
        <v>0.18356178753758998</v>
      </c>
      <c r="DR92" s="64">
        <f t="shared" si="361"/>
        <v>0.21833490560922977</v>
      </c>
      <c r="DS92" s="64"/>
      <c r="DT92" s="64"/>
      <c r="DU92" s="64"/>
      <c r="DV92" s="64"/>
      <c r="FE92" s="53"/>
      <c r="FF92" s="64">
        <f t="shared" ref="FF92" si="362">+FF71/FF67</f>
        <v>0.25067990483572516</v>
      </c>
      <c r="FG92" s="64">
        <f t="shared" ref="FG92" si="363">+FG71/FG67</f>
        <v>0.24799204560735785</v>
      </c>
      <c r="FH92" s="64">
        <f t="shared" ref="FH92" si="364">+FH71/FH67</f>
        <v>0.2476543602238819</v>
      </c>
      <c r="FI92" s="64">
        <f>+FI71/FI67</f>
        <v>0.24644901791783161</v>
      </c>
      <c r="FJ92" s="64">
        <f>+FJ71/FJ67</f>
        <v>0.27144936979178036</v>
      </c>
    </row>
    <row r="93" spans="1:175" x14ac:dyDescent="0.2">
      <c r="A93" s="102"/>
      <c r="B93" t="s">
        <v>206</v>
      </c>
      <c r="AP93" s="64">
        <f t="shared" ref="AP93:BB93" si="365">AP76/AP75</f>
        <v>0.31935573451818922</v>
      </c>
      <c r="AQ93" s="64">
        <f t="shared" si="365"/>
        <v>0.31638030092874975</v>
      </c>
      <c r="AR93" s="64">
        <f t="shared" si="365"/>
        <v>0.34428978701995655</v>
      </c>
      <c r="AS93" s="64">
        <f t="shared" si="365"/>
        <v>0.29423607160050752</v>
      </c>
      <c r="AT93" s="64">
        <f t="shared" si="365"/>
        <v>0.23286362550752307</v>
      </c>
      <c r="AU93" s="64">
        <f t="shared" si="365"/>
        <v>0.2848710381111253</v>
      </c>
      <c r="AV93" s="64">
        <f t="shared" si="365"/>
        <v>0.2667153818048959</v>
      </c>
      <c r="AW93" s="64">
        <f t="shared" si="365"/>
        <v>0.23525647861789473</v>
      </c>
      <c r="AX93" s="64">
        <f t="shared" si="365"/>
        <v>9.6808646985944338E-2</v>
      </c>
      <c r="AY93" s="64">
        <f t="shared" si="365"/>
        <v>0.20547180346175317</v>
      </c>
      <c r="AZ93" s="64">
        <f t="shared" si="365"/>
        <v>0.32179549902152643</v>
      </c>
      <c r="BA93" s="64">
        <f t="shared" si="365"/>
        <v>0.10236373532384734</v>
      </c>
      <c r="BB93" s="64">
        <f t="shared" si="365"/>
        <v>7.2875239357784644E-2</v>
      </c>
      <c r="BC93" s="64">
        <v>0.22</v>
      </c>
      <c r="BD93" s="64">
        <v>0.22</v>
      </c>
      <c r="BE93" s="64">
        <v>0.22</v>
      </c>
      <c r="BF93" s="64">
        <v>0.22</v>
      </c>
      <c r="BG93" s="64">
        <f t="shared" ref="BG93:BZ93" si="366">BG76/BG75</f>
        <v>0.24231121580944903</v>
      </c>
      <c r="BH93" s="64">
        <f t="shared" si="366"/>
        <v>0.24831347782402755</v>
      </c>
      <c r="BI93" s="64">
        <f t="shared" si="366"/>
        <v>7.8861236336688664E-2</v>
      </c>
      <c r="BJ93" s="64">
        <f t="shared" si="366"/>
        <v>0.21005613091944028</v>
      </c>
      <c r="BK93" s="64">
        <f t="shared" si="366"/>
        <v>0.27264573991031388</v>
      </c>
      <c r="BL93" s="64">
        <f t="shared" si="366"/>
        <v>0.22206943966998971</v>
      </c>
      <c r="BM93" s="64">
        <f t="shared" si="366"/>
        <v>0.21555204493593119</v>
      </c>
      <c r="BN93" s="64">
        <f t="shared" si="366"/>
        <v>0.16120365394948946</v>
      </c>
      <c r="BO93" s="64">
        <f t="shared" si="366"/>
        <v>0.20900931998619257</v>
      </c>
      <c r="BP93" s="64">
        <f t="shared" si="366"/>
        <v>0.20076941572493406</v>
      </c>
      <c r="BQ93" s="64">
        <f t="shared" si="366"/>
        <v>0.17926565874730019</v>
      </c>
      <c r="BR93" s="64">
        <f t="shared" si="366"/>
        <v>0.19874390546235837</v>
      </c>
      <c r="BS93" s="64">
        <f t="shared" si="366"/>
        <v>0.24435454211107024</v>
      </c>
      <c r="BT93" s="64">
        <f t="shared" si="366"/>
        <v>0.22108814846056535</v>
      </c>
      <c r="BU93" s="64">
        <f t="shared" si="366"/>
        <v>0.22108127084430404</v>
      </c>
      <c r="BV93" s="64">
        <f t="shared" si="366"/>
        <v>0.15225254850378164</v>
      </c>
      <c r="BW93" s="64">
        <f t="shared" si="366"/>
        <v>0.27284418573169084</v>
      </c>
      <c r="BX93" s="64">
        <f t="shared" si="366"/>
        <v>0.1955778003041054</v>
      </c>
      <c r="BY93" s="64">
        <f t="shared" si="366"/>
        <v>0.20503502048367916</v>
      </c>
      <c r="BZ93" s="64">
        <f t="shared" si="366"/>
        <v>0.18196328810853948</v>
      </c>
      <c r="CA93" s="64">
        <f t="shared" ref="CA93:CB93" si="367">CA76/CA75</f>
        <v>0.20106146630461597</v>
      </c>
      <c r="CB93" s="64">
        <f t="shared" si="367"/>
        <v>0.24843900096061469</v>
      </c>
      <c r="CC93" s="64">
        <f t="shared" ref="CC93:CD93" si="368">CC76/CC75</f>
        <v>0.25825275091697225</v>
      </c>
      <c r="CD93" s="64">
        <f t="shared" si="368"/>
        <v>0.11416689026026296</v>
      </c>
      <c r="CE93" s="64">
        <f t="shared" ref="CE93" si="369">CE76/CE75</f>
        <v>0.1109855618330195</v>
      </c>
      <c r="CF93" s="64">
        <f t="shared" ref="CF93" si="370">CF76/CF75</f>
        <v>6.2460417986067156E-2</v>
      </c>
      <c r="CG93" s="64">
        <f t="shared" ref="CG93" si="371">CG76/CG75</f>
        <v>0.27049716528565215</v>
      </c>
      <c r="CH93" s="64">
        <f t="shared" ref="CH93" si="372">CH76/CH75</f>
        <v>0</v>
      </c>
      <c r="CI93" s="64">
        <f t="shared" ref="CI93:CJ93" si="373">CI76/CI75</f>
        <v>0.12718329652680183</v>
      </c>
      <c r="CJ93" s="64">
        <f t="shared" si="373"/>
        <v>0.17466938847963084</v>
      </c>
      <c r="CK93" s="64">
        <f t="shared" ref="CK93:CL93" si="374">CK76/CK75</f>
        <v>0.20035350384695372</v>
      </c>
      <c r="CL93" s="64">
        <f t="shared" si="374"/>
        <v>0.11579961464354525</v>
      </c>
      <c r="CM93" s="64">
        <f t="shared" ref="CM93:CN93" si="375">CM76/CM75</f>
        <v>0.17621145374449337</v>
      </c>
      <c r="CN93" s="64">
        <f t="shared" si="375"/>
        <v>0.212238379423384</v>
      </c>
      <c r="CO93" s="64">
        <f t="shared" ref="CO93:CQ93" si="376">CO76/CO75</f>
        <v>3.2629384573552078E-2</v>
      </c>
      <c r="CP93" s="64">
        <f t="shared" si="376"/>
        <v>0</v>
      </c>
      <c r="CQ93" s="64">
        <f t="shared" si="376"/>
        <v>0.34500848634469994</v>
      </c>
      <c r="CR93" s="64">
        <f t="shared" ref="CR93" si="377">CR76/CR75</f>
        <v>0.16262210481046876</v>
      </c>
      <c r="CS93" s="64">
        <f t="shared" ref="CS93" si="378">CS76/CS75</f>
        <v>0.16815638865667804</v>
      </c>
      <c r="CT93" s="64">
        <f t="shared" ref="CT93:CU93" si="379">CT76/CT75</f>
        <v>0</v>
      </c>
      <c r="CU93" s="64">
        <f t="shared" si="379"/>
        <v>0.14349424927626972</v>
      </c>
      <c r="CV93" s="64">
        <f t="shared" ref="CV93:CW93" si="380">CV76/CV75</f>
        <v>0.10414560161779569</v>
      </c>
      <c r="CW93" s="64">
        <f t="shared" si="380"/>
        <v>0.12210997355752924</v>
      </c>
      <c r="CX93" s="64">
        <f t="shared" ref="CX93:CY93" si="381">CX76/CX75</f>
        <v>0.10997240835632641</v>
      </c>
      <c r="CY93" s="64">
        <f t="shared" si="381"/>
        <v>0.14963763811334227</v>
      </c>
      <c r="CZ93" s="64">
        <f t="shared" ref="CZ93:DF93" si="382">CZ76/CZ75</f>
        <v>0.15867689357622258</v>
      </c>
      <c r="DA93" s="64">
        <f t="shared" si="382"/>
        <v>0.18152418447694052</v>
      </c>
      <c r="DB93" s="64">
        <f t="shared" si="382"/>
        <v>0.15692650334075731</v>
      </c>
      <c r="DC93" s="64">
        <f t="shared" si="382"/>
        <v>7.4556151403134235E-2</v>
      </c>
      <c r="DD93" s="64">
        <f t="shared" si="382"/>
        <v>0.1070977917981074</v>
      </c>
      <c r="DE93" s="64">
        <f t="shared" si="382"/>
        <v>0.1475739883229315</v>
      </c>
      <c r="DF93" s="64">
        <f t="shared" si="382"/>
        <v>4.903059026281776E-2</v>
      </c>
      <c r="DG93" s="64">
        <f>DG76/DG75</f>
        <v>9.7358034349109293E-2</v>
      </c>
      <c r="DH93" s="64">
        <f t="shared" ref="DH93:DN93" si="383">DH76/DH75</f>
        <v>9.9000475963826662E-2</v>
      </c>
      <c r="DI93" s="64">
        <f t="shared" si="383"/>
        <v>6.2040015264678644E-2</v>
      </c>
      <c r="DJ93" s="64">
        <f t="shared" si="383"/>
        <v>7.6709333576276545E-2</v>
      </c>
      <c r="DK93" s="64">
        <f t="shared" si="383"/>
        <v>0.10939442372580366</v>
      </c>
      <c r="DL93" s="64">
        <f t="shared" si="383"/>
        <v>0.18023352332466389</v>
      </c>
      <c r="DM93" s="64">
        <f t="shared" si="383"/>
        <v>0.1</v>
      </c>
      <c r="DN93" s="64">
        <f t="shared" si="383"/>
        <v>0.10226176115802164</v>
      </c>
      <c r="DO93" s="64">
        <f t="shared" ref="DO93:DR93" si="384">DO76/DO75</f>
        <v>0.11701852331127298</v>
      </c>
      <c r="DP93" s="64">
        <f t="shared" si="384"/>
        <v>0.15859811809627719</v>
      </c>
      <c r="DQ93" s="64">
        <f t="shared" si="384"/>
        <v>0.13332901917642731</v>
      </c>
      <c r="DR93" s="64">
        <f t="shared" si="384"/>
        <v>0.15</v>
      </c>
      <c r="DS93" s="64"/>
      <c r="DT93" s="64"/>
      <c r="DU93" s="64"/>
      <c r="DV93" s="64"/>
      <c r="FE93" s="53"/>
      <c r="FF93" s="79">
        <f t="shared" ref="FF93" si="385">+FF76/FF75</f>
        <v>0.10710881217671239</v>
      </c>
      <c r="FG93" s="79">
        <f t="shared" ref="FG93" si="386">+FG76/FG75</f>
        <v>0.14657967364218533</v>
      </c>
      <c r="FH93" s="79">
        <f t="shared" ref="FH93" si="387">+FH76/FH75</f>
        <v>8.8339719478328124E-2</v>
      </c>
      <c r="FI93" s="79">
        <f>+FI76/FI75</f>
        <v>8.5151237396883531E-2</v>
      </c>
      <c r="FJ93" s="79">
        <f t="shared" ref="FJ93:FQ93" si="388">+FJ76/FJ75</f>
        <v>0.1191952499713036</v>
      </c>
      <c r="FK93" s="79">
        <f t="shared" si="388"/>
        <v>0.14000000000000001</v>
      </c>
      <c r="FL93" s="79">
        <f t="shared" si="388"/>
        <v>0.2</v>
      </c>
      <c r="FM93" s="79">
        <f t="shared" si="388"/>
        <v>0.2</v>
      </c>
      <c r="FN93" s="79">
        <f t="shared" si="388"/>
        <v>0.20000000000000004</v>
      </c>
      <c r="FO93" s="79">
        <f t="shared" si="388"/>
        <v>0.2</v>
      </c>
      <c r="FP93" s="79">
        <f t="shared" si="388"/>
        <v>0.2</v>
      </c>
      <c r="FQ93" s="79">
        <f t="shared" si="388"/>
        <v>0.2</v>
      </c>
      <c r="FR93" s="52" t="s">
        <v>268</v>
      </c>
      <c r="FS93" s="66">
        <v>7.0000000000000007E-2</v>
      </c>
    </row>
    <row r="94" spans="1:175" x14ac:dyDescent="0.2">
      <c r="A94" s="102"/>
      <c r="FR94" s="47" t="s">
        <v>242</v>
      </c>
      <c r="FS94" s="63">
        <v>0.02</v>
      </c>
    </row>
    <row r="95" spans="1:175" x14ac:dyDescent="0.2">
      <c r="A95" s="102"/>
      <c r="B95" t="s">
        <v>187</v>
      </c>
      <c r="BJ95" s="51">
        <f>4498-6662+1155.8</f>
        <v>-1008.2</v>
      </c>
      <c r="BK95" s="51">
        <f>+BJ95+BK77</f>
        <v>289.39999999999986</v>
      </c>
      <c r="BO95" s="51">
        <f>+BO97-BO110</f>
        <v>1939.5</v>
      </c>
      <c r="BP95" s="51">
        <f t="shared" ref="BP95" si="389">+BP97-BP110</f>
        <v>2544.1999999999989</v>
      </c>
      <c r="BQ95" s="51">
        <f t="shared" ref="BQ95" si="390">+BQ97-BQ110</f>
        <v>2923.8999999999996</v>
      </c>
      <c r="BR95" s="51">
        <f>+BR97-BR110</f>
        <v>3939.9000000000015</v>
      </c>
      <c r="BS95" s="51">
        <f>+BS97-BS110</f>
        <v>4031.9000000000005</v>
      </c>
      <c r="BT95" s="51">
        <f>+BT97-BT110</f>
        <v>4299.8</v>
      </c>
      <c r="BU95" s="51">
        <f>+BU97-BU110</f>
        <v>6604.2000000000007</v>
      </c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>
        <f t="shared" ref="CU95:CX95" si="391">+CU97-CU110</f>
        <v>-11716.6</v>
      </c>
      <c r="CV95" s="51">
        <f t="shared" si="391"/>
        <v>-11565.600000000002</v>
      </c>
      <c r="CW95" s="51">
        <f t="shared" si="391"/>
        <v>-11747</v>
      </c>
      <c r="CX95" s="51">
        <f t="shared" si="391"/>
        <v>-10916.3</v>
      </c>
      <c r="CY95" s="51">
        <f t="shared" ref="CY95:DB95" si="392">+CY97-CY110</f>
        <v>-13304.199999999999</v>
      </c>
      <c r="CZ95" s="51">
        <f t="shared" si="392"/>
        <v>-11533.899999999998</v>
      </c>
      <c r="DA95" s="51">
        <f t="shared" si="392"/>
        <v>-10815.599999999999</v>
      </c>
      <c r="DB95" s="51">
        <f t="shared" si="392"/>
        <v>-9947.1999999999989</v>
      </c>
      <c r="DC95" s="51">
        <f t="shared" ref="DC95" si="393">+DC97-DC110</f>
        <v>-9920.7000000000007</v>
      </c>
      <c r="DD95" s="51">
        <f t="shared" ref="DD95" si="394">+DD97-DD110</f>
        <v>-9768.9999999999982</v>
      </c>
      <c r="DE95" s="51">
        <f t="shared" ref="DE95:DR95" si="395">+DE97-DE110</f>
        <v>-9909.6000000000022</v>
      </c>
      <c r="DF95" s="51">
        <f t="shared" si="395"/>
        <v>-9763.5</v>
      </c>
      <c r="DG95" s="51">
        <f t="shared" si="395"/>
        <v>-11213.199999999999</v>
      </c>
      <c r="DH95" s="51">
        <f t="shared" si="395"/>
        <v>-11489.9</v>
      </c>
      <c r="DI95" s="51">
        <f t="shared" si="395"/>
        <v>-10571.7</v>
      </c>
      <c r="DJ95" s="51">
        <f t="shared" si="395"/>
        <v>-11125</v>
      </c>
      <c r="DK95" s="51">
        <f t="shared" si="395"/>
        <v>-12463.899999999998</v>
      </c>
      <c r="DL95" s="51">
        <f t="shared" si="395"/>
        <v>-13245.8</v>
      </c>
      <c r="DM95" s="51">
        <f t="shared" si="395"/>
        <v>-14982.699999999999</v>
      </c>
      <c r="DN95" s="51">
        <f t="shared" si="395"/>
        <v>-19245.400000000001</v>
      </c>
      <c r="DO95" s="51">
        <f t="shared" si="395"/>
        <v>-20538.2</v>
      </c>
      <c r="DP95" s="51">
        <f t="shared" si="395"/>
        <v>-22650.400000000001</v>
      </c>
      <c r="DQ95" s="51">
        <f t="shared" si="395"/>
        <v>-24401.1</v>
      </c>
      <c r="DR95" s="51">
        <f t="shared" si="395"/>
        <v>0</v>
      </c>
      <c r="DS95" s="51"/>
      <c r="DT95" s="51"/>
      <c r="DU95" s="51"/>
      <c r="DV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F95" s="49">
        <f>+CX95</f>
        <v>-10916.3</v>
      </c>
      <c r="FG95" s="49">
        <f>+DB95</f>
        <v>-9947.1999999999989</v>
      </c>
      <c r="FH95" s="49">
        <f>+DF95</f>
        <v>-9763.5</v>
      </c>
      <c r="FI95" s="49">
        <f>+DJ95</f>
        <v>-11125</v>
      </c>
      <c r="FJ95" s="49">
        <f>+DN95</f>
        <v>-19245.400000000001</v>
      </c>
      <c r="FK95" s="49">
        <f t="shared" ref="FK95:FQ95" si="396">+FJ95+FK77</f>
        <v>-5103.2519479999974</v>
      </c>
      <c r="FL95" s="49">
        <f t="shared" si="396"/>
        <v>16420.053510912006</v>
      </c>
      <c r="FM95" s="49">
        <f t="shared" si="396"/>
        <v>43414.441833123085</v>
      </c>
      <c r="FN95" s="49">
        <f t="shared" si="396"/>
        <v>77558.43703613797</v>
      </c>
      <c r="FO95" s="49">
        <f t="shared" si="396"/>
        <v>117700.40506110768</v>
      </c>
      <c r="FP95" s="49">
        <f t="shared" si="396"/>
        <v>162740.82687509342</v>
      </c>
      <c r="FQ95" s="49">
        <f t="shared" si="396"/>
        <v>211329.16986436339</v>
      </c>
      <c r="FR95" s="47" t="s">
        <v>241</v>
      </c>
      <c r="FS95" s="63">
        <v>7.0000000000000007E-2</v>
      </c>
    </row>
    <row r="96" spans="1:175" x14ac:dyDescent="0.2">
      <c r="A96" s="102"/>
      <c r="FR96" s="47" t="s">
        <v>243</v>
      </c>
      <c r="FS96" s="51">
        <f>NPV(FS95,FL77:IS77)+Main!J5-Main!J6</f>
        <v>786954.55204451282</v>
      </c>
    </row>
    <row r="97" spans="1:175" s="49" customFormat="1" x14ac:dyDescent="0.2">
      <c r="A97" s="98"/>
      <c r="B97" s="49" t="s">
        <v>174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>
        <f>5993.2+733.8+1779.5</f>
        <v>8506.5</v>
      </c>
      <c r="BO97" s="51">
        <f>6506.4+206.7+1898.7</f>
        <v>8611.7999999999993</v>
      </c>
      <c r="BP97" s="51">
        <f>6113.5+216.3+2943</f>
        <v>9272.7999999999993</v>
      </c>
      <c r="BQ97" s="51">
        <f>6597.7+186.6+3219.6</f>
        <v>10003.9</v>
      </c>
      <c r="BR97" s="51">
        <f>5922.5+974.6+4029.8</f>
        <v>10926.900000000001</v>
      </c>
      <c r="BS97" s="51">
        <f>4122.2+802.4+4521.1</f>
        <v>9445.7000000000007</v>
      </c>
      <c r="BT97" s="51">
        <f>4345.8+915.7+4547.6</f>
        <v>9809.1</v>
      </c>
      <c r="BU97" s="51">
        <f>5319.2+1580.7+5224.3</f>
        <v>12124.2</v>
      </c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>
        <f>2036.4+100.7+2111.4</f>
        <v>4248.5</v>
      </c>
      <c r="CV97" s="51">
        <f>2290.2+77.7+1852.7</f>
        <v>4220.5999999999995</v>
      </c>
      <c r="CW97" s="51">
        <f>1563.8+89.2+1825.3</f>
        <v>3478.3</v>
      </c>
      <c r="CX97" s="51">
        <f>2337.5+101+1962.4</f>
        <v>4400.8999999999996</v>
      </c>
      <c r="CY97" s="51">
        <f>1699+78.4+2148.7</f>
        <v>3926.1</v>
      </c>
      <c r="CZ97" s="51">
        <f>2365.1+22.8+2406.4</f>
        <v>4794.3</v>
      </c>
      <c r="DA97" s="51">
        <f>3595.3+35+2476.2</f>
        <v>6106.5</v>
      </c>
      <c r="DB97" s="51">
        <f>3657.1+24.2+2966.8</f>
        <v>6648.1</v>
      </c>
      <c r="DC97" s="51">
        <f>3002.4+49+3232.4</f>
        <v>6283.8</v>
      </c>
      <c r="DD97" s="51">
        <f>3220+51.2+3474.9</f>
        <v>6746.1</v>
      </c>
      <c r="DE97" s="51">
        <f>3788.2+37.1+3350.5</f>
        <v>7175.7999999999993</v>
      </c>
      <c r="DF97" s="51">
        <f>3818.5+90.1+3212.6</f>
        <v>7121.2</v>
      </c>
      <c r="DG97" s="51">
        <f>2459.2+109.1+2727.3</f>
        <v>5295.6</v>
      </c>
      <c r="DH97" s="51">
        <f>2622.9+113.8+2587.2</f>
        <v>5323.9</v>
      </c>
      <c r="DI97" s="51">
        <f>2617.4+124.7+2574.6</f>
        <v>5316.7</v>
      </c>
      <c r="DJ97" s="51">
        <f>2067+144.8+2901.8</f>
        <v>5113.6000000000004</v>
      </c>
      <c r="DK97" s="51">
        <f>3545.9+123.4+2750.4</f>
        <v>6419.7000000000007</v>
      </c>
      <c r="DL97" s="51">
        <f>2694.5+134.6+2745.1</f>
        <v>5574.2</v>
      </c>
      <c r="DM97" s="51">
        <f>2380.8+113.1+2691.7</f>
        <v>5185.6000000000004</v>
      </c>
      <c r="DN97" s="51">
        <f>2818.6+109.1+3052.2</f>
        <v>5979.9</v>
      </c>
      <c r="DO97" s="51">
        <f>2460.2+126.1+3086.9</f>
        <v>5673.2</v>
      </c>
      <c r="DP97" s="51">
        <f>3223.6+140.4+2877.6</f>
        <v>6241.6</v>
      </c>
      <c r="DQ97" s="51">
        <f>3369+149.4+3200.2</f>
        <v>6718.6</v>
      </c>
      <c r="DR97" s="51"/>
      <c r="DS97" s="51"/>
      <c r="DT97" s="51"/>
      <c r="DU97" s="51"/>
      <c r="DV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F97" s="49">
        <f t="shared" ref="FF97:FF121" si="397">+CX97</f>
        <v>4400.8999999999996</v>
      </c>
      <c r="FG97" s="49">
        <f t="shared" ref="FG97:FG108" si="398">+DB97</f>
        <v>6648.1</v>
      </c>
      <c r="FH97" s="49">
        <f t="shared" ref="FH97:FH123" si="399">+DF97</f>
        <v>7121.2</v>
      </c>
      <c r="FI97" s="49">
        <f t="shared" ref="FI97:FI123" si="400">+DJ97</f>
        <v>5113.6000000000004</v>
      </c>
      <c r="FJ97" s="49">
        <f>+DN97</f>
        <v>5979.9</v>
      </c>
      <c r="FR97" s="60" t="s">
        <v>264</v>
      </c>
      <c r="FS97" s="65">
        <f>+FS96/Main!J3</f>
        <v>828.97033833774674</v>
      </c>
    </row>
    <row r="98" spans="1:175" s="49" customFormat="1" x14ac:dyDescent="0.2">
      <c r="A98" s="98"/>
      <c r="B98" s="50" t="s">
        <v>284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>
        <v>3493.8</v>
      </c>
      <c r="BO98" s="51">
        <v>3694.3</v>
      </c>
      <c r="BP98" s="51">
        <v>3833.6</v>
      </c>
      <c r="BQ98" s="51">
        <v>3533.2</v>
      </c>
      <c r="BR98" s="51">
        <v>3597.7</v>
      </c>
      <c r="BS98" s="51">
        <v>3402.1</v>
      </c>
      <c r="BT98" s="51">
        <v>3181.7</v>
      </c>
      <c r="BU98" s="51">
        <v>3268.2</v>
      </c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>
        <v>4200.5</v>
      </c>
      <c r="CV98" s="51">
        <v>4612.5</v>
      </c>
      <c r="CW98" s="51">
        <v>4441.7</v>
      </c>
      <c r="CX98" s="51">
        <v>4547.3</v>
      </c>
      <c r="CY98" s="51">
        <v>5106.1000000000004</v>
      </c>
      <c r="CZ98" s="51">
        <v>4828.8999999999996</v>
      </c>
      <c r="DA98" s="51">
        <v>4886.7</v>
      </c>
      <c r="DB98" s="51">
        <v>5875.3</v>
      </c>
      <c r="DC98" s="51">
        <v>5592.8</v>
      </c>
      <c r="DD98" s="51">
        <v>5829.4</v>
      </c>
      <c r="DE98" s="51">
        <v>5914.3</v>
      </c>
      <c r="DF98" s="51">
        <v>6672.8</v>
      </c>
      <c r="DG98" s="51">
        <v>6322.5</v>
      </c>
      <c r="DH98" s="51">
        <v>6364.5</v>
      </c>
      <c r="DI98" s="51">
        <v>6715.3</v>
      </c>
      <c r="DJ98" s="51">
        <v>6896</v>
      </c>
      <c r="DK98" s="51">
        <v>7526.2</v>
      </c>
      <c r="DL98" s="51">
        <v>7516.1</v>
      </c>
      <c r="DM98" s="51">
        <v>8167.1</v>
      </c>
      <c r="DN98" s="51">
        <v>9090.5</v>
      </c>
      <c r="DO98" s="51">
        <v>7885.6</v>
      </c>
      <c r="DP98" s="51">
        <v>11027.9</v>
      </c>
      <c r="DQ98" s="51">
        <v>10294.799999999999</v>
      </c>
      <c r="DR98" s="51"/>
      <c r="DS98" s="51"/>
      <c r="DT98" s="51"/>
      <c r="DU98" s="51"/>
      <c r="DV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F98" s="49">
        <f t="shared" si="397"/>
        <v>4547.3</v>
      </c>
      <c r="FG98" s="49">
        <f t="shared" si="398"/>
        <v>5875.3</v>
      </c>
      <c r="FH98" s="49">
        <f t="shared" si="399"/>
        <v>6672.8</v>
      </c>
      <c r="FI98" s="49">
        <f t="shared" si="400"/>
        <v>6896</v>
      </c>
      <c r="FJ98" s="49">
        <f t="shared" ref="FJ98:FJ121" si="401">+DN98</f>
        <v>9090.5</v>
      </c>
    </row>
    <row r="99" spans="1:175" s="49" customFormat="1" x14ac:dyDescent="0.2">
      <c r="A99" s="98"/>
      <c r="B99" s="50" t="s">
        <v>285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>
        <v>664.3</v>
      </c>
      <c r="BO99" s="51">
        <v>488.8</v>
      </c>
      <c r="BP99" s="51">
        <v>612.9</v>
      </c>
      <c r="BQ99" s="51">
        <v>564.4</v>
      </c>
      <c r="BR99" s="51">
        <v>640.20000000000005</v>
      </c>
      <c r="BS99" s="51">
        <v>529.20000000000005</v>
      </c>
      <c r="BT99" s="51">
        <v>590</v>
      </c>
      <c r="BU99" s="51">
        <v>527.29999999999995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v>977.5</v>
      </c>
      <c r="CV99" s="51">
        <v>977.5</v>
      </c>
      <c r="CW99" s="51">
        <v>1096.2</v>
      </c>
      <c r="CX99" s="51">
        <v>994.2</v>
      </c>
      <c r="CY99" s="51">
        <v>1246.4000000000001</v>
      </c>
      <c r="CZ99" s="51">
        <v>946.7</v>
      </c>
      <c r="DA99" s="51">
        <v>958.1</v>
      </c>
      <c r="DB99" s="51">
        <v>1053.7</v>
      </c>
      <c r="DC99" s="51">
        <v>1065.8</v>
      </c>
      <c r="DD99" s="51">
        <v>1073.4000000000001</v>
      </c>
      <c r="DE99" s="51">
        <v>1110.7</v>
      </c>
      <c r="DF99" s="51">
        <v>1454.4</v>
      </c>
      <c r="DG99" s="51">
        <v>1483.2</v>
      </c>
      <c r="DH99" s="51">
        <v>1307.9000000000001</v>
      </c>
      <c r="DI99" s="51">
        <v>1609.5</v>
      </c>
      <c r="DJ99" s="51">
        <v>1662.9</v>
      </c>
      <c r="DK99" s="51">
        <v>1495.9</v>
      </c>
      <c r="DL99" s="51">
        <v>1655.3</v>
      </c>
      <c r="DM99" s="51">
        <v>2196.6999999999998</v>
      </c>
      <c r="DN99" s="51">
        <v>2245.6999999999998</v>
      </c>
      <c r="DO99" s="51">
        <v>2127.9</v>
      </c>
      <c r="DP99" s="51">
        <v>2051.1</v>
      </c>
      <c r="DQ99" s="51">
        <v>1756.9</v>
      </c>
      <c r="DR99" s="51"/>
      <c r="DS99" s="51"/>
      <c r="DT99" s="51"/>
      <c r="DU99" s="51"/>
      <c r="DV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 t="shared" si="397"/>
        <v>994.2</v>
      </c>
      <c r="FG99" s="49">
        <f t="shared" si="398"/>
        <v>1053.7</v>
      </c>
      <c r="FH99" s="49">
        <f t="shared" si="399"/>
        <v>1454.4</v>
      </c>
      <c r="FI99" s="49">
        <f t="shared" si="400"/>
        <v>1662.9</v>
      </c>
      <c r="FJ99" s="49">
        <f t="shared" si="401"/>
        <v>2245.6999999999998</v>
      </c>
    </row>
    <row r="100" spans="1:175" s="49" customFormat="1" x14ac:dyDescent="0.2">
      <c r="A100" s="98"/>
      <c r="B100" s="50" t="s">
        <v>286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>
        <v>2517.6999999999998</v>
      </c>
      <c r="BO100" s="51">
        <v>2767.2</v>
      </c>
      <c r="BP100" s="51">
        <v>2870.2</v>
      </c>
      <c r="BQ100" s="51">
        <v>2513.3000000000002</v>
      </c>
      <c r="BR100" s="51">
        <v>2299.8000000000002</v>
      </c>
      <c r="BS100" s="51">
        <v>2424.1999999999998</v>
      </c>
      <c r="BT100" s="51">
        <v>2320.8000000000002</v>
      </c>
      <c r="BU100" s="51">
        <v>2553.4</v>
      </c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>
        <v>3055.2</v>
      </c>
      <c r="CV100" s="51">
        <v>3181.1</v>
      </c>
      <c r="CW100" s="51">
        <v>3101.3</v>
      </c>
      <c r="CX100" s="51">
        <v>3190.7</v>
      </c>
      <c r="CY100" s="51">
        <v>3102.4</v>
      </c>
      <c r="CZ100" s="51">
        <v>3313.9</v>
      </c>
      <c r="DA100" s="51">
        <v>3555.4</v>
      </c>
      <c r="DB100" s="51">
        <v>3980.3</v>
      </c>
      <c r="DC100" s="51">
        <v>3660.8</v>
      </c>
      <c r="DD100" s="51">
        <v>3824.9</v>
      </c>
      <c r="DE100" s="51">
        <v>3907.4</v>
      </c>
      <c r="DF100" s="51">
        <v>3886</v>
      </c>
      <c r="DG100" s="51">
        <v>3893</v>
      </c>
      <c r="DH100" s="51">
        <v>3899.4</v>
      </c>
      <c r="DI100" s="51">
        <v>3831.1</v>
      </c>
      <c r="DJ100" s="51">
        <v>4309.7</v>
      </c>
      <c r="DK100" s="51">
        <v>4544.8</v>
      </c>
      <c r="DL100" s="51">
        <v>4798.7</v>
      </c>
      <c r="DM100" s="51">
        <v>4901.3999999999996</v>
      </c>
      <c r="DN100" s="51">
        <v>5772.8</v>
      </c>
      <c r="DO100" s="51">
        <v>6101.8</v>
      </c>
      <c r="DP100" s="51">
        <v>6481.5</v>
      </c>
      <c r="DQ100" s="51">
        <v>7459.8</v>
      </c>
      <c r="DR100" s="51"/>
      <c r="DS100" s="51"/>
      <c r="DT100" s="51"/>
      <c r="DU100" s="51"/>
      <c r="DV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F100" s="49">
        <f t="shared" si="397"/>
        <v>3190.7</v>
      </c>
      <c r="FG100" s="49">
        <f t="shared" si="398"/>
        <v>3980.3</v>
      </c>
      <c r="FH100" s="49">
        <f t="shared" si="399"/>
        <v>3886</v>
      </c>
      <c r="FI100" s="49">
        <f t="shared" si="400"/>
        <v>4309.7</v>
      </c>
      <c r="FJ100" s="49">
        <f t="shared" si="401"/>
        <v>5772.8</v>
      </c>
    </row>
    <row r="101" spans="1:175" s="49" customFormat="1" x14ac:dyDescent="0.2">
      <c r="A101" s="98"/>
      <c r="B101" s="50" t="s">
        <v>287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v>828.3</v>
      </c>
      <c r="BO101" s="51">
        <v>550.1</v>
      </c>
      <c r="BP101" s="51">
        <v>436.5</v>
      </c>
      <c r="BQ101" s="51">
        <v>378.4</v>
      </c>
      <c r="BR101" s="51">
        <v>158.5</v>
      </c>
      <c r="BS101" s="51">
        <v>324</v>
      </c>
      <c r="BT101" s="51">
        <v>0</v>
      </c>
      <c r="BU101" s="51">
        <v>0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v>2227.1999999999998</v>
      </c>
      <c r="CV101" s="51">
        <v>2315.5</v>
      </c>
      <c r="CW101" s="51">
        <v>2369.6</v>
      </c>
      <c r="CX101" s="51">
        <v>2538.9</v>
      </c>
      <c r="CY101" s="51">
        <v>2761.9</v>
      </c>
      <c r="CZ101" s="51">
        <v>3104.5</v>
      </c>
      <c r="DA101" s="51">
        <v>3209.4</v>
      </c>
      <c r="DB101" s="51">
        <v>2871.5</v>
      </c>
      <c r="DC101" s="51">
        <v>3233.7</v>
      </c>
      <c r="DD101" s="51">
        <v>3296.6</v>
      </c>
      <c r="DE101" s="51">
        <v>3050.6</v>
      </c>
      <c r="DF101" s="51">
        <v>2530.6</v>
      </c>
      <c r="DG101" s="51">
        <v>2697.7</v>
      </c>
      <c r="DH101" s="51">
        <v>2806.7</v>
      </c>
      <c r="DI101" s="51">
        <v>2741.9</v>
      </c>
      <c r="DJ101" s="51">
        <v>2954.1</v>
      </c>
      <c r="DK101" s="51">
        <v>3575.2</v>
      </c>
      <c r="DL101" s="51">
        <v>4532.3999999999996</v>
      </c>
      <c r="DM101" s="51">
        <v>5247.9</v>
      </c>
      <c r="DN101" s="51">
        <v>5540.8</v>
      </c>
      <c r="DO101" s="51">
        <v>6348.6</v>
      </c>
      <c r="DP101" s="51">
        <v>7137.6</v>
      </c>
      <c r="DQ101" s="51">
        <v>8250.6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si="397"/>
        <v>2538.9</v>
      </c>
      <c r="FG101" s="49">
        <f t="shared" si="398"/>
        <v>2871.5</v>
      </c>
      <c r="FH101" s="49">
        <f t="shared" si="399"/>
        <v>2530.6</v>
      </c>
      <c r="FI101" s="49">
        <f t="shared" si="400"/>
        <v>2954.1</v>
      </c>
      <c r="FJ101" s="49">
        <f t="shared" si="401"/>
        <v>5540.8</v>
      </c>
    </row>
    <row r="102" spans="1:175" s="49" customFormat="1" x14ac:dyDescent="0.2">
      <c r="A102" s="98"/>
      <c r="B102" s="50" t="s">
        <v>288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608.9</v>
      </c>
      <c r="BO102" s="51">
        <v>1140.8</v>
      </c>
      <c r="BP102" s="51">
        <v>867.3</v>
      </c>
      <c r="BQ102" s="51">
        <v>799.1</v>
      </c>
      <c r="BR102" s="51">
        <v>654.9</v>
      </c>
      <c r="BS102" s="51">
        <v>998.5</v>
      </c>
      <c r="BT102" s="51">
        <v>953.3</v>
      </c>
      <c r="BU102" s="51">
        <v>790.1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>
        <v>149.5</v>
      </c>
      <c r="DO102" s="51">
        <v>138.6</v>
      </c>
      <c r="DP102" s="51">
        <v>142.19999999999999</v>
      </c>
      <c r="DQ102" s="51">
        <v>134.6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397"/>
        <v>0</v>
      </c>
      <c r="FG102" s="49">
        <f t="shared" si="398"/>
        <v>0</v>
      </c>
      <c r="FI102" s="49">
        <f t="shared" si="400"/>
        <v>0</v>
      </c>
      <c r="FJ102" s="49">
        <f t="shared" si="401"/>
        <v>149.5</v>
      </c>
    </row>
    <row r="103" spans="1:175" s="49" customFormat="1" x14ac:dyDescent="0.2">
      <c r="A103" s="98"/>
      <c r="B103" s="50" t="s">
        <v>289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4818.8</v>
      </c>
      <c r="BO103" s="51">
        <v>4731.3</v>
      </c>
      <c r="BP103" s="51">
        <v>4955.3999999999996</v>
      </c>
      <c r="BQ103" s="51">
        <v>5221.8999999999996</v>
      </c>
      <c r="BR103" s="51">
        <v>5128.1000000000004</v>
      </c>
      <c r="BS103" s="51">
        <v>5266.7</v>
      </c>
      <c r="BT103" s="51">
        <v>5142.8</v>
      </c>
      <c r="BU103" s="51">
        <v>5031.1000000000004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f>3855.9+6641.5</f>
        <v>10497.4</v>
      </c>
      <c r="CV103" s="51">
        <f>3820.1+6586.6</f>
        <v>10406.700000000001</v>
      </c>
      <c r="CW103" s="51">
        <f>3772.5+6689.3</f>
        <v>10461.799999999999</v>
      </c>
      <c r="CX103" s="51">
        <f>3679.4+6618</f>
        <v>10297.4</v>
      </c>
      <c r="CY103" s="51">
        <f>3779.1+7766.7</f>
        <v>11545.8</v>
      </c>
      <c r="CZ103" s="51">
        <f>3723.2+7712.5</f>
        <v>11435.7</v>
      </c>
      <c r="DA103" s="51">
        <f>3726.4+7588.6</f>
        <v>11315</v>
      </c>
      <c r="DB103" s="51">
        <f>3766.5+7450</f>
        <v>11216.5</v>
      </c>
      <c r="DC103" s="51">
        <f>3877.4+8087.8</f>
        <v>11965.2</v>
      </c>
      <c r="DD103" s="51">
        <f>3884.2+7985.4</f>
        <v>11869.599999999999</v>
      </c>
      <c r="DE103" s="51">
        <f>3884.1+7887.7</f>
        <v>11771.8</v>
      </c>
      <c r="DF103" s="51">
        <f>3892+7691.9</f>
        <v>11583.9</v>
      </c>
      <c r="DG103" s="51">
        <f>3892+7482.4</f>
        <v>11374.4</v>
      </c>
      <c r="DH103" s="51">
        <f>3891.8+7497.7</f>
        <v>11389.5</v>
      </c>
      <c r="DI103" s="52">
        <f>3891.6+7124.1</f>
        <v>11015.7</v>
      </c>
      <c r="DJ103" s="51">
        <f>4073+7206.6</f>
        <v>11279.6</v>
      </c>
      <c r="DK103" s="51">
        <f>4073.1+7087.1</f>
        <v>11160.2</v>
      </c>
      <c r="DL103" s="51">
        <f>4078.9+6903.5</f>
        <v>10982.4</v>
      </c>
      <c r="DM103" s="51">
        <f>4085.2+6781.7</f>
        <v>10866.9</v>
      </c>
      <c r="DN103" s="51">
        <f>4939.7+6906.6</f>
        <v>11846.3</v>
      </c>
      <c r="DO103" s="51">
        <f>4939.6+6762.2</f>
        <v>11701.8</v>
      </c>
      <c r="DP103" s="51">
        <f>5768.2+6636.1</f>
        <v>12404.3</v>
      </c>
      <c r="DQ103" s="51">
        <f>5768.4+6537.3</f>
        <v>12305.7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397"/>
        <v>10297.4</v>
      </c>
      <c r="FG103" s="49">
        <f t="shared" si="398"/>
        <v>11216.5</v>
      </c>
      <c r="FH103" s="49">
        <f t="shared" si="399"/>
        <v>11583.9</v>
      </c>
      <c r="FI103" s="49">
        <f t="shared" si="400"/>
        <v>11279.6</v>
      </c>
      <c r="FJ103" s="49">
        <f t="shared" si="401"/>
        <v>11846.3</v>
      </c>
    </row>
    <row r="104" spans="1:175" s="49" customFormat="1" x14ac:dyDescent="0.2">
      <c r="A104" s="98"/>
      <c r="B104" s="50" t="s">
        <v>385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2511</v>
      </c>
      <c r="CV104" s="51">
        <v>2507.4</v>
      </c>
      <c r="CW104" s="51">
        <v>2412.8000000000002</v>
      </c>
      <c r="CX104" s="51">
        <v>2572.6</v>
      </c>
      <c r="CY104" s="51">
        <v>2471.6</v>
      </c>
      <c r="CZ104" s="51">
        <v>2481.8000000000002</v>
      </c>
      <c r="DA104" s="51">
        <v>2555.3000000000002</v>
      </c>
      <c r="DB104" s="51">
        <v>2830.4</v>
      </c>
      <c r="DC104" s="51">
        <v>2649.9</v>
      </c>
      <c r="DD104" s="51">
        <v>2674.9</v>
      </c>
      <c r="DE104" s="51">
        <v>2625.6</v>
      </c>
      <c r="DF104" s="51">
        <v>2489.3000000000002</v>
      </c>
      <c r="DG104" s="51">
        <v>2464.9</v>
      </c>
      <c r="DH104" s="51">
        <v>2371.9</v>
      </c>
      <c r="DI104" s="51">
        <v>2384.3000000000002</v>
      </c>
      <c r="DJ104" s="51">
        <v>2792.9</v>
      </c>
      <c r="DK104" s="51">
        <v>3406.7</v>
      </c>
      <c r="DL104" s="51">
        <v>3805.9</v>
      </c>
      <c r="DM104" s="51">
        <v>4574.8</v>
      </c>
      <c r="DN104" s="51">
        <v>5477.3</v>
      </c>
      <c r="DO104" s="51">
        <v>5633.9</v>
      </c>
      <c r="DP104" s="51">
        <v>6655.3</v>
      </c>
      <c r="DQ104" s="51">
        <v>7392.3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397"/>
        <v>2572.6</v>
      </c>
      <c r="FG104" s="49">
        <f t="shared" si="398"/>
        <v>2830.4</v>
      </c>
      <c r="FH104" s="49">
        <f t="shared" si="399"/>
        <v>2489.3000000000002</v>
      </c>
      <c r="FI104" s="49">
        <f t="shared" si="400"/>
        <v>2792.9</v>
      </c>
      <c r="FJ104" s="49">
        <f t="shared" si="401"/>
        <v>5477.3</v>
      </c>
    </row>
    <row r="105" spans="1:175" s="49" customFormat="1" x14ac:dyDescent="0.2">
      <c r="A105" s="98"/>
      <c r="B105" s="50" t="s">
        <v>290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1622.4</v>
      </c>
      <c r="BO105" s="51">
        <v>1743.3</v>
      </c>
      <c r="BP105" s="51">
        <v>1976.9</v>
      </c>
      <c r="BQ105" s="51">
        <v>2215.8000000000002</v>
      </c>
      <c r="BR105" s="51">
        <v>2493.4</v>
      </c>
      <c r="BS105" s="51">
        <v>2093.1999999999998</v>
      </c>
      <c r="BT105" s="51">
        <v>2195</v>
      </c>
      <c r="BU105" s="51">
        <v>2387.8000000000002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1963</v>
      </c>
      <c r="CV105" s="51">
        <v>2052.1</v>
      </c>
      <c r="CW105" s="51">
        <v>2194.1999999999998</v>
      </c>
      <c r="CX105" s="51"/>
      <c r="CY105" s="51"/>
      <c r="CZ105" s="51"/>
      <c r="DA105" s="51"/>
      <c r="DB105" s="51"/>
      <c r="DC105" s="51">
        <v>0</v>
      </c>
      <c r="DD105" s="51">
        <v>0</v>
      </c>
      <c r="DE105" s="51">
        <v>0</v>
      </c>
      <c r="DF105" s="51">
        <v>0</v>
      </c>
      <c r="DG105" s="51">
        <v>0</v>
      </c>
      <c r="DH105" s="51">
        <v>0</v>
      </c>
      <c r="DI105" s="51">
        <v>0</v>
      </c>
      <c r="DJ105" s="51">
        <v>0</v>
      </c>
      <c r="DK105" s="51">
        <v>0</v>
      </c>
      <c r="DL105" s="51">
        <v>0</v>
      </c>
      <c r="DM105" s="51">
        <v>0</v>
      </c>
      <c r="DN105" s="51">
        <v>0</v>
      </c>
      <c r="DO105" s="51">
        <v>0</v>
      </c>
      <c r="DP105" s="51">
        <v>0</v>
      </c>
      <c r="DQ105" s="51">
        <v>0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397"/>
        <v>0</v>
      </c>
      <c r="FG105" s="49">
        <f t="shared" si="398"/>
        <v>0</v>
      </c>
      <c r="FI105" s="49">
        <f t="shared" si="400"/>
        <v>0</v>
      </c>
      <c r="FJ105" s="49">
        <f t="shared" si="401"/>
        <v>0</v>
      </c>
    </row>
    <row r="106" spans="1:175" s="49" customFormat="1" x14ac:dyDescent="0.2">
      <c r="A106" s="98"/>
      <c r="B106" s="50" t="s">
        <v>291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7940.7</v>
      </c>
      <c r="BO106" s="51">
        <v>7967.7</v>
      </c>
      <c r="BP106" s="51">
        <v>7953.7</v>
      </c>
      <c r="BQ106" s="51">
        <v>7812.2</v>
      </c>
      <c r="BR106" s="51">
        <v>7760.3</v>
      </c>
      <c r="BS106" s="51">
        <v>7754.6</v>
      </c>
      <c r="BT106" s="51">
        <v>7619.9</v>
      </c>
      <c r="BU106" s="51">
        <v>7638.9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>
        <v>7780</v>
      </c>
      <c r="CV106" s="51">
        <v>7847.5</v>
      </c>
      <c r="CW106" s="51">
        <v>7801.5</v>
      </c>
      <c r="CX106" s="51">
        <v>7872.9</v>
      </c>
      <c r="CY106" s="51">
        <v>7897.9</v>
      </c>
      <c r="CZ106" s="51">
        <v>7981.1</v>
      </c>
      <c r="DA106" s="51">
        <v>8281.1</v>
      </c>
      <c r="DB106" s="51">
        <v>8681.9</v>
      </c>
      <c r="DC106" s="51">
        <v>8630.1</v>
      </c>
      <c r="DD106" s="51">
        <v>8855.5</v>
      </c>
      <c r="DE106" s="51">
        <v>8920.4</v>
      </c>
      <c r="DF106" s="51">
        <v>8985.1</v>
      </c>
      <c r="DG106" s="51">
        <v>9102.7000000000007</v>
      </c>
      <c r="DH106" s="51">
        <v>9128.2000000000007</v>
      </c>
      <c r="DI106" s="51">
        <v>9311.2999999999993</v>
      </c>
      <c r="DJ106" s="51">
        <v>10144</v>
      </c>
      <c r="DK106" s="51">
        <v>10546.2</v>
      </c>
      <c r="DL106" s="51">
        <v>11277.4</v>
      </c>
      <c r="DM106" s="51">
        <v>11863.2</v>
      </c>
      <c r="DN106" s="51">
        <v>12913.6</v>
      </c>
      <c r="DO106" s="51">
        <v>13624</v>
      </c>
      <c r="DP106" s="51">
        <v>14829.4</v>
      </c>
      <c r="DQ106" s="51">
        <v>16171.8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397"/>
        <v>7872.9</v>
      </c>
      <c r="FG106" s="49">
        <f t="shared" si="398"/>
        <v>8681.9</v>
      </c>
      <c r="FH106" s="49">
        <f t="shared" si="399"/>
        <v>8985.1</v>
      </c>
      <c r="FI106" s="49">
        <f t="shared" si="400"/>
        <v>10144</v>
      </c>
      <c r="FJ106" s="49">
        <f t="shared" si="401"/>
        <v>12913.6</v>
      </c>
    </row>
    <row r="107" spans="1:175" s="49" customFormat="1" x14ac:dyDescent="0.2">
      <c r="A107" s="98"/>
      <c r="B107" s="50" t="s">
        <v>386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v>546.5</v>
      </c>
      <c r="CV107" s="51">
        <v>545.5</v>
      </c>
      <c r="CW107" s="51">
        <v>535.70000000000005</v>
      </c>
      <c r="CX107" s="51">
        <f>532.1+2339.1</f>
        <v>2871.2</v>
      </c>
      <c r="CY107" s="51">
        <v>3044.6</v>
      </c>
      <c r="CZ107" s="51">
        <v>3080.1</v>
      </c>
      <c r="DA107" s="51">
        <v>3078.5</v>
      </c>
      <c r="DB107" s="51">
        <v>3475.4</v>
      </c>
      <c r="DC107" s="51">
        <v>3756.2</v>
      </c>
      <c r="DD107" s="51">
        <v>3638.6</v>
      </c>
      <c r="DE107" s="51">
        <v>3710.4</v>
      </c>
      <c r="DF107" s="51">
        <v>4082.7</v>
      </c>
      <c r="DG107" s="51">
        <v>4285.3</v>
      </c>
      <c r="DH107" s="51">
        <v>4471.6000000000004</v>
      </c>
      <c r="DI107" s="51">
        <v>4535.7</v>
      </c>
      <c r="DJ107" s="51">
        <v>4337</v>
      </c>
      <c r="DK107" s="51">
        <v>4488.1000000000004</v>
      </c>
      <c r="DL107" s="51">
        <v>4671.6000000000004</v>
      </c>
      <c r="DM107" s="51">
        <v>4911.8999999999996</v>
      </c>
      <c r="DN107" s="51">
        <v>4989.8999999999996</v>
      </c>
      <c r="DO107" s="51">
        <v>4708.1000000000004</v>
      </c>
      <c r="DP107" s="51">
        <v>4903.8999999999996</v>
      </c>
      <c r="DQ107" s="51">
        <v>5121.8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397"/>
        <v>2871.2</v>
      </c>
      <c r="FG107" s="49">
        <f t="shared" si="398"/>
        <v>3475.4</v>
      </c>
      <c r="FH107" s="49">
        <f t="shared" si="399"/>
        <v>4082.7</v>
      </c>
      <c r="FI107" s="49">
        <f t="shared" si="400"/>
        <v>4337</v>
      </c>
      <c r="FJ107" s="49">
        <f t="shared" si="401"/>
        <v>4989.8999999999996</v>
      </c>
    </row>
    <row r="108" spans="1:175" s="49" customFormat="1" x14ac:dyDescent="0.2">
      <c r="A108" s="98"/>
      <c r="B108" s="50" t="s">
        <v>292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>
        <f>SUM(BN97:BN106)</f>
        <v>31001.4</v>
      </c>
      <c r="BO108" s="51">
        <f>SUM(BO97:BO106)</f>
        <v>31695.3</v>
      </c>
      <c r="BP108" s="51">
        <f t="shared" ref="BP108" si="402">SUM(BP97:BP106)</f>
        <v>32779.299999999996</v>
      </c>
      <c r="BQ108" s="51">
        <f>SUM(BQ97:BQ106)</f>
        <v>33042.199999999997</v>
      </c>
      <c r="BR108" s="51">
        <f>SUM(BR97:BR106)</f>
        <v>33659.80000000001</v>
      </c>
      <c r="BS108" s="51">
        <f>SUM(BS97:BS106)</f>
        <v>32238.200000000004</v>
      </c>
      <c r="BT108" s="51">
        <f>SUM(BT97:BT106)</f>
        <v>31812.6</v>
      </c>
      <c r="BU108" s="51">
        <f>SUM(BU97:BU106)</f>
        <v>34321</v>
      </c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f t="shared" ref="CU108:CX108" si="403">SUM(CU97:CU107)</f>
        <v>38006.800000000003</v>
      </c>
      <c r="CV108" s="51">
        <f t="shared" si="403"/>
        <v>38666.400000000001</v>
      </c>
      <c r="CW108" s="51">
        <f t="shared" si="403"/>
        <v>37893.1</v>
      </c>
      <c r="CX108" s="51">
        <f t="shared" si="403"/>
        <v>39286.1</v>
      </c>
      <c r="CY108" s="51">
        <f t="shared" ref="CY108:DB108" si="404">SUM(CY97:CY107)</f>
        <v>41102.799999999996</v>
      </c>
      <c r="CZ108" s="51">
        <f t="shared" si="404"/>
        <v>41967</v>
      </c>
      <c r="DA108" s="51">
        <f t="shared" si="404"/>
        <v>43946</v>
      </c>
      <c r="DB108" s="51">
        <f t="shared" si="404"/>
        <v>46633.100000000006</v>
      </c>
      <c r="DC108" s="51">
        <f t="shared" ref="DC108" si="405">SUM(DC97:DC107)</f>
        <v>46838.299999999996</v>
      </c>
      <c r="DD108" s="51">
        <f t="shared" ref="DD108" si="406">SUM(DD97:DD107)</f>
        <v>47808.999999999993</v>
      </c>
      <c r="DE108" s="51">
        <f t="shared" ref="DE108:DQ108" si="407">SUM(DE97:DE107)</f>
        <v>48187</v>
      </c>
      <c r="DF108" s="51">
        <f t="shared" si="407"/>
        <v>48806</v>
      </c>
      <c r="DG108" s="51">
        <f t="shared" si="407"/>
        <v>46919.3</v>
      </c>
      <c r="DH108" s="51">
        <f t="shared" si="407"/>
        <v>47063.6</v>
      </c>
      <c r="DI108" s="51">
        <f t="shared" si="407"/>
        <v>47461.5</v>
      </c>
      <c r="DJ108" s="51">
        <f t="shared" si="407"/>
        <v>49489.8</v>
      </c>
      <c r="DK108" s="51">
        <f t="shared" si="407"/>
        <v>53162.999999999993</v>
      </c>
      <c r="DL108" s="51">
        <f t="shared" si="407"/>
        <v>54814</v>
      </c>
      <c r="DM108" s="51">
        <f t="shared" si="407"/>
        <v>57915.500000000007</v>
      </c>
      <c r="DN108" s="51">
        <f t="shared" si="407"/>
        <v>64006.3</v>
      </c>
      <c r="DO108" s="51">
        <f t="shared" si="407"/>
        <v>63943.5</v>
      </c>
      <c r="DP108" s="51">
        <f t="shared" si="407"/>
        <v>71874.799999999988</v>
      </c>
      <c r="DQ108" s="51">
        <f t="shared" si="407"/>
        <v>75606.900000000009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397"/>
        <v>39286.1</v>
      </c>
      <c r="FG108" s="49">
        <f t="shared" si="398"/>
        <v>46633.100000000006</v>
      </c>
      <c r="FH108" s="49">
        <f t="shared" si="399"/>
        <v>48806</v>
      </c>
      <c r="FI108" s="49">
        <f t="shared" si="400"/>
        <v>49489.8</v>
      </c>
      <c r="FJ108" s="49">
        <f t="shared" si="401"/>
        <v>64006.3</v>
      </c>
    </row>
    <row r="109" spans="1:175" x14ac:dyDescent="0.2">
      <c r="A109" s="102"/>
      <c r="FG109" s="49"/>
      <c r="FH109" s="49"/>
      <c r="FI109" s="49"/>
    </row>
    <row r="110" spans="1:175" s="49" customFormat="1" x14ac:dyDescent="0.2">
      <c r="A110" s="98"/>
      <c r="B110" s="50" t="s">
        <v>175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f>156+6770.5</f>
        <v>6926.5</v>
      </c>
      <c r="BO110" s="51">
        <f>1539.9+5132.4</f>
        <v>6672.2999999999993</v>
      </c>
      <c r="BP110" s="51">
        <f>1528.5+5200.1</f>
        <v>6728.6</v>
      </c>
      <c r="BQ110" s="51">
        <f>1628.7+5451.3</f>
        <v>7080</v>
      </c>
      <c r="BR110" s="51">
        <f>1522.3+5464.7</f>
        <v>6987</v>
      </c>
      <c r="BS110" s="51">
        <f>10.6+5403.2</f>
        <v>5413.8</v>
      </c>
      <c r="BT110" s="51">
        <f>9.1+5500.2</f>
        <v>5509.3</v>
      </c>
      <c r="BU110" s="51">
        <f>9.1+5510.9</f>
        <v>5520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f>2354.9+13610.2</f>
        <v>15965.1</v>
      </c>
      <c r="CV110" s="51">
        <f>2068.6+13717.6</f>
        <v>15786.2</v>
      </c>
      <c r="CW110" s="51">
        <f>1563.1+13662.2</f>
        <v>15225.300000000001</v>
      </c>
      <c r="CX110" s="51">
        <f>1499.3+13817.9</f>
        <v>15317.199999999999</v>
      </c>
      <c r="CY110" s="51">
        <f>3248+13982.3</f>
        <v>17230.3</v>
      </c>
      <c r="CZ110" s="51">
        <f>1263.8+15064.4</f>
        <v>16328.199999999999</v>
      </c>
      <c r="DA110" s="51">
        <f>587.5+16334.6</f>
        <v>16922.099999999999</v>
      </c>
      <c r="DB110" s="51">
        <f>16586.6+8.7</f>
        <v>16595.3</v>
      </c>
      <c r="DC110" s="51">
        <f>4.9+16199.6</f>
        <v>16204.5</v>
      </c>
      <c r="DD110" s="51">
        <f>1778.5+14736.6</f>
        <v>16515.099999999999</v>
      </c>
      <c r="DE110" s="51">
        <f>1563+15522.4</f>
        <v>17085.400000000001</v>
      </c>
      <c r="DF110" s="51">
        <f>1538.3+15346.4</f>
        <v>16884.7</v>
      </c>
      <c r="DG110" s="51">
        <f>1355.9+15152.9</f>
        <v>16508.8</v>
      </c>
      <c r="DH110" s="51">
        <f>2121.8+14692</f>
        <v>16813.8</v>
      </c>
      <c r="DI110" s="51">
        <f>1744.6+14143.8</f>
        <v>15888.4</v>
      </c>
      <c r="DJ110" s="51">
        <f>1501.1+14737.5</f>
        <v>16238.6</v>
      </c>
      <c r="DK110" s="51">
        <f>18880.5+3.1</f>
        <v>18883.599999999999</v>
      </c>
      <c r="DL110" s="51">
        <f>661.6+18158.4</f>
        <v>18820</v>
      </c>
      <c r="DM110" s="51">
        <f>2244.7+17923.6</f>
        <v>20168.3</v>
      </c>
      <c r="DN110" s="51">
        <f>6904.5+18320.8</f>
        <v>25225.3</v>
      </c>
      <c r="DO110" s="51">
        <f>24559.9+1651.5</f>
        <v>26211.4</v>
      </c>
      <c r="DP110" s="51">
        <f>5161.6+23730.4</f>
        <v>28892</v>
      </c>
      <c r="DQ110" s="51">
        <f>29045.4+2074.3</f>
        <v>31119.7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397"/>
        <v>15317.199999999999</v>
      </c>
      <c r="FG110" s="49">
        <f t="shared" ref="FG110:FG121" si="408">+DB110</f>
        <v>16595.3</v>
      </c>
      <c r="FH110" s="49">
        <f t="shared" si="399"/>
        <v>16884.7</v>
      </c>
      <c r="FI110" s="49">
        <f t="shared" si="400"/>
        <v>16238.6</v>
      </c>
      <c r="FJ110" s="49">
        <f t="shared" si="401"/>
        <v>25225.3</v>
      </c>
    </row>
    <row r="111" spans="1:175" s="49" customFormat="1" x14ac:dyDescent="0.2">
      <c r="A111" s="98"/>
      <c r="B111" s="50" t="s">
        <v>293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>
        <v>1072.2</v>
      </c>
      <c r="BO111" s="51">
        <v>1183.2</v>
      </c>
      <c r="BP111" s="51">
        <v>1187.5999999999999</v>
      </c>
      <c r="BQ111" s="51">
        <v>1154.3</v>
      </c>
      <c r="BR111" s="51">
        <v>1125.2</v>
      </c>
      <c r="BS111" s="51">
        <v>1246.3</v>
      </c>
      <c r="BT111" s="51">
        <v>1201.5999999999999</v>
      </c>
      <c r="BU111" s="51">
        <v>1328.7</v>
      </c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1168.0999999999999</v>
      </c>
      <c r="CV111" s="51">
        <v>1198.9000000000001</v>
      </c>
      <c r="CW111" s="51">
        <v>1114.9000000000001</v>
      </c>
      <c r="CX111" s="51">
        <v>1405.3</v>
      </c>
      <c r="CY111" s="51">
        <v>1207.7</v>
      </c>
      <c r="CZ111" s="51">
        <v>1247.2</v>
      </c>
      <c r="DA111" s="51">
        <v>1430.1</v>
      </c>
      <c r="DB111" s="51">
        <v>1606.7</v>
      </c>
      <c r="DC111" s="51">
        <v>1639.6</v>
      </c>
      <c r="DD111" s="51">
        <v>1597.8</v>
      </c>
      <c r="DE111" s="51">
        <v>1566.8</v>
      </c>
      <c r="DF111" s="51">
        <v>1670.6</v>
      </c>
      <c r="DG111" s="51">
        <v>1433.3</v>
      </c>
      <c r="DH111" s="51">
        <v>1659.3</v>
      </c>
      <c r="DI111" s="51">
        <v>1683.2</v>
      </c>
      <c r="DJ111" s="51">
        <v>1930.6</v>
      </c>
      <c r="DK111" s="51">
        <v>2015.9</v>
      </c>
      <c r="DL111" s="51">
        <f>2474.2</f>
        <v>2474.1999999999998</v>
      </c>
      <c r="DM111" s="51">
        <v>2435.1</v>
      </c>
      <c r="DN111" s="51">
        <v>2598.8000000000002</v>
      </c>
      <c r="DO111" s="51">
        <v>2473.6999999999998</v>
      </c>
      <c r="DP111" s="51">
        <v>2924.8</v>
      </c>
      <c r="DQ111" s="51">
        <v>2886.5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397"/>
        <v>1405.3</v>
      </c>
      <c r="FG111" s="49">
        <f t="shared" si="408"/>
        <v>1606.7</v>
      </c>
      <c r="FH111" s="49">
        <f t="shared" si="399"/>
        <v>1670.6</v>
      </c>
      <c r="FI111" s="49">
        <f t="shared" si="400"/>
        <v>1930.6</v>
      </c>
      <c r="FJ111" s="49">
        <f t="shared" si="401"/>
        <v>2598.8000000000002</v>
      </c>
    </row>
    <row r="112" spans="1:175" s="49" customFormat="1" x14ac:dyDescent="0.2">
      <c r="A112" s="98"/>
      <c r="B112" s="50" t="s">
        <v>294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v>851.8</v>
      </c>
      <c r="BO112" s="51">
        <v>524</v>
      </c>
      <c r="BP112" s="51">
        <v>584.70000000000005</v>
      </c>
      <c r="BQ112" s="51">
        <v>689.3</v>
      </c>
      <c r="BR112" s="51">
        <v>804.7</v>
      </c>
      <c r="BS112" s="51">
        <v>533.79999999999995</v>
      </c>
      <c r="BT112" s="51">
        <v>602.9</v>
      </c>
      <c r="BU112" s="51">
        <v>772.7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v>511.7</v>
      </c>
      <c r="CV112" s="51">
        <v>588.20000000000005</v>
      </c>
      <c r="CW112" s="51">
        <v>704.5</v>
      </c>
      <c r="CX112" s="51">
        <v>915.5</v>
      </c>
      <c r="CY112" s="51">
        <v>565.79999999999995</v>
      </c>
      <c r="CZ112" s="51">
        <v>673.6</v>
      </c>
      <c r="DA112" s="51">
        <v>795.6</v>
      </c>
      <c r="DB112" s="51">
        <v>997.2</v>
      </c>
      <c r="DC112" s="51">
        <v>649.9</v>
      </c>
      <c r="DD112" s="51">
        <v>755.5</v>
      </c>
      <c r="DE112" s="51">
        <v>836.6</v>
      </c>
      <c r="DF112" s="51">
        <v>958.1</v>
      </c>
      <c r="DG112" s="51">
        <v>693.1</v>
      </c>
      <c r="DH112" s="51">
        <v>835.8</v>
      </c>
      <c r="DI112" s="51">
        <v>984.1</v>
      </c>
      <c r="DJ112" s="51">
        <v>1059.8</v>
      </c>
      <c r="DK112" s="51">
        <v>739.7</v>
      </c>
      <c r="DL112" s="51">
        <v>867.7</v>
      </c>
      <c r="DM112" s="51">
        <v>1233.2</v>
      </c>
      <c r="DN112" s="51">
        <v>1650.4</v>
      </c>
      <c r="DO112" s="51">
        <v>844.2</v>
      </c>
      <c r="DP112" s="51">
        <v>1168.3</v>
      </c>
      <c r="DQ112" s="51">
        <v>1703.3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397"/>
        <v>915.5</v>
      </c>
      <c r="FG112" s="49">
        <f t="shared" si="408"/>
        <v>997.2</v>
      </c>
      <c r="FH112" s="49">
        <f t="shared" si="399"/>
        <v>958.1</v>
      </c>
      <c r="FI112" s="49">
        <f t="shared" si="400"/>
        <v>1059.8</v>
      </c>
      <c r="FJ112" s="49">
        <f t="shared" si="401"/>
        <v>1650.4</v>
      </c>
    </row>
    <row r="113" spans="1:166" s="49" customFormat="1" x14ac:dyDescent="0.2">
      <c r="A113" s="98"/>
      <c r="B113" s="50" t="s">
        <v>295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>
        <v>1372.6</v>
      </c>
      <c r="BO113" s="51">
        <v>1489.5</v>
      </c>
      <c r="BP113" s="51">
        <v>1807.6</v>
      </c>
      <c r="BQ113" s="51">
        <v>1882.3</v>
      </c>
      <c r="BR113" s="51">
        <v>1771.3</v>
      </c>
      <c r="BS113" s="51">
        <v>1619.8</v>
      </c>
      <c r="BT113" s="51">
        <v>1628.6</v>
      </c>
      <c r="BU113" s="51">
        <v>1695.6</v>
      </c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>
        <v>4455.7</v>
      </c>
      <c r="CV113" s="51">
        <v>4993.7</v>
      </c>
      <c r="CW113" s="51">
        <v>5277</v>
      </c>
      <c r="CX113" s="51">
        <v>4933.6000000000004</v>
      </c>
      <c r="CY113" s="51">
        <v>4703.8999999999996</v>
      </c>
      <c r="CZ113" s="51">
        <v>5282.2</v>
      </c>
      <c r="DA113" s="51">
        <v>5745.2</v>
      </c>
      <c r="DB113" s="51">
        <v>5853</v>
      </c>
      <c r="DC113" s="51">
        <v>5821.4</v>
      </c>
      <c r="DD113" s="51">
        <v>7035.8</v>
      </c>
      <c r="DE113" s="51">
        <v>7185.6</v>
      </c>
      <c r="DF113" s="51">
        <v>6845.8</v>
      </c>
      <c r="DG113" s="51">
        <v>6768.7</v>
      </c>
      <c r="DH113" s="51">
        <v>7991.4</v>
      </c>
      <c r="DI113" s="51">
        <v>8568.4</v>
      </c>
      <c r="DJ113" s="51">
        <v>8784.1</v>
      </c>
      <c r="DK113" s="51">
        <v>9529.5</v>
      </c>
      <c r="DL113" s="51">
        <v>10389.9</v>
      </c>
      <c r="DM113" s="51">
        <v>11522.3</v>
      </c>
      <c r="DN113" s="51">
        <v>11689</v>
      </c>
      <c r="DO113" s="51">
        <v>9429.6</v>
      </c>
      <c r="DP113" s="51">
        <v>12446.8</v>
      </c>
      <c r="DQ113" s="51">
        <v>12429.7</v>
      </c>
      <c r="DR113" s="51"/>
      <c r="DS113" s="51"/>
      <c r="DT113" s="51"/>
      <c r="DU113" s="51"/>
      <c r="DV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F113" s="49">
        <f t="shared" si="397"/>
        <v>4933.6000000000004</v>
      </c>
      <c r="FG113" s="49">
        <f t="shared" si="408"/>
        <v>5853</v>
      </c>
      <c r="FH113" s="49">
        <f t="shared" si="399"/>
        <v>6845.8</v>
      </c>
      <c r="FI113" s="49">
        <f t="shared" si="400"/>
        <v>8784.1</v>
      </c>
      <c r="FJ113" s="49">
        <f t="shared" si="401"/>
        <v>11689</v>
      </c>
    </row>
    <row r="114" spans="1:166" s="49" customFormat="1" x14ac:dyDescent="0.2">
      <c r="A114" s="98"/>
      <c r="B114" s="50" t="s">
        <v>296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v>540</v>
      </c>
      <c r="BO114" s="51">
        <v>0</v>
      </c>
      <c r="BP114" s="51">
        <v>542.29999999999995</v>
      </c>
      <c r="BQ114" s="51">
        <v>0</v>
      </c>
      <c r="BR114" s="51">
        <v>542.29999999999995</v>
      </c>
      <c r="BS114" s="51">
        <v>0</v>
      </c>
      <c r="BT114" s="51">
        <v>543.6</v>
      </c>
      <c r="BU114" s="51">
        <v>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v>0</v>
      </c>
      <c r="CV114" s="51">
        <v>593.9</v>
      </c>
      <c r="CW114" s="51">
        <v>0</v>
      </c>
      <c r="CX114" s="51">
        <v>671.5</v>
      </c>
      <c r="CY114" s="51">
        <v>0</v>
      </c>
      <c r="CZ114" s="51">
        <v>0</v>
      </c>
      <c r="DA114" s="51">
        <v>0</v>
      </c>
      <c r="DB114" s="51">
        <v>770.6</v>
      </c>
      <c r="DC114" s="51">
        <v>0</v>
      </c>
      <c r="DD114" s="51">
        <v>770.8</v>
      </c>
      <c r="DE114" s="51">
        <v>0</v>
      </c>
      <c r="DF114" s="51">
        <v>885.5</v>
      </c>
      <c r="DG114" s="51">
        <v>0</v>
      </c>
      <c r="DH114" s="51">
        <v>882.2</v>
      </c>
      <c r="DI114" s="51">
        <v>0</v>
      </c>
      <c r="DJ114" s="51">
        <v>1017.2</v>
      </c>
      <c r="DK114" s="51">
        <v>0</v>
      </c>
      <c r="DL114" s="51">
        <v>1016.2</v>
      </c>
      <c r="DM114" s="51">
        <v>0</v>
      </c>
      <c r="DN114" s="51">
        <v>1169.2</v>
      </c>
      <c r="DO114" s="51">
        <v>0</v>
      </c>
      <c r="DP114" s="51">
        <v>1170.5</v>
      </c>
      <c r="DQ114" s="51">
        <v>0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397"/>
        <v>671.5</v>
      </c>
      <c r="FG114" s="49">
        <f t="shared" si="408"/>
        <v>770.6</v>
      </c>
      <c r="FH114" s="49">
        <f t="shared" si="399"/>
        <v>885.5</v>
      </c>
      <c r="FI114" s="49">
        <f t="shared" si="400"/>
        <v>1017.2</v>
      </c>
      <c r="FJ114" s="49">
        <f t="shared" si="401"/>
        <v>1169.2</v>
      </c>
    </row>
    <row r="115" spans="1:166" s="49" customFormat="1" x14ac:dyDescent="0.2">
      <c r="A115" s="98"/>
      <c r="B115" s="50" t="s">
        <v>82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457.5</v>
      </c>
      <c r="BO115" s="51">
        <v>315.2</v>
      </c>
      <c r="BP115" s="51">
        <v>183.1</v>
      </c>
      <c r="BQ115" s="51">
        <v>144.4</v>
      </c>
      <c r="BR115" s="51">
        <v>261.60000000000002</v>
      </c>
      <c r="BS115" s="51">
        <v>388.8</v>
      </c>
      <c r="BT115" s="51">
        <v>33.5</v>
      </c>
      <c r="BU115" s="51">
        <v>338.2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491.4</v>
      </c>
      <c r="CV115" s="51">
        <v>222.9</v>
      </c>
      <c r="CW115" s="51">
        <v>180.7</v>
      </c>
      <c r="CX115" s="51">
        <v>160.6</v>
      </c>
      <c r="CY115" s="51">
        <v>667.4</v>
      </c>
      <c r="CZ115" s="51">
        <v>1460.8</v>
      </c>
      <c r="DA115" s="51">
        <v>1173.5</v>
      </c>
      <c r="DB115" s="51">
        <v>495.1</v>
      </c>
      <c r="DC115" s="51">
        <v>791.6</v>
      </c>
      <c r="DD115" s="51">
        <v>529.9</v>
      </c>
      <c r="DE115" s="51">
        <v>203.5</v>
      </c>
      <c r="DF115" s="51">
        <v>126.9</v>
      </c>
      <c r="DG115" s="51">
        <v>598.29999999999995</v>
      </c>
      <c r="DH115" s="51">
        <v>126.6</v>
      </c>
      <c r="DI115" s="51">
        <v>685.6</v>
      </c>
      <c r="DJ115" s="51">
        <v>475.1</v>
      </c>
      <c r="DK115" s="51">
        <v>1528.3</v>
      </c>
      <c r="DL115" s="51">
        <v>1233.8</v>
      </c>
      <c r="DM115" s="51">
        <v>1977.5</v>
      </c>
      <c r="DN115" s="51">
        <v>0</v>
      </c>
      <c r="DO115" s="51">
        <v>0</v>
      </c>
      <c r="DP115" s="51">
        <v>0</v>
      </c>
      <c r="DQ115" s="51">
        <v>0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397"/>
        <v>160.6</v>
      </c>
      <c r="FG115" s="49">
        <f t="shared" si="408"/>
        <v>495.1</v>
      </c>
      <c r="FH115" s="49">
        <f t="shared" si="399"/>
        <v>126.9</v>
      </c>
      <c r="FI115" s="49">
        <f t="shared" si="400"/>
        <v>475.1</v>
      </c>
      <c r="FJ115" s="49">
        <f t="shared" si="401"/>
        <v>0</v>
      </c>
    </row>
    <row r="116" spans="1:166" s="49" customFormat="1" x14ac:dyDescent="0.2">
      <c r="A116" s="98"/>
      <c r="B116" s="50" t="s">
        <v>297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2651.3</v>
      </c>
      <c r="BO116" s="51">
        <v>2600</v>
      </c>
      <c r="BP116" s="51">
        <v>2786.7</v>
      </c>
      <c r="BQ116" s="51">
        <v>2720.3</v>
      </c>
      <c r="BR116" s="51">
        <v>2903.5</v>
      </c>
      <c r="BS116" s="51">
        <v>2754.4</v>
      </c>
      <c r="BT116" s="51">
        <v>2590.4</v>
      </c>
      <c r="BU116" s="51">
        <v>2816.4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2254.3000000000002</v>
      </c>
      <c r="CV116" s="51">
        <v>2189.1999999999998</v>
      </c>
      <c r="CW116" s="51">
        <v>1988.4</v>
      </c>
      <c r="CX116" s="51">
        <v>2189.4</v>
      </c>
      <c r="CY116" s="51">
        <v>2217.4</v>
      </c>
      <c r="CZ116" s="51">
        <v>2060.9</v>
      </c>
      <c r="DA116" s="51">
        <v>2245</v>
      </c>
      <c r="DB116" s="51">
        <v>2750.3</v>
      </c>
      <c r="DC116" s="51">
        <v>2806.8</v>
      </c>
      <c r="DD116" s="51">
        <v>2624.9</v>
      </c>
      <c r="DE116" s="51">
        <v>2326.5</v>
      </c>
      <c r="DF116" s="51">
        <v>3027.5</v>
      </c>
      <c r="DG116" s="51">
        <v>2536.6999999999998</v>
      </c>
      <c r="DH116" s="51">
        <v>2003.5</v>
      </c>
      <c r="DI116" s="51">
        <v>1986.9</v>
      </c>
      <c r="DJ116" s="51">
        <v>2370.3000000000002</v>
      </c>
      <c r="DK116" s="51">
        <v>2193.5</v>
      </c>
      <c r="DL116" s="51">
        <v>2271.6</v>
      </c>
      <c r="DM116" s="51">
        <v>2585.4</v>
      </c>
      <c r="DN116" s="51">
        <v>3281.3</v>
      </c>
      <c r="DO116" s="51">
        <v>4199.1000000000004</v>
      </c>
      <c r="DP116" s="51">
        <v>4249.2</v>
      </c>
      <c r="DQ116" s="51">
        <v>5580.3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397"/>
        <v>2189.4</v>
      </c>
      <c r="FG116" s="49">
        <f t="shared" si="408"/>
        <v>2750.3</v>
      </c>
      <c r="FH116" s="49">
        <f t="shared" si="399"/>
        <v>3027.5</v>
      </c>
      <c r="FI116" s="49">
        <f t="shared" si="400"/>
        <v>2370.3000000000002</v>
      </c>
      <c r="FJ116" s="49">
        <f t="shared" si="401"/>
        <v>3281.3</v>
      </c>
    </row>
    <row r="117" spans="1:166" s="49" customFormat="1" x14ac:dyDescent="0.2">
      <c r="A117" s="98"/>
      <c r="B117" s="50" t="s">
        <v>298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1887.4</v>
      </c>
      <c r="BO117" s="51">
        <v>1866.4</v>
      </c>
      <c r="BP117" s="51">
        <v>1848.6</v>
      </c>
      <c r="BQ117" s="51">
        <v>1805.9</v>
      </c>
      <c r="BR117" s="51">
        <v>3068.5</v>
      </c>
      <c r="BS117" s="51">
        <v>2766.5</v>
      </c>
      <c r="BT117" s="51">
        <v>2714.5</v>
      </c>
      <c r="BU117" s="51">
        <v>2702.4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2757.6</v>
      </c>
      <c r="CV117" s="51">
        <v>2723.4</v>
      </c>
      <c r="CW117" s="51">
        <v>2414.1999999999998</v>
      </c>
      <c r="CX117" s="51">
        <v>3698.2</v>
      </c>
      <c r="CY117" s="51">
        <v>3632</v>
      </c>
      <c r="CZ117" s="51">
        <v>3398.6</v>
      </c>
      <c r="DA117" s="51">
        <v>3435.5</v>
      </c>
      <c r="DB117" s="51">
        <v>4094.5</v>
      </c>
      <c r="DC117" s="51">
        <v>3969.8</v>
      </c>
      <c r="DD117" s="51">
        <v>3918.5</v>
      </c>
      <c r="DE117" s="51">
        <v>3878.8</v>
      </c>
      <c r="DF117" s="51">
        <v>1954.1</v>
      </c>
      <c r="DG117" s="51">
        <v>1940.3</v>
      </c>
      <c r="DH117" s="51">
        <v>1888.6</v>
      </c>
      <c r="DI117" s="51">
        <v>1832.5</v>
      </c>
      <c r="DJ117" s="51">
        <v>1305.0999999999999</v>
      </c>
      <c r="DK117" s="51">
        <v>1313</v>
      </c>
      <c r="DL117" s="51">
        <v>1308.8</v>
      </c>
      <c r="DM117" s="51">
        <v>1311.9</v>
      </c>
      <c r="DN117" s="51">
        <v>1438.8</v>
      </c>
      <c r="DO117" s="51">
        <v>1427.9</v>
      </c>
      <c r="DP117" s="51">
        <v>1420.4</v>
      </c>
      <c r="DQ117" s="51">
        <v>1448.5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397"/>
        <v>3698.2</v>
      </c>
      <c r="FG117" s="49">
        <f t="shared" si="408"/>
        <v>4094.5</v>
      </c>
      <c r="FH117" s="49">
        <f t="shared" si="399"/>
        <v>1954.1</v>
      </c>
      <c r="FI117" s="49">
        <f t="shared" si="400"/>
        <v>1305.0999999999999</v>
      </c>
      <c r="FJ117" s="49">
        <f t="shared" si="401"/>
        <v>1438.8</v>
      </c>
    </row>
    <row r="118" spans="1:166" s="49" customFormat="1" x14ac:dyDescent="0.2">
      <c r="A118" s="98"/>
      <c r="B118" s="50" t="s">
        <v>82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1234.8</v>
      </c>
      <c r="BO118" s="51">
        <v>1224.3</v>
      </c>
      <c r="BP118" s="51">
        <v>1283</v>
      </c>
      <c r="BQ118" s="51">
        <v>1058.8</v>
      </c>
      <c r="BR118" s="51">
        <v>1086.3</v>
      </c>
      <c r="BS118" s="51">
        <v>1158.3</v>
      </c>
      <c r="BT118" s="51">
        <v>1207.5</v>
      </c>
      <c r="BU118" s="51">
        <v>1275.0999999999999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f>3760.4+2399.5</f>
        <v>6159.9</v>
      </c>
      <c r="CV118" s="51">
        <f>2380.9+3485.7</f>
        <v>5866.6</v>
      </c>
      <c r="CW118" s="51">
        <f>3526.5+2413.7</f>
        <v>5940.2</v>
      </c>
      <c r="CX118" s="51">
        <f>3607.2+1014.3</f>
        <v>4621.5</v>
      </c>
      <c r="CY118" s="51">
        <f>3621.9+2186.2</f>
        <v>5808.1</v>
      </c>
      <c r="CZ118" s="51">
        <f>3377.5+2039.2</f>
        <v>5416.7</v>
      </c>
      <c r="DA118" s="51">
        <f>3392.7+2107.7</f>
        <v>5500.4</v>
      </c>
      <c r="DB118" s="51">
        <f>3837.8+2099.9</f>
        <v>5937.7000000000007</v>
      </c>
      <c r="DC118" s="51">
        <f>3917.5+2200.6</f>
        <v>6118.1</v>
      </c>
      <c r="DD118" s="51">
        <f>3738+1857.3</f>
        <v>5595.3</v>
      </c>
      <c r="DE118" s="51">
        <f>3768.5+1632.5</f>
        <v>5401</v>
      </c>
      <c r="DF118" s="51">
        <f>3920+1733.7</f>
        <v>5653.7</v>
      </c>
      <c r="DG118" s="51">
        <f>1286.1+3978.1</f>
        <v>5264.2</v>
      </c>
      <c r="DH118" s="51">
        <f>3557.6+862.5</f>
        <v>4420.1000000000004</v>
      </c>
      <c r="DI118" s="51">
        <f>3641.7+171.9</f>
        <v>3813.6</v>
      </c>
      <c r="DJ118" s="51">
        <f>3709.6+87.3</f>
        <v>3796.9</v>
      </c>
      <c r="DK118" s="51">
        <v>3842.1</v>
      </c>
      <c r="DL118" s="51">
        <v>3330.7</v>
      </c>
      <c r="DM118" s="51">
        <v>3468.3</v>
      </c>
      <c r="DN118" s="51">
        <v>3849.2</v>
      </c>
      <c r="DO118" s="51">
        <v>4189.3999999999996</v>
      </c>
      <c r="DP118" s="51">
        <v>3496.6</v>
      </c>
      <c r="DQ118" s="51">
        <v>3878.8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397"/>
        <v>4621.5</v>
      </c>
      <c r="FG118" s="49">
        <f t="shared" si="408"/>
        <v>5937.7000000000007</v>
      </c>
      <c r="FH118" s="49">
        <f t="shared" si="399"/>
        <v>5653.7</v>
      </c>
      <c r="FI118" s="49">
        <f t="shared" si="400"/>
        <v>3796.9</v>
      </c>
      <c r="FJ118" s="49">
        <f t="shared" si="401"/>
        <v>3849.2</v>
      </c>
    </row>
    <row r="119" spans="1:166" s="49" customFormat="1" x14ac:dyDescent="0.2">
      <c r="A119" s="98"/>
      <c r="B119" s="50" t="s">
        <v>299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1594.5</v>
      </c>
      <c r="BO119" s="51">
        <v>1886.2</v>
      </c>
      <c r="BP119" s="51">
        <v>1550.1</v>
      </c>
      <c r="BQ119" s="51">
        <v>1449</v>
      </c>
      <c r="BR119" s="51">
        <v>1573.8</v>
      </c>
      <c r="BS119" s="51">
        <v>1533.9</v>
      </c>
      <c r="BT119" s="51">
        <v>1472.8</v>
      </c>
      <c r="BU119" s="51">
        <v>1815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f>1169.8+508.2</f>
        <v>1678</v>
      </c>
      <c r="CV119" s="51">
        <f>1142.8+503.3</f>
        <v>1646.1</v>
      </c>
      <c r="CW119" s="51">
        <f>1100.4+485.2</f>
        <v>1585.6000000000001</v>
      </c>
      <c r="CX119" s="51">
        <v>2187.5</v>
      </c>
      <c r="CY119" s="51">
        <v>1873</v>
      </c>
      <c r="CZ119" s="51">
        <v>1826.8</v>
      </c>
      <c r="DA119" s="51">
        <v>1702.6</v>
      </c>
      <c r="DB119" s="51">
        <v>1707.5</v>
      </c>
      <c r="DC119" s="51">
        <v>1737.3</v>
      </c>
      <c r="DD119" s="51">
        <v>1801.9</v>
      </c>
      <c r="DE119" s="51">
        <v>1748.7</v>
      </c>
      <c r="DF119" s="51">
        <v>1644.3</v>
      </c>
      <c r="DG119" s="51">
        <v>1713.9</v>
      </c>
      <c r="DH119" s="51">
        <v>1783.1</v>
      </c>
      <c r="DI119" s="51">
        <v>1852.9</v>
      </c>
      <c r="DJ119" s="51">
        <v>1736.7</v>
      </c>
      <c r="DK119" s="51">
        <v>1822.5</v>
      </c>
      <c r="DL119" s="51">
        <v>1951.8</v>
      </c>
      <c r="DM119" s="51">
        <v>1906.1</v>
      </c>
      <c r="DN119" s="51">
        <v>2240.6</v>
      </c>
      <c r="DO119" s="51">
        <v>2270.8000000000002</v>
      </c>
      <c r="DP119" s="51">
        <v>2470.6999999999998</v>
      </c>
      <c r="DQ119" s="51">
        <v>2239.4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397"/>
        <v>2187.5</v>
      </c>
      <c r="FG119" s="49">
        <f t="shared" si="408"/>
        <v>1707.5</v>
      </c>
      <c r="FH119" s="49">
        <f t="shared" si="399"/>
        <v>1644.3</v>
      </c>
      <c r="FI119" s="49">
        <f t="shared" si="400"/>
        <v>1736.7</v>
      </c>
      <c r="FJ119" s="49">
        <f t="shared" si="401"/>
        <v>2240.6</v>
      </c>
    </row>
    <row r="120" spans="1:166" s="49" customFormat="1" x14ac:dyDescent="0.2">
      <c r="A120" s="98"/>
      <c r="B120" s="50" t="s">
        <v>300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12412.8</v>
      </c>
      <c r="BO120" s="51">
        <v>13934.2</v>
      </c>
      <c r="BP120" s="51">
        <v>14277</v>
      </c>
      <c r="BQ120" s="51">
        <v>15057.9</v>
      </c>
      <c r="BR120" s="51">
        <v>13535.6</v>
      </c>
      <c r="BS120" s="51">
        <v>14822.6</v>
      </c>
      <c r="BT120" s="51">
        <v>14307.9</v>
      </c>
      <c r="BU120" s="51">
        <v>16056.9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2565</v>
      </c>
      <c r="CV120" s="51">
        <v>2857.3</v>
      </c>
      <c r="CW120" s="51">
        <v>3462.3</v>
      </c>
      <c r="CX120" s="51">
        <f>2699.1+486.7</f>
        <v>3185.7999999999997</v>
      </c>
      <c r="CY120" s="51">
        <v>3197.2</v>
      </c>
      <c r="CZ120" s="51">
        <v>4272</v>
      </c>
      <c r="DA120" s="51">
        <v>4996</v>
      </c>
      <c r="DB120" s="51">
        <v>5825.2</v>
      </c>
      <c r="DC120" s="51">
        <v>7099.3</v>
      </c>
      <c r="DD120" s="51">
        <v>6663.5</v>
      </c>
      <c r="DE120" s="51">
        <v>7954.1</v>
      </c>
      <c r="DF120" s="51">
        <v>9154.7999999999993</v>
      </c>
      <c r="DG120" s="51">
        <v>9462</v>
      </c>
      <c r="DH120" s="51">
        <v>8659.2000000000007</v>
      </c>
      <c r="DI120" s="51">
        <v>10165.9</v>
      </c>
      <c r="DJ120" s="51">
        <v>10775.4</v>
      </c>
      <c r="DK120" s="51">
        <v>11294.9</v>
      </c>
      <c r="DL120" s="51">
        <v>11149.3</v>
      </c>
      <c r="DM120" s="51">
        <v>11307.4</v>
      </c>
      <c r="DN120" s="51">
        <v>10863.7</v>
      </c>
      <c r="DO120" s="51">
        <v>12897.4</v>
      </c>
      <c r="DP120" s="51">
        <v>13635.5</v>
      </c>
      <c r="DQ120" s="51">
        <v>14320.7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397"/>
        <v>3185.7999999999997</v>
      </c>
      <c r="FG120" s="49">
        <f t="shared" si="408"/>
        <v>5825.2</v>
      </c>
      <c r="FH120" s="49">
        <f t="shared" si="399"/>
        <v>9154.7999999999993</v>
      </c>
      <c r="FI120" s="49">
        <f t="shared" si="400"/>
        <v>10775.4</v>
      </c>
      <c r="FJ120" s="49">
        <f t="shared" si="401"/>
        <v>10863.7</v>
      </c>
    </row>
    <row r="121" spans="1:166" s="49" customFormat="1" x14ac:dyDescent="0.2">
      <c r="A121" s="98"/>
      <c r="B121" s="50" t="s">
        <v>301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f>SUM(BN110:BN120)</f>
        <v>31001.4</v>
      </c>
      <c r="BO121" s="51">
        <f>SUM(BO110:BO120)</f>
        <v>31695.3</v>
      </c>
      <c r="BP121" s="51">
        <f t="shared" ref="BP121" si="409">SUM(BP110:BP120)</f>
        <v>32779.300000000003</v>
      </c>
      <c r="BQ121" s="51">
        <f>SUM(BQ110:BQ120)</f>
        <v>33042.199999999997</v>
      </c>
      <c r="BR121" s="51">
        <f>SUM(BR110:BR120)</f>
        <v>33659.799999999996</v>
      </c>
      <c r="BS121" s="51">
        <f>SUM(BS110:BS120)</f>
        <v>32238.199999999997</v>
      </c>
      <c r="BT121" s="51">
        <f>SUM(BT110:BT120)</f>
        <v>31812.6</v>
      </c>
      <c r="BU121" s="51">
        <f>SUM(BU110:BU120)</f>
        <v>34321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f t="shared" ref="CU121:CV121" si="410">SUM(CU110:CU120)</f>
        <v>38006.800000000003</v>
      </c>
      <c r="CV121" s="51">
        <f t="shared" si="410"/>
        <v>38666.400000000009</v>
      </c>
      <c r="CW121" s="51">
        <f t="shared" ref="CW121:CX121" si="411">SUM(CW110:CW120)</f>
        <v>37893.100000000006</v>
      </c>
      <c r="CX121" s="51">
        <f t="shared" si="411"/>
        <v>39286.100000000006</v>
      </c>
      <c r="CY121" s="51">
        <f t="shared" ref="CY121:DB121" si="412">SUM(CY110:CY120)</f>
        <v>41102.799999999996</v>
      </c>
      <c r="CZ121" s="51">
        <f t="shared" ref="CZ121" si="413">SUM(CZ110:CZ120)</f>
        <v>41967</v>
      </c>
      <c r="DA121" s="51">
        <f t="shared" si="412"/>
        <v>43945.999999999993</v>
      </c>
      <c r="DB121" s="51">
        <f t="shared" si="412"/>
        <v>46633.099999999991</v>
      </c>
      <c r="DC121" s="51">
        <f t="shared" ref="DC121" si="414">SUM(DC110:DC120)</f>
        <v>46838.3</v>
      </c>
      <c r="DD121" s="51">
        <f t="shared" ref="DD121" si="415">SUM(DD110:DD120)</f>
        <v>47809.000000000007</v>
      </c>
      <c r="DE121" s="51">
        <f t="shared" ref="DE121:DQ121" si="416">SUM(DE110:DE120)</f>
        <v>48187</v>
      </c>
      <c r="DF121" s="51">
        <f t="shared" si="416"/>
        <v>48806</v>
      </c>
      <c r="DG121" s="51">
        <f t="shared" si="416"/>
        <v>46919.299999999996</v>
      </c>
      <c r="DH121" s="51">
        <f t="shared" si="416"/>
        <v>47063.599999999991</v>
      </c>
      <c r="DI121" s="51">
        <f t="shared" si="416"/>
        <v>47461.5</v>
      </c>
      <c r="DJ121" s="51">
        <f t="shared" si="416"/>
        <v>49489.799999999996</v>
      </c>
      <c r="DK121" s="51">
        <f t="shared" si="416"/>
        <v>53163</v>
      </c>
      <c r="DL121" s="51">
        <f t="shared" si="416"/>
        <v>54814</v>
      </c>
      <c r="DM121" s="51">
        <f t="shared" si="416"/>
        <v>57915.5</v>
      </c>
      <c r="DN121" s="51">
        <f t="shared" si="416"/>
        <v>64006.3</v>
      </c>
      <c r="DO121" s="51">
        <f t="shared" si="416"/>
        <v>63943.500000000007</v>
      </c>
      <c r="DP121" s="51">
        <f t="shared" si="416"/>
        <v>71874.799999999988</v>
      </c>
      <c r="DQ121" s="51">
        <f t="shared" si="416"/>
        <v>75606.900000000009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397"/>
        <v>39286.100000000006</v>
      </c>
      <c r="FG121" s="49">
        <f t="shared" si="408"/>
        <v>46633.099999999991</v>
      </c>
      <c r="FH121" s="49">
        <f t="shared" si="399"/>
        <v>48806</v>
      </c>
      <c r="FI121" s="49">
        <f t="shared" si="400"/>
        <v>49489.799999999996</v>
      </c>
      <c r="FJ121" s="49">
        <f t="shared" si="401"/>
        <v>64006.3</v>
      </c>
    </row>
    <row r="122" spans="1:166" x14ac:dyDescent="0.2">
      <c r="A122" s="102"/>
      <c r="FG122" s="49"/>
      <c r="FH122" s="49"/>
      <c r="FI122" s="49"/>
    </row>
    <row r="123" spans="1:166" x14ac:dyDescent="0.2">
      <c r="A123" s="102"/>
      <c r="B123" s="50" t="s">
        <v>387</v>
      </c>
      <c r="CU123" s="51">
        <f t="shared" ref="CU123:CX123" si="417">CU77</f>
        <v>1094.6999999999975</v>
      </c>
      <c r="CV123" s="51">
        <f t="shared" si="417"/>
        <v>1329.0000000000009</v>
      </c>
      <c r="CW123" s="51">
        <f t="shared" si="417"/>
        <v>1294.8000000000011</v>
      </c>
      <c r="CX123" s="51">
        <f t="shared" si="417"/>
        <v>1354.7999999999995</v>
      </c>
      <c r="CY123" s="51">
        <f t="shared" ref="CY123:DB123" si="418">CY77</f>
        <v>1431.4999999999975</v>
      </c>
      <c r="CZ123" s="51">
        <f t="shared" si="418"/>
        <v>1228.4999999999986</v>
      </c>
      <c r="DA123" s="51">
        <f t="shared" si="418"/>
        <v>1164.1999999999989</v>
      </c>
      <c r="DB123" s="51">
        <f t="shared" si="418"/>
        <v>1892.6999999999991</v>
      </c>
      <c r="DC123" s="51">
        <f t="shared" ref="DC123:DJ123" si="419">DC77</f>
        <v>1777.5000000000007</v>
      </c>
      <c r="DD123" s="51">
        <f t="shared" si="419"/>
        <v>1698.2999999999972</v>
      </c>
      <c r="DE123" s="51">
        <f t="shared" si="419"/>
        <v>1693.5999999999979</v>
      </c>
      <c r="DF123" s="51">
        <f t="shared" si="419"/>
        <v>2207.1999999999994</v>
      </c>
      <c r="DG123" s="51">
        <f t="shared" si="419"/>
        <v>2538.4999999999991</v>
      </c>
      <c r="DH123" s="51">
        <f t="shared" si="419"/>
        <v>1703.7000000000016</v>
      </c>
      <c r="DI123" s="51">
        <f t="shared" si="419"/>
        <v>1720.4999999999993</v>
      </c>
      <c r="DJ123" s="51">
        <f t="shared" si="419"/>
        <v>2026.900000000001</v>
      </c>
      <c r="DK123" s="51">
        <f t="shared" ref="DK123:DP123" si="420">+DK77</f>
        <v>1504.4999999999991</v>
      </c>
      <c r="DL123" s="51">
        <f t="shared" si="420"/>
        <v>1481.3999999999992</v>
      </c>
      <c r="DM123" s="51">
        <f t="shared" si="420"/>
        <v>2633.9399999999978</v>
      </c>
      <c r="DN123" s="51">
        <f t="shared" si="420"/>
        <v>2976.9000000000019</v>
      </c>
      <c r="DO123" s="51">
        <f t="shared" si="420"/>
        <v>2388.1999999999998</v>
      </c>
      <c r="DP123" s="51">
        <f t="shared" si="420"/>
        <v>3701.9999999999982</v>
      </c>
      <c r="DQ123" s="51">
        <f>+DQ77</f>
        <v>4017.8000000000052</v>
      </c>
      <c r="FF123" s="49">
        <f>+DA123</f>
        <v>1164.1999999999989</v>
      </c>
      <c r="FG123" s="49">
        <f>+DB123</f>
        <v>1892.6999999999991</v>
      </c>
      <c r="FH123" s="49">
        <f t="shared" si="399"/>
        <v>2207.1999999999994</v>
      </c>
      <c r="FI123" s="49">
        <f t="shared" si="400"/>
        <v>2026.900000000001</v>
      </c>
      <c r="FJ123" s="49">
        <f>SUM(DK123:DN123)</f>
        <v>8596.739999999998</v>
      </c>
    </row>
    <row r="124" spans="1:166" x14ac:dyDescent="0.2">
      <c r="A124" s="102"/>
      <c r="B124" s="50" t="s">
        <v>388</v>
      </c>
      <c r="CU124" s="51">
        <v>4241.6000000000004</v>
      </c>
      <c r="CV124" s="51">
        <f>5568.8-CU124</f>
        <v>1327.1999999999998</v>
      </c>
      <c r="CW124" s="51">
        <f>6822.7-CV124-CU124</f>
        <v>1253.8999999999996</v>
      </c>
      <c r="CX124" s="51">
        <f>8318.4-CW124-CV124-CU124</f>
        <v>1495.6999999999998</v>
      </c>
      <c r="CY124" s="51">
        <v>1456.5</v>
      </c>
      <c r="CZ124" s="51">
        <f>2868.5-CY124</f>
        <v>1412</v>
      </c>
      <c r="DA124" s="51">
        <f>4076.9-CZ124-CY124</f>
        <v>1208.4000000000001</v>
      </c>
      <c r="DB124" s="51">
        <f>6193.7-DA124-CZ124-CY124</f>
        <v>2116.7999999999993</v>
      </c>
      <c r="DC124" s="51">
        <v>1355.3</v>
      </c>
      <c r="DD124" s="51">
        <f>2745.5-DC124</f>
        <v>1390.2</v>
      </c>
      <c r="DE124" s="51">
        <f>3855.6-DD124-DC124</f>
        <v>1110.0999999999997</v>
      </c>
      <c r="DF124" s="51">
        <f>5581.7-DE124-DD124-DC124</f>
        <v>1726.1000000000006</v>
      </c>
      <c r="DG124" s="51">
        <v>1902.9</v>
      </c>
      <c r="DH124" s="51">
        <f>2855.4-DG124</f>
        <v>952.5</v>
      </c>
      <c r="DI124" s="51">
        <f>4307.1-DH124-DG124</f>
        <v>1451.7000000000003</v>
      </c>
      <c r="DJ124" s="51">
        <f>6244.8-DI124-DH124-DG124</f>
        <v>1937.7000000000003</v>
      </c>
      <c r="DK124" s="51">
        <v>1344.9</v>
      </c>
      <c r="DL124" s="52">
        <f>3108.1-DK124</f>
        <v>1763.1999999999998</v>
      </c>
      <c r="DM124" s="51">
        <f>3050.7-DL124-DK124</f>
        <v>-57.400000000000091</v>
      </c>
      <c r="DN124" s="51">
        <f>5240.4-DM124-DL124-DK124</f>
        <v>2189.6999999999994</v>
      </c>
      <c r="DO124" s="51">
        <v>2242.9</v>
      </c>
      <c r="DP124" s="51">
        <f>5209.9-DO124</f>
        <v>2966.9999999999995</v>
      </c>
      <c r="DQ124" s="51">
        <f>6180.2-DP124-DO124</f>
        <v>970.30000000000018</v>
      </c>
      <c r="FF124" s="49">
        <f t="shared" ref="FF124:FF131" si="421">SUM(CU124:CX124)</f>
        <v>8318.4</v>
      </c>
      <c r="FG124" s="49">
        <f t="shared" ref="FG124:FG131" si="422">SUM(CY124:DB124)</f>
        <v>6193.6999999999989</v>
      </c>
      <c r="FH124" s="49">
        <f t="shared" ref="FH124:FH129" si="423">SUM(DC124:DF124)</f>
        <v>5581.7</v>
      </c>
      <c r="FI124" s="49">
        <f t="shared" ref="FI124:FI129" si="424">SUM(DG124:DJ124)</f>
        <v>6244.8000000000011</v>
      </c>
      <c r="FJ124" s="49">
        <f t="shared" ref="FJ124:FJ129" si="425">SUM(DK124:DN124)</f>
        <v>5240.3999999999996</v>
      </c>
    </row>
    <row r="125" spans="1:166" x14ac:dyDescent="0.2">
      <c r="A125" s="102"/>
      <c r="B125" s="50" t="s">
        <v>389</v>
      </c>
      <c r="CU125" s="51">
        <v>356.5</v>
      </c>
      <c r="CV125" s="51">
        <f>603.9-CU125</f>
        <v>247.39999999999998</v>
      </c>
      <c r="CW125" s="51">
        <f>891.9-CV125-CU125</f>
        <v>288</v>
      </c>
      <c r="CX125" s="51">
        <f>1232.6-CW125-CV125-CU125</f>
        <v>340.69999999999993</v>
      </c>
      <c r="CY125" s="51">
        <v>273.60000000000002</v>
      </c>
      <c r="CZ125" s="51">
        <f>598-CY125</f>
        <v>324.39999999999998</v>
      </c>
      <c r="DA125" s="51">
        <f>956.4-CZ125-CY125</f>
        <v>358.4</v>
      </c>
      <c r="DB125" s="51">
        <f>1323.9-DA125-CZ125-CY125</f>
        <v>367.50000000000011</v>
      </c>
      <c r="DC125" s="51">
        <v>350.3</v>
      </c>
      <c r="DD125" s="51">
        <f>719.6-DC125</f>
        <v>369.3</v>
      </c>
      <c r="DE125" s="51">
        <f>1101.9-DD125-DC125</f>
        <v>382.30000000000013</v>
      </c>
      <c r="DF125" s="51">
        <f>1547.6-DE125-DD125-DC125</f>
        <v>445.69999999999976</v>
      </c>
      <c r="DG125" s="51">
        <v>435.7</v>
      </c>
      <c r="DH125" s="51">
        <f>784.6-DG125</f>
        <v>348.90000000000003</v>
      </c>
      <c r="DI125" s="51">
        <f>1147.5-DH125-DG125</f>
        <v>362.89999999999992</v>
      </c>
      <c r="DJ125" s="51">
        <f>1522.5-DI125-DH125-DG125</f>
        <v>375.00000000000006</v>
      </c>
      <c r="DK125" s="51">
        <v>362.3</v>
      </c>
      <c r="DL125" s="51">
        <f>728.6-DK125</f>
        <v>366.3</v>
      </c>
      <c r="DM125" s="51">
        <f>1139.6-DL125-DK125</f>
        <v>410.99999999999994</v>
      </c>
      <c r="DN125" s="51">
        <f>1527.3-DM125-DL125-DK125</f>
        <v>387.7</v>
      </c>
      <c r="DO125" s="51">
        <v>400.6</v>
      </c>
      <c r="DP125" s="51">
        <f>815-DO125</f>
        <v>414.4</v>
      </c>
      <c r="DQ125" s="51">
        <f>1281.8-DP125-DO125</f>
        <v>466.79999999999995</v>
      </c>
      <c r="FF125" s="49">
        <f t="shared" si="421"/>
        <v>1232.5999999999999</v>
      </c>
      <c r="FG125" s="49">
        <f t="shared" si="422"/>
        <v>1323.9</v>
      </c>
      <c r="FH125" s="49">
        <f t="shared" si="423"/>
        <v>1547.6</v>
      </c>
      <c r="FI125" s="49">
        <f t="shared" si="424"/>
        <v>1522.5</v>
      </c>
      <c r="FJ125" s="49">
        <f t="shared" si="425"/>
        <v>1527.3</v>
      </c>
    </row>
    <row r="126" spans="1:166" x14ac:dyDescent="0.2">
      <c r="A126" s="102"/>
      <c r="B126" s="50" t="s">
        <v>385</v>
      </c>
      <c r="CU126" s="51">
        <v>-72.400000000000006</v>
      </c>
      <c r="CV126" s="51">
        <f>-11.3-CU126</f>
        <v>61.100000000000009</v>
      </c>
      <c r="CW126" s="51">
        <f>-23.4-CV126-CU126</f>
        <v>-12.099999999999994</v>
      </c>
      <c r="CX126" s="51">
        <f>62.4-CW126-CV126-CU126</f>
        <v>85.8</v>
      </c>
      <c r="CY126" s="51">
        <v>11.2</v>
      </c>
      <c r="CZ126" s="51">
        <f>-93.5-CY126</f>
        <v>-104.7</v>
      </c>
      <c r="DA126" s="51">
        <f>66.2-CZ126-CY126</f>
        <v>159.70000000000002</v>
      </c>
      <c r="DB126" s="51">
        <f>-134.5-DA126-CZ126-CY126</f>
        <v>-200.70000000000005</v>
      </c>
      <c r="DC126" s="51">
        <v>-119.1</v>
      </c>
      <c r="DD126" s="51">
        <f>-413.8-DC126</f>
        <v>-294.70000000000005</v>
      </c>
      <c r="DE126" s="51">
        <f>-709.8-DD126-DC126</f>
        <v>-295.99999999999989</v>
      </c>
      <c r="DF126" s="51">
        <f>-802.3-DE126-DD126-DC126</f>
        <v>-92.500000000000028</v>
      </c>
      <c r="DG126" s="51">
        <v>-506.6</v>
      </c>
      <c r="DH126" s="51">
        <f>-1125-DG126</f>
        <v>-618.4</v>
      </c>
      <c r="DI126" s="51">
        <f>-2195.6-DH126-DG126</f>
        <v>-1070.5999999999999</v>
      </c>
      <c r="DJ126" s="51">
        <f>-2185.2-DI126-DH126-DG126</f>
        <v>10.400000000000091</v>
      </c>
      <c r="DK126" s="51">
        <v>-559.4</v>
      </c>
      <c r="DL126" s="51">
        <f>-990.5-DK126</f>
        <v>-431.1</v>
      </c>
      <c r="DM126" s="51">
        <f>-1834.8-DL126-DK126</f>
        <v>-844.29999999999984</v>
      </c>
      <c r="DN126" s="51">
        <f>-2341-DM126-DL126-DK126</f>
        <v>-506.20000000000039</v>
      </c>
      <c r="DO126" s="51">
        <v>-279</v>
      </c>
      <c r="DP126" s="51">
        <f>-1286.6-DO126</f>
        <v>-1007.5999999999999</v>
      </c>
      <c r="DQ126" s="51">
        <f>-1716.4-DP126-DO126</f>
        <v>-429.80000000000018</v>
      </c>
      <c r="FF126" s="49">
        <f t="shared" si="421"/>
        <v>62.400000000000006</v>
      </c>
      <c r="FG126" s="49">
        <f t="shared" si="422"/>
        <v>-134.50000000000003</v>
      </c>
      <c r="FH126" s="49">
        <f t="shared" si="423"/>
        <v>-802.3</v>
      </c>
      <c r="FI126" s="49">
        <f t="shared" si="424"/>
        <v>-2185.1999999999998</v>
      </c>
      <c r="FJ126" s="49">
        <f t="shared" si="425"/>
        <v>-2341</v>
      </c>
    </row>
    <row r="127" spans="1:166" x14ac:dyDescent="0.2">
      <c r="A127" s="102"/>
      <c r="B127" s="50" t="s">
        <v>390</v>
      </c>
      <c r="CU127" s="51">
        <v>75.8</v>
      </c>
      <c r="CV127" s="51">
        <f>155.3-CU127</f>
        <v>79.500000000000014</v>
      </c>
      <c r="CW127" s="51">
        <f>230.8-CV127-CU127</f>
        <v>75.500000000000014</v>
      </c>
      <c r="CX127" s="51">
        <f>312.4-CW127-CV127-CU127</f>
        <v>81.59999999999998</v>
      </c>
      <c r="CY127" s="51">
        <v>71.8</v>
      </c>
      <c r="CZ127" s="51">
        <f>148.6-CY127</f>
        <v>76.8</v>
      </c>
      <c r="DA127" s="51">
        <f>220.3-CZ127-CY127</f>
        <v>71.7</v>
      </c>
      <c r="DB127" s="51">
        <f>308.1-DA127-CZ127-CY127</f>
        <v>87.800000000000026</v>
      </c>
      <c r="DC127" s="51">
        <v>85.5</v>
      </c>
      <c r="DD127" s="51">
        <f>177.4-DC127</f>
        <v>91.9</v>
      </c>
      <c r="DE127" s="51">
        <f>267.5-DD127-DC127</f>
        <v>90.1</v>
      </c>
      <c r="DF127" s="51">
        <f>342.8-DE127-DD127-DC127</f>
        <v>75.300000000000011</v>
      </c>
      <c r="DG127" s="51">
        <v>101</v>
      </c>
      <c r="DH127" s="51">
        <f>193.1-DG127</f>
        <v>92.1</v>
      </c>
      <c r="DI127" s="51">
        <f>278.2-DH127-DG127</f>
        <v>85.1</v>
      </c>
      <c r="DJ127" s="51">
        <f>371.1-DI127-DH127-DG127</f>
        <v>92.9</v>
      </c>
      <c r="DK127" s="51">
        <v>131.19999999999999</v>
      </c>
      <c r="DL127" s="51">
        <f>292.7-DK127</f>
        <v>161.5</v>
      </c>
      <c r="DM127" s="51">
        <f>508.3-DL127-DK127</f>
        <v>215.60000000000002</v>
      </c>
      <c r="DN127" s="51">
        <f>628.5-DM127-DL127-DK127</f>
        <v>120.19999999999999</v>
      </c>
      <c r="DO127" s="51">
        <v>159.4</v>
      </c>
      <c r="DP127" s="51">
        <f>370.5-DO127</f>
        <v>211.1</v>
      </c>
      <c r="DQ127" s="51">
        <f>503.7-DP127-DO127</f>
        <v>133.20000000000002</v>
      </c>
      <c r="FF127" s="49">
        <f t="shared" si="421"/>
        <v>312.39999999999998</v>
      </c>
      <c r="FG127" s="49">
        <f t="shared" si="422"/>
        <v>308.10000000000002</v>
      </c>
      <c r="FH127" s="49">
        <f t="shared" si="423"/>
        <v>342.8</v>
      </c>
      <c r="FI127" s="49">
        <f t="shared" si="424"/>
        <v>371.1</v>
      </c>
      <c r="FJ127" s="49">
        <f t="shared" si="425"/>
        <v>628.5</v>
      </c>
    </row>
    <row r="128" spans="1:166" x14ac:dyDescent="0.2">
      <c r="A128" s="102"/>
      <c r="B128" s="50" t="s">
        <v>391</v>
      </c>
      <c r="CU128" s="51">
        <v>-3680.5</v>
      </c>
      <c r="CV128" s="51">
        <f>-3680.5-CU128</f>
        <v>0</v>
      </c>
      <c r="CW128" s="51">
        <f>-3680.5-CV128-CU128</f>
        <v>0</v>
      </c>
      <c r="CX128" s="51">
        <f>-3680.5-309.8-CW128-CV128-CU128</f>
        <v>-309.80000000000018</v>
      </c>
      <c r="CY128" s="51">
        <v>0</v>
      </c>
      <c r="CZ128" s="51">
        <f>-765-CY128</f>
        <v>-765</v>
      </c>
      <c r="DA128" s="51">
        <f>-909.5-CZ128-CY128</f>
        <v>-144.5</v>
      </c>
      <c r="DB128" s="51">
        <f>-1438.5-DA128-CZ128-CY128</f>
        <v>-529</v>
      </c>
      <c r="DC128" s="51">
        <v>-302.2</v>
      </c>
      <c r="DD128" s="51">
        <f>-518.1-DC128</f>
        <v>-215.90000000000003</v>
      </c>
      <c r="DE128" s="51">
        <f>-271.1-DD128-DC128</f>
        <v>247</v>
      </c>
      <c r="DF128" s="51">
        <f>-178-DE128-DD128-DC128</f>
        <v>93.100000000000023</v>
      </c>
      <c r="DG128" s="51">
        <v>426.1</v>
      </c>
      <c r="DH128" s="51">
        <f>545.6-DG128</f>
        <v>119.5</v>
      </c>
      <c r="DI128" s="51">
        <f>676.4-DH128-DG128</f>
        <v>130.79999999999995</v>
      </c>
      <c r="DJ128" s="51">
        <f>420-DI128-DH128-DG128</f>
        <v>-256.39999999999998</v>
      </c>
      <c r="DK128" s="51">
        <v>14.2</v>
      </c>
      <c r="DL128" s="51">
        <f>80-DK128</f>
        <v>65.8</v>
      </c>
      <c r="DM128" s="51">
        <f>144.5-DL128-DK128</f>
        <v>64.5</v>
      </c>
      <c r="DN128" s="51">
        <f>23.5-DM128-DL128-DK128</f>
        <v>-121</v>
      </c>
      <c r="DO128" s="51">
        <v>-15.8</v>
      </c>
      <c r="DP128" s="51">
        <f>142.2-DO128</f>
        <v>158</v>
      </c>
      <c r="DQ128" s="51">
        <f>29.8-DP128-DO128</f>
        <v>-112.39999999999999</v>
      </c>
      <c r="FF128" s="49">
        <f t="shared" si="421"/>
        <v>-3990.3</v>
      </c>
      <c r="FG128" s="49">
        <f t="shared" si="422"/>
        <v>-1438.5</v>
      </c>
      <c r="FH128" s="49">
        <f t="shared" si="423"/>
        <v>-178</v>
      </c>
      <c r="FI128" s="49">
        <f t="shared" si="424"/>
        <v>420</v>
      </c>
      <c r="FJ128" s="49">
        <f t="shared" si="425"/>
        <v>23.5</v>
      </c>
    </row>
    <row r="129" spans="1:166" x14ac:dyDescent="0.2">
      <c r="A129" s="102"/>
      <c r="B129" s="50" t="s">
        <v>392</v>
      </c>
      <c r="CU129" s="51">
        <v>136.9</v>
      </c>
      <c r="CV129" s="51">
        <f>161.9-CU129</f>
        <v>25</v>
      </c>
      <c r="CW129" s="51">
        <f>239.6-CV129-CU129</f>
        <v>77.699999999999989</v>
      </c>
      <c r="CX129" s="51">
        <f>239.6-CW129-CV129-CU129</f>
        <v>0</v>
      </c>
      <c r="CY129" s="51">
        <v>52.3</v>
      </c>
      <c r="CZ129" s="51">
        <f>294.1-CY129</f>
        <v>241.8</v>
      </c>
      <c r="DA129" s="51">
        <f>294.1-CZ129-CY129</f>
        <v>0</v>
      </c>
      <c r="DB129" s="51">
        <f>660.4-DA129-CZ129-CY129</f>
        <v>366.29999999999995</v>
      </c>
      <c r="DC129" s="51">
        <v>299.3</v>
      </c>
      <c r="DD129" s="51">
        <f>324.3-DC129</f>
        <v>25</v>
      </c>
      <c r="DE129" s="51">
        <f>498.3-DD129-DC129</f>
        <v>174</v>
      </c>
      <c r="DF129" s="51">
        <f>874.9-DE129-DD129-DC129</f>
        <v>376.59999999999997</v>
      </c>
      <c r="DG129" s="51">
        <v>153</v>
      </c>
      <c r="DH129" s="51">
        <f>233-DG129</f>
        <v>80</v>
      </c>
      <c r="DI129" s="51">
        <f>252-DH129-DG129</f>
        <v>19</v>
      </c>
      <c r="DJ129" s="51">
        <f>420.9-DI129-DH129-DG129</f>
        <v>168.89999999999998</v>
      </c>
      <c r="DK129" s="51">
        <v>105</v>
      </c>
      <c r="DL129" s="51">
        <f>202.1-DK129</f>
        <v>97.1</v>
      </c>
      <c r="DM129" s="51">
        <f>3177.2-DL129-DK129</f>
        <v>2975.1</v>
      </c>
      <c r="DN129" s="51">
        <f>3799.8-DM129-DL129-DK129</f>
        <v>622.60000000000025</v>
      </c>
      <c r="DO129" s="51">
        <v>110.5</v>
      </c>
      <c r="DP129" s="51">
        <f>264.8-DO129</f>
        <v>154.30000000000001</v>
      </c>
      <c r="DQ129" s="51">
        <f>3091.2-DP129-DO129</f>
        <v>2826.3999999999996</v>
      </c>
      <c r="FF129" s="49">
        <f t="shared" si="421"/>
        <v>239.6</v>
      </c>
      <c r="FG129" s="49">
        <f t="shared" si="422"/>
        <v>660.4</v>
      </c>
      <c r="FH129" s="49">
        <f t="shared" si="423"/>
        <v>874.9</v>
      </c>
      <c r="FI129" s="49">
        <f t="shared" si="424"/>
        <v>420.9</v>
      </c>
      <c r="FJ129" s="49">
        <f t="shared" si="425"/>
        <v>3799.8</v>
      </c>
    </row>
    <row r="130" spans="1:166" x14ac:dyDescent="0.2">
      <c r="A130" s="102"/>
      <c r="B130" s="50" t="s">
        <v>78</v>
      </c>
      <c r="CU130" s="51">
        <v>-714.3</v>
      </c>
      <c r="CV130" s="51">
        <f>-1516.4-CU130</f>
        <v>-802.10000000000014</v>
      </c>
      <c r="CW130" s="51">
        <f>-1763.7-CV130-CU130</f>
        <v>-247.29999999999995</v>
      </c>
      <c r="CX130" s="51">
        <f>348.7-CW130-CV130-CU130</f>
        <v>2112.4</v>
      </c>
      <c r="CY130" s="51">
        <v>-74.900000000000006</v>
      </c>
      <c r="CZ130" s="51">
        <f>-481.6-CY130</f>
        <v>-406.70000000000005</v>
      </c>
      <c r="DA130" s="51">
        <f>-232.2-CZ130-CY130</f>
        <v>249.40000000000006</v>
      </c>
      <c r="DB130" s="51">
        <f>333.9-DA130-CZ130-CY130</f>
        <v>566.09999999999991</v>
      </c>
      <c r="DC130" s="51">
        <v>-102.8</v>
      </c>
      <c r="DD130" s="51">
        <f>118.4-DC130</f>
        <v>221.2</v>
      </c>
      <c r="DE130" s="51">
        <f>-548.1-DD130-DC130+405.2</f>
        <v>-261.3</v>
      </c>
      <c r="DF130" s="51">
        <f>511.4-DE130-DD130-DC130+405.2</f>
        <v>1059.5</v>
      </c>
      <c r="DG130" s="51">
        <v>-45.5</v>
      </c>
      <c r="DH130" s="51">
        <f>-117.6-DG130</f>
        <v>-72.099999999999994</v>
      </c>
      <c r="DI130" s="51">
        <f>821.5-DH130-DG130</f>
        <v>939.1</v>
      </c>
      <c r="DJ130" s="51">
        <f>304.8-DI130-DH130-DG130</f>
        <v>-516.69999999999993</v>
      </c>
      <c r="DK130" s="51">
        <v>168.3</v>
      </c>
      <c r="DL130" s="51">
        <f>-382.4-DK130</f>
        <v>-550.70000000000005</v>
      </c>
      <c r="DM130" s="51">
        <f>117.2-DL130-DK130-1853.9</f>
        <v>-1354.3</v>
      </c>
      <c r="DN130" s="51">
        <f>295.5-1878.9-DM130-DL130-DK130</f>
        <v>153.2999999999999</v>
      </c>
      <c r="DO130" s="51">
        <v>298.60000000000002</v>
      </c>
      <c r="DP130" s="51">
        <f>-3150.3-DO130</f>
        <v>-3448.9</v>
      </c>
      <c r="DQ130" s="51">
        <f>234.6-DP130-DO130-100.7</f>
        <v>3284.2000000000003</v>
      </c>
      <c r="FF130" s="49">
        <f t="shared" si="421"/>
        <v>348.70000000000005</v>
      </c>
      <c r="FG130" s="49">
        <f t="shared" si="422"/>
        <v>333.9</v>
      </c>
      <c r="FH130" s="49">
        <f>SUM(DC130:DF130)</f>
        <v>916.59999999999991</v>
      </c>
      <c r="FI130" s="49">
        <f>SUM(DG130:DJ130)</f>
        <v>304.80000000000007</v>
      </c>
      <c r="FJ130" s="49">
        <f>SUM(DK130:DN130)</f>
        <v>-1583.4</v>
      </c>
    </row>
    <row r="131" spans="1:166" x14ac:dyDescent="0.2">
      <c r="A131" s="102"/>
      <c r="B131" s="50" t="s">
        <v>393</v>
      </c>
      <c r="CU131" s="51">
        <v>-32.299999999999997</v>
      </c>
      <c r="CV131" s="51">
        <f>81.1-CU131</f>
        <v>113.39999999999999</v>
      </c>
      <c r="CW131" s="51">
        <f>155.5-CV131-CU131</f>
        <v>74.400000000000006</v>
      </c>
      <c r="CX131" s="51">
        <f>-127.2-258.7-602.3-221.3-477.7-CW131-CV131-CU131</f>
        <v>-1842.7000000000003</v>
      </c>
      <c r="CY131" s="51">
        <v>-1408.1</v>
      </c>
      <c r="CZ131" s="51">
        <f>308.7-CY131</f>
        <v>1716.8</v>
      </c>
      <c r="DA131" s="51">
        <f>212.2-CZ131-CY131</f>
        <v>-96.5</v>
      </c>
      <c r="DB131" s="51">
        <f>-1350.2-533.4-457.1+322+1271.3-DA131-CZ131-CY131</f>
        <v>-959.59999999999991</v>
      </c>
      <c r="DC131" s="51">
        <v>131.1</v>
      </c>
      <c r="DD131" s="51">
        <f>319.6-DC131</f>
        <v>188.50000000000003</v>
      </c>
      <c r="DE131" s="51">
        <f>504.7-DD131-DC131</f>
        <v>185.09999999999994</v>
      </c>
      <c r="DF131" s="51">
        <f>-1278.3-235.9+1515.4-359.7-664.1-DE131-DD131-DC131</f>
        <v>-1527.2999999999997</v>
      </c>
      <c r="DG131" s="51">
        <v>32.6</v>
      </c>
      <c r="DH131" s="51">
        <f>-49.2-DG131</f>
        <v>-81.800000000000011</v>
      </c>
      <c r="DI131" s="51">
        <f>217.9-DH131-DG131</f>
        <v>267.10000000000002</v>
      </c>
      <c r="DJ131" s="51">
        <f>-299.6-599.7-793.5+346.6+1331.7-DI131-DH131-DG131</f>
        <v>-232.40000000000023</v>
      </c>
      <c r="DK131" s="51">
        <v>164.1</v>
      </c>
      <c r="DL131" s="51">
        <f>-676.1-DK131</f>
        <v>-840.2</v>
      </c>
      <c r="DM131" s="51">
        <f>103.2-DL131-DK131</f>
        <v>779.30000000000007</v>
      </c>
      <c r="DN131" s="51">
        <f>-2451-1425-3453.4+4274.4-DM131-DL131-DK131</f>
        <v>-3158.2000000000003</v>
      </c>
      <c r="DO131" s="51">
        <v>-1751.2</v>
      </c>
      <c r="DP131" s="51">
        <f>266.7-DO131</f>
        <v>2017.9</v>
      </c>
      <c r="DQ131" s="51">
        <f>-3160.1-DP131-DO131</f>
        <v>-3426.8</v>
      </c>
      <c r="FF131" s="49">
        <f t="shared" si="421"/>
        <v>-1687.2000000000003</v>
      </c>
      <c r="FG131" s="49">
        <f t="shared" si="422"/>
        <v>-747.39999999999986</v>
      </c>
      <c r="FH131" s="49">
        <f>SUM(DC131:DF131)</f>
        <v>-1022.5999999999998</v>
      </c>
      <c r="FI131" s="49">
        <f>SUM(DG131:DJ131)</f>
        <v>-14.500000000000227</v>
      </c>
      <c r="FJ131" s="49">
        <f>SUM(DK131:DN131)</f>
        <v>-3055</v>
      </c>
    </row>
    <row r="132" spans="1:166" s="49" customFormat="1" x14ac:dyDescent="0.2">
      <c r="B132" s="50" t="s">
        <v>302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>
        <v>1176.0999999999999</v>
      </c>
      <c r="BP132" s="51">
        <f>3216.4-BO132</f>
        <v>2040.3000000000002</v>
      </c>
      <c r="BQ132" s="51">
        <f>5289.8-BP132-BO132</f>
        <v>2073.4</v>
      </c>
      <c r="BR132" s="52">
        <f>7234.5-BQ132-BP132-BO132</f>
        <v>1944.7000000000003</v>
      </c>
      <c r="BS132" s="52">
        <v>852.5</v>
      </c>
      <c r="BT132" s="52">
        <f>2158.5-BS132</f>
        <v>1306</v>
      </c>
      <c r="BU132" s="51">
        <f>3702.8-BT132-BS132</f>
        <v>1544.3000000000002</v>
      </c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>
        <f t="shared" ref="CU132:CX132" si="426">SUM(CU124:CU131)</f>
        <v>311.30000000000103</v>
      </c>
      <c r="CV132" s="51">
        <f t="shared" si="426"/>
        <v>1051.4999999999998</v>
      </c>
      <c r="CW132" s="51">
        <f t="shared" si="426"/>
        <v>1510.1</v>
      </c>
      <c r="CX132" s="51">
        <f t="shared" si="426"/>
        <v>1963.6999999999994</v>
      </c>
      <c r="CY132" s="51">
        <f>SUM(CY124:CY131)</f>
        <v>382.39999999999986</v>
      </c>
      <c r="CZ132" s="51">
        <f t="shared" ref="CZ132:DB132" si="427">SUM(CZ124:CZ131)</f>
        <v>2495.3999999999996</v>
      </c>
      <c r="DA132" s="51">
        <f t="shared" si="427"/>
        <v>1806.6000000000004</v>
      </c>
      <c r="DB132" s="51">
        <f t="shared" si="427"/>
        <v>1815.1999999999998</v>
      </c>
      <c r="DC132" s="51">
        <f t="shared" ref="DC132:DP132" si="428">SUM(DC124:DC131)</f>
        <v>1697.3999999999999</v>
      </c>
      <c r="DD132" s="51">
        <f t="shared" si="428"/>
        <v>1775.5</v>
      </c>
      <c r="DE132" s="51">
        <f t="shared" si="428"/>
        <v>1631.3</v>
      </c>
      <c r="DF132" s="51">
        <f t="shared" si="428"/>
        <v>2156.5000000000005</v>
      </c>
      <c r="DG132" s="51">
        <f t="shared" si="428"/>
        <v>2499.1999999999998</v>
      </c>
      <c r="DH132" s="51">
        <f t="shared" si="428"/>
        <v>820.7</v>
      </c>
      <c r="DI132" s="51">
        <f t="shared" si="428"/>
        <v>2185.1000000000004</v>
      </c>
      <c r="DJ132" s="51">
        <f t="shared" si="428"/>
        <v>1579.4000000000003</v>
      </c>
      <c r="DK132" s="52">
        <f t="shared" si="428"/>
        <v>1730.6000000000001</v>
      </c>
      <c r="DL132" s="52">
        <f t="shared" si="428"/>
        <v>631.89999999999986</v>
      </c>
      <c r="DM132" s="52">
        <f t="shared" si="428"/>
        <v>2189.5</v>
      </c>
      <c r="DN132" s="52">
        <f t="shared" si="428"/>
        <v>-311.90000000000146</v>
      </c>
      <c r="DO132" s="51">
        <f t="shared" si="428"/>
        <v>1165.9999999999998</v>
      </c>
      <c r="DP132" s="51">
        <f t="shared" si="428"/>
        <v>1466.1999999999998</v>
      </c>
      <c r="DQ132" s="51">
        <f>SUM(DQ124:DQ131)</f>
        <v>3711.8999999999996</v>
      </c>
      <c r="DR132" s="51"/>
      <c r="DS132" s="51"/>
      <c r="DT132" s="51"/>
      <c r="DU132" s="51"/>
      <c r="DV132" s="51"/>
      <c r="EN132" s="51"/>
      <c r="EO132" s="51"/>
      <c r="EP132" s="51"/>
      <c r="EQ132" s="51"/>
      <c r="ER132" s="51"/>
      <c r="ES132" s="51"/>
      <c r="ET132" s="51"/>
      <c r="EU132" s="51">
        <v>7295.6</v>
      </c>
      <c r="EV132" s="51">
        <v>4335.5</v>
      </c>
      <c r="EW132" s="51">
        <v>6856.8</v>
      </c>
      <c r="EX132" s="51"/>
      <c r="EY132" s="51"/>
      <c r="EZ132" s="51"/>
      <c r="FA132" s="51"/>
      <c r="FB132" s="51"/>
      <c r="FC132" s="51"/>
      <c r="FD132" s="51"/>
      <c r="FF132" s="49">
        <f>SUM(DG132:DJ132)</f>
        <v>7084.4000000000005</v>
      </c>
      <c r="FG132" s="49">
        <f>SUM(DH132:DK132)</f>
        <v>6315.8000000000011</v>
      </c>
      <c r="FH132" s="49">
        <f>SUM(DI132:DL132)</f>
        <v>6127.0000000000009</v>
      </c>
      <c r="FI132" s="49">
        <f>SUM(DJ132:DM132)</f>
        <v>6131.4000000000005</v>
      </c>
      <c r="FJ132" s="49">
        <f>SUM(DK132:DN132)</f>
        <v>4240.0999999999985</v>
      </c>
    </row>
    <row r="133" spans="1:166" x14ac:dyDescent="0.2">
      <c r="DC133" s="51"/>
      <c r="DD133" s="51"/>
      <c r="DJ133" s="51"/>
      <c r="DQ133" s="51"/>
      <c r="FG133" s="49"/>
      <c r="FH133" s="49"/>
      <c r="FI133" s="49"/>
    </row>
    <row r="134" spans="1:166" x14ac:dyDescent="0.2">
      <c r="B134" s="50" t="s">
        <v>394</v>
      </c>
      <c r="CU134" s="51">
        <v>-203.7</v>
      </c>
      <c r="CV134" s="51">
        <f>-444-CU134</f>
        <v>-240.3</v>
      </c>
      <c r="CW134" s="51">
        <f>-707.4-CV134-CU134</f>
        <v>-263.39999999999998</v>
      </c>
      <c r="CX134" s="51">
        <f>-1033.9-CW134-CV134-CU134</f>
        <v>-326.50000000000006</v>
      </c>
      <c r="CY134" s="51">
        <v>-258.3</v>
      </c>
      <c r="CZ134" s="51">
        <f>-540.1-CY134</f>
        <v>-281.8</v>
      </c>
      <c r="DA134" s="51">
        <f>-933.2-CZ134-CY134</f>
        <v>-393.10000000000008</v>
      </c>
      <c r="DB134" s="51">
        <f>-1387.9-DA134-CZ134-CY134</f>
        <v>-454.7</v>
      </c>
      <c r="DC134" s="51">
        <v>-300.3</v>
      </c>
      <c r="DD134" s="51">
        <f>-681.6-DC134</f>
        <v>-381.3</v>
      </c>
      <c r="DE134" s="51">
        <f>-1018.4-DD134-DC134</f>
        <v>-336.7999999999999</v>
      </c>
      <c r="DF134" s="51">
        <f>-1309.8-DE134-DD134-DC134</f>
        <v>-291.40000000000003</v>
      </c>
      <c r="DG134" s="51">
        <v>-365.4</v>
      </c>
      <c r="DH134" s="51">
        <f>-736.4-DG134</f>
        <v>-371</v>
      </c>
      <c r="DI134" s="51">
        <f>-1353.6-DH134-DG134</f>
        <v>-617.19999999999993</v>
      </c>
      <c r="DJ134" s="51">
        <f>-1854.3-DI134-DH134-DG134</f>
        <v>-500.69999999999993</v>
      </c>
      <c r="DK134" s="51">
        <v>-668.5</v>
      </c>
      <c r="DL134" s="51">
        <f>-1406.7-DK134</f>
        <v>-738.2</v>
      </c>
      <c r="DM134" s="51">
        <f>-2377-DL134-DK134</f>
        <v>-970.3</v>
      </c>
      <c r="DN134" s="51">
        <f>-3447.6-DM134-DL134-DK134</f>
        <v>-1070.6000000000001</v>
      </c>
      <c r="DO134" s="51">
        <v>-986.3</v>
      </c>
      <c r="DP134" s="51">
        <f>-2211.1-DO134</f>
        <v>-1224.8</v>
      </c>
      <c r="DQ134" s="51">
        <f>-3561.8-DP134-DO134</f>
        <v>-1350.7</v>
      </c>
      <c r="FF134" s="49">
        <f t="shared" ref="FF134:FF137" si="429">SUM(CU134:CX134)</f>
        <v>-1033.9000000000001</v>
      </c>
      <c r="FG134" s="49">
        <f t="shared" ref="FG134:FG137" si="430">SUM(CY134:DB134)</f>
        <v>-1387.9</v>
      </c>
      <c r="FH134" s="49">
        <f>SUM(DC134:DF134)</f>
        <v>-1309.8</v>
      </c>
      <c r="FI134" s="49">
        <f>SUM(DG134:DJ134)</f>
        <v>-1854.2999999999997</v>
      </c>
      <c r="FJ134" s="49">
        <f>SUM(DK134:DN134)</f>
        <v>-3447.6000000000004</v>
      </c>
    </row>
    <row r="135" spans="1:166" x14ac:dyDescent="0.2">
      <c r="B135" s="50" t="s">
        <v>391</v>
      </c>
      <c r="CU135" s="51">
        <f>35.9-33.7+83.6-60.6</f>
        <v>25.199999999999982</v>
      </c>
      <c r="CV135" s="51">
        <f>89.4-34.1+416.4-146.6-CU135</f>
        <v>299.90000000000003</v>
      </c>
      <c r="CW135" s="51">
        <f>116.3-34.1+498.4-196.7-CV135-CU135</f>
        <v>58.799999999999905</v>
      </c>
      <c r="CX135" s="51">
        <f>136.6-42.7+609.8-247.5-CW135-CV135-CU135</f>
        <v>72.300000000000011</v>
      </c>
      <c r="CY135" s="51">
        <f>36.8+54.5-83</f>
        <v>8.2999999999999972</v>
      </c>
      <c r="CZ135" s="51">
        <f>111.2+412-154.8-CY135</f>
        <v>360.1</v>
      </c>
      <c r="DA135" s="51">
        <f>118.8-11.4+574.1-223.7-CZ135-CY135</f>
        <v>89.399999999999991</v>
      </c>
      <c r="DB135" s="51">
        <f>129.7-11.4+757.1-358.7-DA135-CZ135-CY135</f>
        <v>58.900000000000048</v>
      </c>
      <c r="DC135" s="51">
        <f>4-19.4+284.8-291.5</f>
        <v>-22.099999999999966</v>
      </c>
      <c r="DD135" s="51">
        <f>21.3-26.6+461.9-503.1-DC135</f>
        <v>-24.400000000000091</v>
      </c>
      <c r="DE135" s="51">
        <f>46.6-27.9+537.2-710.1-DD135-DC135</f>
        <v>-107.69999999999987</v>
      </c>
      <c r="DF135" s="51">
        <f>47.4-83.5+800-929.9-DE135-DD135-DC135</f>
        <v>-11.800000000000068</v>
      </c>
      <c r="DG135" s="51">
        <f>26.7-14.6+81.4-116.7</f>
        <v>-23.200000000000003</v>
      </c>
      <c r="DH135" s="51">
        <f>57.6-32.9+168.5-251.4-DG135</f>
        <v>-35.000000000000014</v>
      </c>
      <c r="DI135" s="51">
        <f>83.1-65+251.6-474.1-DH135-DG135</f>
        <v>-146.20000000000005</v>
      </c>
      <c r="DJ135" s="51">
        <f>121.4-107.4+342.2-600.2-DI135-DH135-DG135</f>
        <v>-39.599999999999994</v>
      </c>
      <c r="DK135" s="51">
        <f>61.5-23+281.9-146</f>
        <v>174.39999999999998</v>
      </c>
      <c r="DL135" s="51">
        <f>109.6-59.8+388.4-343.4-DK135</f>
        <v>-79.599999999999966</v>
      </c>
      <c r="DM135" s="51">
        <f>155.2-79.2+476.2-474.8-DL135-DK135</f>
        <v>-17.400000000000091</v>
      </c>
      <c r="DN135" s="51">
        <f>192.2-98.2+508.1-730.8-DM135-DL135-DK135</f>
        <v>-206.09999999999985</v>
      </c>
      <c r="DO135" s="51">
        <f>41.4-24.4+70.5-117.1</f>
        <v>-29.599999999999994</v>
      </c>
      <c r="DP135" s="51">
        <f>75.4-48.8-DO135</f>
        <v>56.2</v>
      </c>
      <c r="DQ135" s="51">
        <f>107.3-68.6+318-525.1-DP135-DO135</f>
        <v>-195.00000000000003</v>
      </c>
      <c r="FF135" s="49">
        <f t="shared" si="429"/>
        <v>456.19999999999993</v>
      </c>
      <c r="FG135" s="49">
        <f t="shared" si="430"/>
        <v>516.70000000000005</v>
      </c>
      <c r="FH135" s="49">
        <f>SUM(DC135:DF135)</f>
        <v>-166</v>
      </c>
      <c r="FI135" s="49">
        <f>SUM(DG135:DJ135)</f>
        <v>-244.00000000000006</v>
      </c>
      <c r="FJ135" s="49">
        <f>SUM(DK135:DN135)</f>
        <v>-128.69999999999993</v>
      </c>
    </row>
    <row r="136" spans="1:166" x14ac:dyDescent="0.2">
      <c r="B136" s="50" t="s">
        <v>395</v>
      </c>
      <c r="CU136" s="51">
        <f>-6917.7-196.9</f>
        <v>-7114.5999999999995</v>
      </c>
      <c r="CV136" s="51">
        <f>-6917.7-CU136-241.9</f>
        <v>-45.000000000000369</v>
      </c>
      <c r="CW136" s="51">
        <f>-6917.7-CV136-CU136-319.6</f>
        <v>-77.700000000000387</v>
      </c>
      <c r="CX136" s="51">
        <f>-6917.7-374+354.8-CW136-CV136-CU136-319.6</f>
        <v>-19.199999999999477</v>
      </c>
      <c r="CY136" s="51">
        <f>-849.3-13</f>
        <v>-862.3</v>
      </c>
      <c r="CZ136" s="51">
        <f>-849.3-CY136-254.4</f>
        <v>-241.4</v>
      </c>
      <c r="DA136" s="51">
        <f>-849.3-CZ136-CY136-276.4</f>
        <v>-22</v>
      </c>
      <c r="DB136" s="51">
        <f>-641.2-849.3-DA136-CZ136-CY136</f>
        <v>-364.79999999999995</v>
      </c>
      <c r="DC136" s="51">
        <f>-747.4-191.8</f>
        <v>-939.2</v>
      </c>
      <c r="DD136" s="51">
        <f>-747.4-341.8-DC136</f>
        <v>-150</v>
      </c>
      <c r="DE136" s="51">
        <f>-747.4-DD136-DC136-460.6</f>
        <v>-118.79999999999995</v>
      </c>
      <c r="DF136" s="51">
        <f>-563.4-DE136-DD136-DC136-747.4</f>
        <v>-102.79999999999995</v>
      </c>
      <c r="DG136" s="51">
        <v>-491.8</v>
      </c>
      <c r="DH136" s="51">
        <f>-571.8-DG136</f>
        <v>-79.999999999999943</v>
      </c>
      <c r="DI136" s="51">
        <f>-574.8-DH136-DG136</f>
        <v>-3</v>
      </c>
      <c r="DJ136" s="51">
        <f>-629.7-327.2-DI136-DH136-DG136</f>
        <v>-382.10000000000008</v>
      </c>
      <c r="DK136" s="51">
        <v>-235</v>
      </c>
      <c r="DL136" s="51">
        <f>-333.1-DK136</f>
        <v>-98.100000000000023</v>
      </c>
      <c r="DM136" s="51">
        <f>1604.3-3364-DL136-DK136</f>
        <v>-1426.6</v>
      </c>
      <c r="DN136" s="51">
        <f>-3944.5-DM136-DL136-DK136-1044.3</f>
        <v>-3229.1000000000004</v>
      </c>
      <c r="DO136" s="51">
        <v>-96.5</v>
      </c>
      <c r="DP136" s="51">
        <f>-947.7-DO136-274.5</f>
        <v>-1125.7</v>
      </c>
      <c r="DQ136" s="51">
        <f>530.9-947.7-3094.6-DP136-DO136</f>
        <v>-2289.1999999999998</v>
      </c>
      <c r="FF136" s="49">
        <f t="shared" si="429"/>
        <v>-7256.5</v>
      </c>
      <c r="FG136" s="49">
        <f t="shared" si="430"/>
        <v>-1490.5</v>
      </c>
      <c r="FH136" s="49">
        <f>SUM(DC136:DF136)</f>
        <v>-1310.8</v>
      </c>
      <c r="FI136" s="49">
        <f>SUM(DG136:DJ136)</f>
        <v>-956.90000000000009</v>
      </c>
      <c r="FJ136" s="49">
        <f>SUM(DK136:DN136)</f>
        <v>-4988.8</v>
      </c>
    </row>
    <row r="137" spans="1:166" x14ac:dyDescent="0.2">
      <c r="B137" s="50" t="s">
        <v>78</v>
      </c>
      <c r="CU137" s="51">
        <v>-385.6</v>
      </c>
      <c r="CV137" s="51">
        <f>-339.2-CU137</f>
        <v>46.400000000000034</v>
      </c>
      <c r="CW137" s="51">
        <f>-480.7-CV137-CU137</f>
        <v>-141.5</v>
      </c>
      <c r="CX137" s="51">
        <f>-248.7-CW137-CV137-CU137</f>
        <v>232</v>
      </c>
      <c r="CY137" s="51">
        <v>51.4</v>
      </c>
      <c r="CZ137" s="51">
        <f>4.1-CY137</f>
        <v>-47.3</v>
      </c>
      <c r="DA137" s="51">
        <f>16.3-CZ137-CY137</f>
        <v>12.199999999999996</v>
      </c>
      <c r="DB137" s="51">
        <f>102.8-DA137-CZ137-CY137</f>
        <v>86.499999999999972</v>
      </c>
      <c r="DC137" s="51">
        <v>-21.9</v>
      </c>
      <c r="DD137" s="51">
        <f>50.5-DC137</f>
        <v>72.400000000000006</v>
      </c>
      <c r="DE137" s="51">
        <f>-2.7-DD137-DC137</f>
        <v>-53.20000000000001</v>
      </c>
      <c r="DF137" s="51">
        <f>24.3-DE137-DD137-DC137</f>
        <v>27.000000000000007</v>
      </c>
      <c r="DG137" s="51">
        <v>-133.4</v>
      </c>
      <c r="DH137" s="51">
        <f>-111.3-DG137</f>
        <v>22.100000000000009</v>
      </c>
      <c r="DI137" s="51">
        <f>-268.3-DH137-DG137</f>
        <v>-157.00000000000003</v>
      </c>
      <c r="DJ137" s="51">
        <f>-206.4-DI137-DH137-DG137</f>
        <v>61.90000000000002</v>
      </c>
      <c r="DK137" s="51">
        <v>40.299999999999997</v>
      </c>
      <c r="DL137" s="51">
        <f>497.1-DK137</f>
        <v>456.8</v>
      </c>
      <c r="DM137" s="51">
        <f>-169.1-DL137-DK137</f>
        <v>-666.19999999999993</v>
      </c>
      <c r="DN137" s="51">
        <f>-191.9+1604.3-DM137-DL137-DK137</f>
        <v>1581.5</v>
      </c>
      <c r="DO137" s="51">
        <v>-65.2</v>
      </c>
      <c r="DP137" s="51">
        <f>30.4-DO137</f>
        <v>95.6</v>
      </c>
      <c r="DQ137" s="51">
        <f>-139.4-DP137-DO137</f>
        <v>-169.8</v>
      </c>
      <c r="FF137" s="49">
        <f t="shared" si="429"/>
        <v>-248.7</v>
      </c>
      <c r="FG137" s="49">
        <f t="shared" si="430"/>
        <v>102.79999999999997</v>
      </c>
      <c r="FH137" s="49">
        <f>SUM(DC137:DF137)</f>
        <v>24.300000000000004</v>
      </c>
      <c r="FI137" s="49">
        <f>SUM(DG137:DJ137)</f>
        <v>-206.39999999999998</v>
      </c>
      <c r="FJ137" s="49">
        <f>SUM(DK137:DN137)</f>
        <v>1412.4</v>
      </c>
    </row>
    <row r="138" spans="1:166" x14ac:dyDescent="0.2">
      <c r="B138" s="50" t="s">
        <v>396</v>
      </c>
      <c r="CU138" s="51">
        <f>SUM(CU134:CU137)</f>
        <v>-7678.7</v>
      </c>
      <c r="CV138" s="51">
        <f>SUM(CV134:CV137)</f>
        <v>60.999999999999687</v>
      </c>
      <c r="CW138" s="51">
        <f>SUM(CW134:CW137)</f>
        <v>-423.80000000000047</v>
      </c>
      <c r="CX138" s="51">
        <f t="shared" ref="CX138" si="431">SUM(CX134:CX137)</f>
        <v>-41.399999999999523</v>
      </c>
      <c r="CY138" s="51">
        <f t="shared" ref="CY138:DB138" si="432">SUM(CY134:CY137)</f>
        <v>-1060.8999999999999</v>
      </c>
      <c r="CZ138" s="51">
        <f t="shared" si="432"/>
        <v>-210.39999999999998</v>
      </c>
      <c r="DA138" s="51">
        <f t="shared" si="432"/>
        <v>-313.50000000000011</v>
      </c>
      <c r="DB138" s="51">
        <f t="shared" si="432"/>
        <v>-674.09999999999991</v>
      </c>
      <c r="DC138" s="51">
        <f t="shared" ref="DC138:DQ138" si="433">SUM(DC134:DC137)</f>
        <v>-1283.5</v>
      </c>
      <c r="DD138" s="51">
        <f t="shared" si="433"/>
        <v>-483.30000000000007</v>
      </c>
      <c r="DE138" s="51">
        <f t="shared" si="433"/>
        <v>-616.49999999999977</v>
      </c>
      <c r="DF138" s="51">
        <f t="shared" si="433"/>
        <v>-379.00000000000006</v>
      </c>
      <c r="DG138" s="51">
        <f t="shared" si="433"/>
        <v>-1013.8</v>
      </c>
      <c r="DH138" s="51">
        <f t="shared" si="433"/>
        <v>-463.89999999999992</v>
      </c>
      <c r="DI138" s="51">
        <f t="shared" si="433"/>
        <v>-923.4</v>
      </c>
      <c r="DJ138" s="51">
        <f t="shared" si="433"/>
        <v>-860.50000000000011</v>
      </c>
      <c r="DK138" s="51">
        <f t="shared" si="433"/>
        <v>-688.80000000000007</v>
      </c>
      <c r="DL138" s="51">
        <f t="shared" si="433"/>
        <v>-459.09999999999997</v>
      </c>
      <c r="DM138" s="51">
        <f t="shared" si="433"/>
        <v>-3080.5</v>
      </c>
      <c r="DN138" s="51">
        <f t="shared" si="433"/>
        <v>-2924.3</v>
      </c>
      <c r="DO138" s="51">
        <f t="shared" si="433"/>
        <v>-1177.6000000000001</v>
      </c>
      <c r="DP138" s="51">
        <f t="shared" si="433"/>
        <v>-2198.7000000000003</v>
      </c>
      <c r="DQ138" s="51">
        <f t="shared" si="433"/>
        <v>-4004.7</v>
      </c>
      <c r="FF138" s="49">
        <f>SUM(DG138:DJ138)</f>
        <v>-3261.6</v>
      </c>
      <c r="FG138" s="49">
        <f>SUM(DH138:DK138)</f>
        <v>-2936.6000000000004</v>
      </c>
      <c r="FH138" s="49">
        <f t="shared" ref="FH138" si="434">SUM(DI138:DL138)</f>
        <v>-2931.8</v>
      </c>
      <c r="FI138" s="49">
        <f t="shared" ref="FI138" si="435">SUM(DJ138:DM138)</f>
        <v>-5088.8999999999996</v>
      </c>
      <c r="FJ138" s="49">
        <f t="shared" ref="FJ138:FJ144" si="436">SUM(DK138:DN138)</f>
        <v>-7152.7</v>
      </c>
    </row>
    <row r="139" spans="1:166" x14ac:dyDescent="0.2">
      <c r="CW139" s="51"/>
      <c r="DC139" s="51"/>
      <c r="DD139" s="51"/>
      <c r="DJ139" s="51"/>
      <c r="DQ139" s="51"/>
      <c r="FG139" s="49"/>
      <c r="FH139" s="49"/>
      <c r="FI139" s="49"/>
    </row>
    <row r="140" spans="1:166" x14ac:dyDescent="0.2">
      <c r="B140" s="50" t="s">
        <v>296</v>
      </c>
      <c r="CU140" s="51">
        <v>-637.20000000000005</v>
      </c>
      <c r="CV140" s="51">
        <f>-1235.2-CU140</f>
        <v>-598</v>
      </c>
      <c r="CW140" s="51">
        <f>-1822.6-CV140-CU140</f>
        <v>-587.39999999999986</v>
      </c>
      <c r="CX140" s="51">
        <f>-2409.8-CW140-CV140-CU140</f>
        <v>-587.20000000000027</v>
      </c>
      <c r="CY140" s="51">
        <v>-671.3</v>
      </c>
      <c r="CZ140" s="51">
        <f>-1345.5-CY140</f>
        <v>-674.2</v>
      </c>
      <c r="DA140" s="51">
        <f>-2017.1-CZ140-CY140</f>
        <v>-671.59999999999991</v>
      </c>
      <c r="DB140" s="51">
        <f>-2687.1-DA140-CZ140-CY140</f>
        <v>-670</v>
      </c>
      <c r="DC140" s="51">
        <v>-774.8</v>
      </c>
      <c r="DD140" s="51">
        <f>-1543.1-DC140</f>
        <v>-768.3</v>
      </c>
      <c r="DE140" s="51">
        <f>-2313.5-DD140-DC140</f>
        <v>-770.40000000000009</v>
      </c>
      <c r="DF140" s="51">
        <f>-3086.8-DE140-DD140-DC140</f>
        <v>-773.30000000000018</v>
      </c>
      <c r="DG140" s="51">
        <v>-885.5</v>
      </c>
      <c r="DH140" s="51">
        <f>-1769.2-DG140</f>
        <v>-883.7</v>
      </c>
      <c r="DI140" s="51">
        <f>-2651.4-DH140-DG140</f>
        <v>-882.2</v>
      </c>
      <c r="DJ140" s="51">
        <f>-3535.8-DI140-DH140-DG140</f>
        <v>-884.40000000000032</v>
      </c>
      <c r="DK140" s="51">
        <v>-1017.2</v>
      </c>
      <c r="DL140" s="51">
        <f>-2035-DK140</f>
        <v>-1017.8</v>
      </c>
      <c r="DM140" s="51">
        <f>-3051.2-DL140-DK140</f>
        <v>-1016.1999999999998</v>
      </c>
      <c r="DN140" s="51">
        <f>-4069.3-DM140-DL140-DK140</f>
        <v>-1018.1000000000004</v>
      </c>
      <c r="DO140" s="51">
        <v>-1169.2</v>
      </c>
      <c r="DP140" s="51">
        <f>-2341.6-DO140</f>
        <v>-1172.3999999999999</v>
      </c>
      <c r="DQ140" s="51">
        <f>-3512.1-DP140-DO140</f>
        <v>-1170.4999999999998</v>
      </c>
      <c r="FF140" s="49">
        <f t="shared" ref="FF140:FF143" si="437">SUM(CU140:CX140)</f>
        <v>-2409.8000000000002</v>
      </c>
      <c r="FG140" s="49">
        <f t="shared" ref="FG140:FG143" si="438">SUM(CY140:DB140)</f>
        <v>-2687.1</v>
      </c>
      <c r="FH140" s="49">
        <f>SUM(DC140:DF140)</f>
        <v>-3086.8</v>
      </c>
      <c r="FI140" s="49">
        <f>SUM(DG140:DJ140)</f>
        <v>-3535.8</v>
      </c>
      <c r="FJ140" s="49">
        <f>SUM(DK140:DN140)</f>
        <v>-4069.3</v>
      </c>
    </row>
    <row r="141" spans="1:166" x14ac:dyDescent="0.2">
      <c r="B141" s="50" t="s">
        <v>399</v>
      </c>
      <c r="CU141" s="51">
        <f>1850.4+4448.3-600</f>
        <v>5698.7000000000007</v>
      </c>
      <c r="CV141" s="51">
        <f>1564.3+4448.3-600.2-CU141</f>
        <v>-286.30000000000018</v>
      </c>
      <c r="CW141" s="51">
        <f>1058.9+4448.3-600.3-CV141-CU141</f>
        <v>-505.5</v>
      </c>
      <c r="CX141" s="51">
        <f>995.4+6556.4-2866.4-CW141-CV141-CU141</f>
        <v>-221.50000000000091</v>
      </c>
      <c r="CY141" s="51">
        <f>1748.7-276.3</f>
        <v>1472.4</v>
      </c>
      <c r="CZ141" s="51">
        <f>-235.4+988.6-276.3-CY141</f>
        <v>-995.5</v>
      </c>
      <c r="DA141" s="51">
        <f>-914.3+2062.3-276.3-CZ141-CY141</f>
        <v>394.80000000000018</v>
      </c>
      <c r="DB141" s="51">
        <f>-1494.2+2062.3-276.5-DA141-CZ141-CY141</f>
        <v>-580.10000000000014</v>
      </c>
      <c r="DC141" s="51">
        <v>-3.7</v>
      </c>
      <c r="DD141" s="51">
        <f>196.3-DC141</f>
        <v>200</v>
      </c>
      <c r="DE141" s="51">
        <f>-1.5+2410.8-1905.3-DD141-DC141</f>
        <v>307.70000000000022</v>
      </c>
      <c r="DF141" s="51">
        <f>-4+2410.8-1905.4-DE141-DD141-DC141</f>
        <v>-2.6000000000001249</v>
      </c>
      <c r="DG141" s="52">
        <f>499.7-710.1</f>
        <v>-210.40000000000003</v>
      </c>
      <c r="DH141" s="51">
        <f>2117.2-1560-DG141</f>
        <v>767.59999999999991</v>
      </c>
      <c r="DI141" s="51">
        <f>1741.3-1560-DH141-DG141</f>
        <v>-375.89999999999992</v>
      </c>
      <c r="DJ141" s="51">
        <f>1498-1560-DI141-DH141-DG141</f>
        <v>-243.29999999999995</v>
      </c>
      <c r="DK141" s="51">
        <f>-1498+3958.5</f>
        <v>2460.5</v>
      </c>
      <c r="DL141" s="51">
        <f>-1498-DK141+3958.5</f>
        <v>0</v>
      </c>
      <c r="DM141" s="51">
        <f>97-DL141-DK141+3958.5</f>
        <v>1595</v>
      </c>
      <c r="DN141" s="51">
        <f>4691.4+3958.5-DM141-DL141-DK141</f>
        <v>4594.3999999999996</v>
      </c>
      <c r="DO141" s="51">
        <v>-5204.8</v>
      </c>
      <c r="DP141" s="51">
        <f>-1804.7+6452.5-DO141-664.2</f>
        <v>9188.4</v>
      </c>
      <c r="DQ141" s="51">
        <f>-4894.1+11417.1-664.2-DP141-DO141</f>
        <v>1875.2000000000007</v>
      </c>
      <c r="FF141" s="49">
        <f t="shared" si="437"/>
        <v>4685.3999999999996</v>
      </c>
      <c r="FG141" s="49">
        <f t="shared" si="438"/>
        <v>291.60000000000014</v>
      </c>
      <c r="FH141" s="49">
        <f>SUM(DC141:DF141)</f>
        <v>501.40000000000009</v>
      </c>
      <c r="FI141" s="49">
        <f>SUM(DG141:DJ141)</f>
        <v>-62.000000000000057</v>
      </c>
      <c r="FJ141" s="49">
        <f>SUM(DK141:DN141)</f>
        <v>8649.9</v>
      </c>
    </row>
    <row r="142" spans="1:166" x14ac:dyDescent="0.2">
      <c r="B142" s="38" t="s">
        <v>398</v>
      </c>
      <c r="CU142" s="51">
        <v>-3500</v>
      </c>
      <c r="CV142" s="51">
        <f>-3500-CU142</f>
        <v>0</v>
      </c>
      <c r="CW142" s="51">
        <f>-4100-CV142-CU142</f>
        <v>-600</v>
      </c>
      <c r="CX142" s="51">
        <f>-4400-CW142-CV142-CU142</f>
        <v>-300</v>
      </c>
      <c r="CY142" s="51">
        <v>-500</v>
      </c>
      <c r="CZ142" s="51">
        <f>-500-CY142</f>
        <v>0</v>
      </c>
      <c r="DA142" s="51">
        <f>-500-CZ142-CY142</f>
        <v>0</v>
      </c>
      <c r="DB142" s="51">
        <f>-500-DA142-CZ142-CY142</f>
        <v>0</v>
      </c>
      <c r="DC142" s="51">
        <v>0</v>
      </c>
      <c r="DD142" s="51">
        <f>-500-DC142</f>
        <v>-500</v>
      </c>
      <c r="DE142" s="51">
        <f>-500-DD142-DC142</f>
        <v>0</v>
      </c>
      <c r="DF142" s="51">
        <f>-1250-DE142-DD142-DC142</f>
        <v>-750</v>
      </c>
      <c r="DG142" s="51">
        <v>-1500</v>
      </c>
      <c r="DH142" s="51">
        <f>-1500-DG142</f>
        <v>0</v>
      </c>
      <c r="DI142" s="51">
        <f>-1500-DH142-DG142</f>
        <v>0</v>
      </c>
      <c r="DJ142" s="51">
        <f>-1500-DI142-DH142-DG142</f>
        <v>0</v>
      </c>
      <c r="DK142" s="51">
        <v>-750</v>
      </c>
      <c r="DL142" s="51">
        <f>-750-DK142</f>
        <v>0</v>
      </c>
      <c r="DM142" s="51">
        <f>-750-DL142-DK142</f>
        <v>0</v>
      </c>
      <c r="DN142" s="51">
        <f>-750-DM142-DL142-DK142</f>
        <v>0</v>
      </c>
      <c r="DO142" s="51">
        <v>6452.5</v>
      </c>
      <c r="DP142" s="51">
        <f>0-DO142</f>
        <v>-6452.5</v>
      </c>
      <c r="DQ142" s="51">
        <f>-446.1-DP142-DO142</f>
        <v>-446.10000000000036</v>
      </c>
      <c r="FF142" s="49">
        <f t="shared" si="437"/>
        <v>-4400</v>
      </c>
      <c r="FG142" s="49">
        <f t="shared" si="438"/>
        <v>-500</v>
      </c>
      <c r="FH142" s="49">
        <f>SUM(DC142:DF142)</f>
        <v>-1250</v>
      </c>
      <c r="FI142" s="49">
        <f>SUM(DG142:DJ142)</f>
        <v>-1500</v>
      </c>
      <c r="FJ142" s="49">
        <f>SUM(DK142:DN142)</f>
        <v>-750</v>
      </c>
    </row>
    <row r="143" spans="1:166" x14ac:dyDescent="0.2">
      <c r="B143" s="38" t="s">
        <v>78</v>
      </c>
      <c r="CU143" s="51">
        <v>-193.7</v>
      </c>
      <c r="CV143" s="51">
        <f>-195.2-CU143</f>
        <v>-1.5</v>
      </c>
      <c r="CW143" s="51">
        <f>-195.2-CV143-CU143</f>
        <v>0</v>
      </c>
      <c r="CX143" s="51">
        <f>-200.1-CW143-CV143-CU143</f>
        <v>-4.9000000000000057</v>
      </c>
      <c r="CY143" s="51">
        <v>-194.4</v>
      </c>
      <c r="CZ143" s="51">
        <f>-197.9-CY143</f>
        <v>-3.5</v>
      </c>
      <c r="DA143" s="51">
        <f>-200.2-CZ143-CY143</f>
        <v>-2.2999999999999829</v>
      </c>
      <c r="DB143" s="51">
        <f>-241.6-DA143-CZ143-CY143</f>
        <v>-41.400000000000006</v>
      </c>
      <c r="DC143" s="51">
        <v>-279.89999999999998</v>
      </c>
      <c r="DD143" s="51">
        <f>-294.8-DC143</f>
        <v>-14.900000000000034</v>
      </c>
      <c r="DE143" s="51">
        <f>-295.3-DD143-DC143</f>
        <v>-0.5</v>
      </c>
      <c r="DF143" s="51">
        <f>-295.9-DE143-DD143-DC143</f>
        <v>-0.59999999999996589</v>
      </c>
      <c r="DG143" s="51">
        <v>-282.39999999999998</v>
      </c>
      <c r="DH143" s="51">
        <f>-290-DG143</f>
        <v>-7.6000000000000227</v>
      </c>
      <c r="DI143" s="51">
        <f>-295.2-DH143-DG143</f>
        <v>-5.1999999999999886</v>
      </c>
      <c r="DJ143" s="51">
        <f>-308.9-DI143-DH143-DG143</f>
        <v>-13.699999999999989</v>
      </c>
      <c r="DK143" s="51">
        <v>-281</v>
      </c>
      <c r="DL143" s="51">
        <f>-296.6-DK143</f>
        <v>-15.600000000000023</v>
      </c>
      <c r="DM143" s="51">
        <f>-303.4-DL143-DK143</f>
        <v>-6.7999999999999545</v>
      </c>
      <c r="DN143" s="51">
        <f>-335-DM143-DL143-DK143</f>
        <v>-31.600000000000023</v>
      </c>
      <c r="DO143" s="51">
        <v>-389.8</v>
      </c>
      <c r="DP143" s="51">
        <f>-397.8-DO143</f>
        <v>-8</v>
      </c>
      <c r="DQ143" s="51">
        <f>-445.1-DP143-DO143</f>
        <v>-47.300000000000011</v>
      </c>
      <c r="FF143" s="49">
        <f t="shared" si="437"/>
        <v>-200.1</v>
      </c>
      <c r="FG143" s="49">
        <f t="shared" si="438"/>
        <v>-241.6</v>
      </c>
      <c r="FH143" s="49">
        <f>SUM(DC143:DF143)</f>
        <v>-295.89999999999998</v>
      </c>
      <c r="FI143" s="49">
        <f>SUM(DG143:DJ143)</f>
        <v>-308.89999999999998</v>
      </c>
      <c r="FJ143" s="49">
        <f>SUM(DK143:DN143)</f>
        <v>-335</v>
      </c>
    </row>
    <row r="144" spans="1:166" x14ac:dyDescent="0.2">
      <c r="B144" s="38" t="s">
        <v>397</v>
      </c>
      <c r="CU144" s="51">
        <f t="shared" ref="CU144" si="439">SUM(CU140:CU143)</f>
        <v>1367.8000000000009</v>
      </c>
      <c r="CV144" s="51">
        <f t="shared" ref="CV144" si="440">SUM(CV140:CV143)</f>
        <v>-885.80000000000018</v>
      </c>
      <c r="CW144" s="51">
        <f t="shared" ref="CW144" si="441">SUM(CW140:CW143)</f>
        <v>-1692.8999999999999</v>
      </c>
      <c r="CX144" s="51">
        <f t="shared" ref="CX144" si="442">SUM(CX140:CX143)</f>
        <v>-1113.6000000000013</v>
      </c>
      <c r="CY144" s="51">
        <f t="shared" ref="CY144:DB144" si="443">SUM(CY140:CY143)</f>
        <v>106.70000000000013</v>
      </c>
      <c r="CZ144" s="51">
        <f t="shared" si="443"/>
        <v>-1673.2</v>
      </c>
      <c r="DA144" s="51">
        <f t="shared" si="443"/>
        <v>-279.09999999999968</v>
      </c>
      <c r="DB144" s="51">
        <f t="shared" si="443"/>
        <v>-1291.5000000000002</v>
      </c>
      <c r="DC144" s="51">
        <f t="shared" ref="DC144:DQ144" si="444">SUM(DC140:DC143)</f>
        <v>-1058.4000000000001</v>
      </c>
      <c r="DD144" s="51">
        <f t="shared" si="444"/>
        <v>-1083.2</v>
      </c>
      <c r="DE144" s="51">
        <f t="shared" si="444"/>
        <v>-463.19999999999987</v>
      </c>
      <c r="DF144" s="51">
        <f t="shared" si="444"/>
        <v>-1526.5000000000002</v>
      </c>
      <c r="DG144" s="51">
        <f t="shared" si="444"/>
        <v>-2878.3</v>
      </c>
      <c r="DH144" s="51">
        <f t="shared" si="444"/>
        <v>-123.70000000000016</v>
      </c>
      <c r="DI144" s="51">
        <f t="shared" si="444"/>
        <v>-1263.3</v>
      </c>
      <c r="DJ144" s="51">
        <f t="shared" si="444"/>
        <v>-1141.4000000000003</v>
      </c>
      <c r="DK144" s="51">
        <f t="shared" si="444"/>
        <v>412.29999999999995</v>
      </c>
      <c r="DL144" s="51">
        <f t="shared" si="444"/>
        <v>-1033.4000000000001</v>
      </c>
      <c r="DM144" s="51">
        <f t="shared" si="444"/>
        <v>572.00000000000023</v>
      </c>
      <c r="DN144" s="51">
        <f t="shared" si="444"/>
        <v>3544.6999999999994</v>
      </c>
      <c r="DO144" s="51">
        <f t="shared" si="444"/>
        <v>-311.3</v>
      </c>
      <c r="DP144" s="51">
        <f t="shared" si="444"/>
        <v>1555.5</v>
      </c>
      <c r="DQ144" s="51">
        <f t="shared" si="444"/>
        <v>211.30000000000058</v>
      </c>
      <c r="FF144" s="49">
        <f>SUM(DG144:DJ144)</f>
        <v>-5406.7000000000007</v>
      </c>
      <c r="FG144" s="49">
        <f>SUM(DH144:DK144)</f>
        <v>-2116.1000000000004</v>
      </c>
      <c r="FH144" s="49">
        <f t="shared" ref="FH144" si="445">SUM(DI144:DL144)</f>
        <v>-3025.8</v>
      </c>
      <c r="FI144" s="49">
        <f t="shared" ref="FI144" si="446">SUM(DJ144:DM144)</f>
        <v>-1190.5000000000002</v>
      </c>
      <c r="FJ144" s="49">
        <f t="shared" si="436"/>
        <v>3495.5999999999995</v>
      </c>
    </row>
    <row r="145" spans="2:166" x14ac:dyDescent="0.2">
      <c r="B145" s="38" t="s">
        <v>400</v>
      </c>
      <c r="CU145" s="51">
        <v>37.799999999999997</v>
      </c>
      <c r="CV145" s="51">
        <f>64.9-CU145</f>
        <v>27.100000000000009</v>
      </c>
      <c r="CW145" s="51">
        <f>-54.9-CV145-CU145</f>
        <v>-119.8</v>
      </c>
      <c r="CX145" s="51">
        <f>-89.9-CW145-CV145-CU145</f>
        <v>-35.000000000000014</v>
      </c>
      <c r="CY145" s="51">
        <v>-66.7</v>
      </c>
      <c r="CZ145" s="51">
        <f>-12.4-CY145</f>
        <v>54.300000000000004</v>
      </c>
      <c r="DA145" s="51">
        <f>3.8-CZ145-CY145</f>
        <v>16.199999999999996</v>
      </c>
      <c r="DB145" s="51">
        <f>216-DA145-CZ145-CY145</f>
        <v>212.2</v>
      </c>
      <c r="DC145" s="51">
        <v>-10.199999999999999</v>
      </c>
      <c r="DD145" s="51">
        <f>-1.6-DC145</f>
        <v>8.6</v>
      </c>
      <c r="DE145" s="51">
        <f>15-DD145-DC145</f>
        <v>16.600000000000001</v>
      </c>
      <c r="DF145" s="51">
        <f>-205.7-DE145-DD145-DC145</f>
        <v>-220.7</v>
      </c>
      <c r="DG145" s="51">
        <v>33.6</v>
      </c>
      <c r="DH145" s="51">
        <f>-35.8-DG145</f>
        <v>-69.400000000000006</v>
      </c>
      <c r="DI145" s="51">
        <f>-39.4-DH145-DG145</f>
        <v>-3.5999999999999943</v>
      </c>
      <c r="DJ145" s="51">
        <f>-167.6-DI145-DH145-DG145</f>
        <v>-128.19999999999999</v>
      </c>
      <c r="DK145" s="51">
        <v>24.8</v>
      </c>
      <c r="DL145" s="51">
        <f>34-DK145</f>
        <v>9.1999999999999993</v>
      </c>
      <c r="DM145" s="51">
        <f>39.3-DL145-DK145</f>
        <v>5.2999999999999972</v>
      </c>
      <c r="DN145" s="51">
        <f>168.6-DM145-DL145-DK145</f>
        <v>129.30000000000001</v>
      </c>
      <c r="DO145" s="51">
        <v>-35.5</v>
      </c>
      <c r="DP145" s="51">
        <f>-95.1-DO145</f>
        <v>-59.599999999999994</v>
      </c>
      <c r="DQ145" s="51">
        <f>131.8-DP145-DO145</f>
        <v>226.9</v>
      </c>
      <c r="FF145" s="49">
        <f t="shared" ref="FF145" si="447">SUM(CU145:CX145)</f>
        <v>-89.9</v>
      </c>
      <c r="FG145" s="49">
        <f t="shared" ref="FG145" si="448">SUM(CY145:DB145)</f>
        <v>216</v>
      </c>
      <c r="FH145" s="49">
        <f>SUM(DC145:DF145)</f>
        <v>-205.7</v>
      </c>
      <c r="FI145" s="49">
        <f>SUM(DG145:DJ145)</f>
        <v>-167.6</v>
      </c>
      <c r="FJ145" s="49">
        <f>SUM(DK145:DN145)</f>
        <v>168.60000000000002</v>
      </c>
    </row>
    <row r="146" spans="2:166" x14ac:dyDescent="0.2">
      <c r="B146" s="38" t="s">
        <v>401</v>
      </c>
      <c r="CU146" s="51">
        <f t="shared" ref="CU146" si="449">+CU145+CU144+CU138+CU132</f>
        <v>-5961.7999999999975</v>
      </c>
      <c r="CV146" s="51">
        <f t="shared" ref="CV146" si="450">+CV145+CV144+CV138+CV132</f>
        <v>253.79999999999927</v>
      </c>
      <c r="CW146" s="51">
        <f t="shared" ref="CW146" si="451">+CW145+CW144+CW138+CW132</f>
        <v>-726.40000000000055</v>
      </c>
      <c r="CX146" s="51">
        <f t="shared" ref="CX146" si="452">+CX145+CX144+CX138+CX132</f>
        <v>773.69999999999845</v>
      </c>
      <c r="CY146" s="51">
        <f t="shared" ref="CY146:DB146" si="453">+CY145+CY144+CY138+CY132</f>
        <v>-638.49999999999989</v>
      </c>
      <c r="CZ146" s="51">
        <f t="shared" si="453"/>
        <v>666.09999999999945</v>
      </c>
      <c r="DA146" s="51">
        <f t="shared" si="453"/>
        <v>1230.2000000000005</v>
      </c>
      <c r="DB146" s="51">
        <f t="shared" si="453"/>
        <v>61.799999999999727</v>
      </c>
      <c r="DC146" s="51">
        <f t="shared" ref="DC146:DJ146" si="454">+DC145+DC144+DC138+DC132</f>
        <v>-654.7000000000005</v>
      </c>
      <c r="DD146" s="51">
        <f t="shared" si="454"/>
        <v>217.59999999999991</v>
      </c>
      <c r="DE146" s="51">
        <f t="shared" si="454"/>
        <v>568.20000000000027</v>
      </c>
      <c r="DF146" s="51">
        <f t="shared" si="454"/>
        <v>30.300000000000182</v>
      </c>
      <c r="DG146" s="51">
        <f t="shared" si="454"/>
        <v>-1359.3000000000002</v>
      </c>
      <c r="DH146" s="51">
        <f t="shared" si="454"/>
        <v>163.69999999999993</v>
      </c>
      <c r="DI146" s="51">
        <f t="shared" si="454"/>
        <v>-5.1999999999993634</v>
      </c>
      <c r="DJ146" s="51">
        <f t="shared" si="454"/>
        <v>-550.70000000000005</v>
      </c>
      <c r="DK146" s="51">
        <f t="shared" ref="DK146:DQ146" si="455">+DK132+DK138+DK144+DK145</f>
        <v>1478.9</v>
      </c>
      <c r="DL146" s="51">
        <f t="shared" si="455"/>
        <v>-851.40000000000009</v>
      </c>
      <c r="DM146" s="51">
        <f t="shared" si="455"/>
        <v>-313.69999999999976</v>
      </c>
      <c r="DN146" s="51">
        <f t="shared" si="455"/>
        <v>437.79999999999774</v>
      </c>
      <c r="DO146" s="51">
        <f t="shared" si="455"/>
        <v>-358.40000000000038</v>
      </c>
      <c r="DP146" s="51">
        <f t="shared" si="455"/>
        <v>763.39999999999952</v>
      </c>
      <c r="DQ146" s="51">
        <f t="shared" si="455"/>
        <v>145.4000000000004</v>
      </c>
      <c r="FF146" s="49">
        <f t="shared" ref="FF146:FI146" si="456">+FF144+FF145</f>
        <v>-5496.6</v>
      </c>
      <c r="FG146" s="49">
        <f t="shared" si="456"/>
        <v>-1900.1000000000004</v>
      </c>
      <c r="FH146" s="49">
        <f t="shared" si="456"/>
        <v>-3231.5</v>
      </c>
      <c r="FI146" s="49">
        <f t="shared" si="456"/>
        <v>-1358.1000000000001</v>
      </c>
      <c r="FJ146" s="49">
        <f>+FJ144+FJ145</f>
        <v>3664.1999999999994</v>
      </c>
    </row>
    <row r="147" spans="2:166" x14ac:dyDescent="0.2">
      <c r="DN147" s="51"/>
      <c r="FG147" s="49"/>
      <c r="FH147" s="49"/>
      <c r="FI147" s="49"/>
    </row>
    <row r="148" spans="2:166" x14ac:dyDescent="0.2">
      <c r="B148" t="s">
        <v>493</v>
      </c>
      <c r="DN148" s="51"/>
      <c r="EK148" s="49">
        <v>29800</v>
      </c>
      <c r="EL148" s="49">
        <v>31300</v>
      </c>
      <c r="EM148" s="49">
        <v>35700</v>
      </c>
      <c r="EN148" s="51">
        <v>41100</v>
      </c>
      <c r="EO148" s="51">
        <v>43700</v>
      </c>
      <c r="FB148" s="51">
        <v>34790</v>
      </c>
      <c r="FC148" s="51">
        <v>35910</v>
      </c>
      <c r="FD148" s="51">
        <v>34750</v>
      </c>
      <c r="FE148" s="49">
        <v>33090</v>
      </c>
      <c r="FF148" s="49">
        <v>33625</v>
      </c>
      <c r="FG148" s="49"/>
      <c r="FH148" s="49"/>
      <c r="FI148" s="49"/>
    </row>
    <row r="149" spans="2:166" x14ac:dyDescent="0.2">
      <c r="B149" s="38" t="s">
        <v>755</v>
      </c>
      <c r="DB149" s="95">
        <v>161.91</v>
      </c>
      <c r="DC149" s="95">
        <v>179.9</v>
      </c>
      <c r="DD149" s="95">
        <v>222</v>
      </c>
      <c r="DE149" s="95">
        <v>224.2</v>
      </c>
      <c r="DF149" s="95">
        <v>268.89999999999998</v>
      </c>
      <c r="DG149" s="95">
        <v>279.95</v>
      </c>
      <c r="DH149" s="95">
        <v>318.02999999999997</v>
      </c>
      <c r="DI149" s="95">
        <v>318.2</v>
      </c>
      <c r="DJ149" s="95">
        <v>361.02</v>
      </c>
      <c r="DK149" s="95">
        <v>339.99</v>
      </c>
      <c r="DL149" s="95">
        <v>465.5</v>
      </c>
      <c r="DM149" s="47">
        <v>534.29</v>
      </c>
      <c r="DN149" s="47">
        <v>580.91</v>
      </c>
      <c r="DO149" s="47">
        <v>776.64</v>
      </c>
      <c r="DP149" s="47">
        <v>905.38</v>
      </c>
      <c r="DQ149" s="47">
        <v>885.94</v>
      </c>
      <c r="FG149" s="49"/>
      <c r="FH149" s="49"/>
      <c r="FI149" s="49"/>
    </row>
    <row r="150" spans="2:166" x14ac:dyDescent="0.2">
      <c r="B150" s="38" t="s">
        <v>173</v>
      </c>
      <c r="DB150" s="51">
        <f t="shared" ref="DB150:DQ150" si="457">+DB149*DB79</f>
        <v>147757.60881000001</v>
      </c>
      <c r="DC150" s="51">
        <f t="shared" si="457"/>
        <v>164140.76</v>
      </c>
      <c r="DD150" s="51">
        <f t="shared" si="457"/>
        <v>202105.24799999999</v>
      </c>
      <c r="DE150" s="51">
        <f t="shared" si="457"/>
        <v>204190.37419999999</v>
      </c>
      <c r="DF150" s="51">
        <f t="shared" si="457"/>
        <v>244579.33949999997</v>
      </c>
      <c r="DG150" s="51">
        <f t="shared" si="457"/>
        <v>253746.68</v>
      </c>
      <c r="DH150" s="51">
        <f t="shared" si="457"/>
        <v>287162.00819999998</v>
      </c>
      <c r="DI150" s="51">
        <f t="shared" si="457"/>
        <v>287583.43239999999</v>
      </c>
      <c r="DJ150" s="51">
        <f t="shared" si="457"/>
        <v>326626.34663999995</v>
      </c>
      <c r="DK150" s="51">
        <f t="shared" si="457"/>
        <v>307107.18716999999</v>
      </c>
      <c r="DL150" s="51">
        <f t="shared" si="457"/>
        <v>420206.38449999999</v>
      </c>
      <c r="DM150" s="51">
        <f t="shared" si="457"/>
        <v>482303.04870999994</v>
      </c>
      <c r="DN150" s="51">
        <f t="shared" si="457"/>
        <v>525131.02179999999</v>
      </c>
      <c r="DO150" s="51">
        <f t="shared" si="457"/>
        <v>701928.78527999995</v>
      </c>
      <c r="DP150" s="51">
        <f t="shared" si="457"/>
        <v>818688.05424000008</v>
      </c>
      <c r="DQ150" s="51">
        <f t="shared" si="457"/>
        <v>801799.62038000009</v>
      </c>
      <c r="FG150" s="49"/>
      <c r="FH150" s="49"/>
      <c r="FI150" s="49"/>
    </row>
    <row r="151" spans="2:166" x14ac:dyDescent="0.2">
      <c r="B151" s="38" t="s">
        <v>790</v>
      </c>
      <c r="ED151" s="109">
        <v>1</v>
      </c>
      <c r="EE151" s="109">
        <v>1.1000000000000001</v>
      </c>
      <c r="EF151" s="109">
        <v>1.21</v>
      </c>
      <c r="EG151" s="109">
        <v>1.25</v>
      </c>
      <c r="EH151" s="109">
        <v>1.31</v>
      </c>
      <c r="EK151" s="109">
        <v>0.8</v>
      </c>
      <c r="EL151" s="109">
        <v>0.92</v>
      </c>
      <c r="EM151" s="109">
        <v>1.04</v>
      </c>
      <c r="EN151" s="95">
        <v>1.1200000000000001</v>
      </c>
      <c r="EO151" s="95">
        <v>1.24</v>
      </c>
      <c r="FH151" s="49"/>
      <c r="FI151" s="49"/>
    </row>
    <row r="152" spans="2:166" x14ac:dyDescent="0.2">
      <c r="FH152" s="49"/>
      <c r="FI152" s="49"/>
    </row>
    <row r="153" spans="2:166" s="49" customFormat="1" x14ac:dyDescent="0.2">
      <c r="B153" s="50" t="s">
        <v>979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>
        <v>5368.1</v>
      </c>
      <c r="DN153" s="51"/>
      <c r="DO153" s="51"/>
      <c r="DP153" s="51">
        <v>7835</v>
      </c>
      <c r="DQ153" s="51">
        <v>7813.6</v>
      </c>
      <c r="DR153" s="51"/>
      <c r="DS153" s="51"/>
      <c r="DT153" s="51"/>
      <c r="DU153" s="51"/>
      <c r="DV153" s="51"/>
      <c r="EN153" s="51"/>
      <c r="EO153" s="51"/>
      <c r="EP153" s="51"/>
      <c r="EQ153" s="51"/>
      <c r="ER153" s="51"/>
      <c r="ES153" s="51"/>
      <c r="ET153" s="51"/>
      <c r="EU153" s="51"/>
      <c r="EV153" s="51"/>
      <c r="EW153" s="51"/>
      <c r="EX153" s="51"/>
      <c r="EY153" s="51"/>
      <c r="EZ153" s="51"/>
      <c r="FA153" s="51"/>
      <c r="FB153" s="51"/>
      <c r="FC153" s="51"/>
      <c r="FD153" s="51"/>
    </row>
    <row r="154" spans="2:166" s="49" customFormat="1" x14ac:dyDescent="0.2">
      <c r="B154" s="50" t="s">
        <v>980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>
        <v>2568.6</v>
      </c>
      <c r="DN154" s="51"/>
      <c r="DO154" s="51"/>
      <c r="DP154" s="51">
        <v>1404</v>
      </c>
      <c r="DQ154" s="51">
        <v>1628.3</v>
      </c>
      <c r="DR154" s="51"/>
      <c r="DS154" s="51"/>
      <c r="DT154" s="51"/>
      <c r="DU154" s="51"/>
      <c r="DV154" s="51"/>
      <c r="EN154" s="51"/>
      <c r="EO154" s="51"/>
      <c r="EP154" s="51"/>
      <c r="EQ154" s="51"/>
      <c r="ER154" s="51"/>
      <c r="ES154" s="51"/>
      <c r="ET154" s="51"/>
      <c r="EU154" s="51"/>
      <c r="EV154" s="51"/>
      <c r="EW154" s="51"/>
      <c r="EX154" s="51"/>
      <c r="EY154" s="51"/>
      <c r="EZ154" s="51"/>
      <c r="FA154" s="51"/>
      <c r="FB154" s="51"/>
      <c r="FC154" s="51"/>
      <c r="FD154" s="51"/>
    </row>
    <row r="155" spans="2:166" s="49" customFormat="1" x14ac:dyDescent="0.2">
      <c r="B155" s="50" t="s">
        <v>981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>
        <v>390.8</v>
      </c>
      <c r="DN155" s="51"/>
      <c r="DO155" s="51"/>
      <c r="DP155" s="51">
        <v>463</v>
      </c>
      <c r="DQ155" s="51">
        <v>429.1</v>
      </c>
      <c r="DR155" s="51"/>
      <c r="DS155" s="51"/>
      <c r="DT155" s="51"/>
      <c r="DU155" s="51"/>
      <c r="DV155" s="51"/>
      <c r="EN155" s="51"/>
      <c r="EO155" s="51"/>
      <c r="EP155" s="51"/>
      <c r="EQ155" s="51"/>
      <c r="ER155" s="51"/>
      <c r="ES155" s="51"/>
      <c r="ET155" s="51"/>
      <c r="EU155" s="51"/>
      <c r="EV155" s="51"/>
      <c r="EW155" s="51"/>
      <c r="EX155" s="51"/>
      <c r="EY155" s="51"/>
      <c r="EZ155" s="51"/>
      <c r="FA155" s="51"/>
      <c r="FB155" s="51"/>
      <c r="FC155" s="51"/>
      <c r="FD155" s="51"/>
    </row>
    <row r="156" spans="2:166" s="49" customFormat="1" x14ac:dyDescent="0.2">
      <c r="B156" s="50" t="s">
        <v>552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>
        <v>390.8</v>
      </c>
      <c r="DN156" s="51"/>
      <c r="DO156" s="51"/>
      <c r="DP156" s="51">
        <v>395</v>
      </c>
      <c r="DQ156" s="51">
        <v>459.9</v>
      </c>
      <c r="DR156" s="51"/>
      <c r="DS156" s="51"/>
      <c r="DT156" s="51"/>
      <c r="DU156" s="51"/>
      <c r="DV156" s="51"/>
      <c r="EN156" s="51"/>
      <c r="EO156" s="51"/>
      <c r="EP156" s="51"/>
      <c r="EQ156" s="51"/>
      <c r="ER156" s="51"/>
      <c r="ES156" s="51"/>
      <c r="ET156" s="51"/>
      <c r="EU156" s="51"/>
      <c r="EV156" s="51"/>
      <c r="EW156" s="51"/>
      <c r="EX156" s="51"/>
      <c r="EY156" s="51"/>
      <c r="EZ156" s="51"/>
      <c r="FA156" s="51"/>
      <c r="FB156" s="51"/>
      <c r="FC156" s="51"/>
      <c r="FD156" s="51"/>
    </row>
    <row r="157" spans="2:166" s="49" customFormat="1" x14ac:dyDescent="0.2">
      <c r="B157" s="50" t="s">
        <v>982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780.3</v>
      </c>
      <c r="DN157" s="51"/>
      <c r="DO157" s="51"/>
      <c r="DP157" s="51">
        <v>1206</v>
      </c>
      <c r="DQ157" s="51">
        <v>1108.2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577</v>
      </c>
      <c r="E2" s="38" t="s">
        <v>578</v>
      </c>
      <c r="F2" s="38" t="s">
        <v>51</v>
      </c>
      <c r="G2" s="48" t="s">
        <v>641</v>
      </c>
      <c r="H2" s="48" t="s">
        <v>642</v>
      </c>
      <c r="I2" s="48" t="s">
        <v>643</v>
      </c>
      <c r="J2" s="48" t="s">
        <v>644</v>
      </c>
      <c r="K2" s="48" t="s">
        <v>646</v>
      </c>
      <c r="L2" s="48" t="s">
        <v>647</v>
      </c>
      <c r="M2" s="48"/>
      <c r="N2" s="48" t="s">
        <v>604</v>
      </c>
      <c r="O2" s="48" t="s">
        <v>605</v>
      </c>
      <c r="P2" s="48" t="s">
        <v>606</v>
      </c>
      <c r="Q2" s="48" t="s">
        <v>607</v>
      </c>
      <c r="R2" s="48" t="s">
        <v>608</v>
      </c>
      <c r="S2" s="48" t="s">
        <v>609</v>
      </c>
      <c r="T2" s="48" t="s">
        <v>610</v>
      </c>
      <c r="U2" s="48" t="s">
        <v>611</v>
      </c>
      <c r="V2" s="48" t="s">
        <v>612</v>
      </c>
      <c r="W2" s="48" t="s">
        <v>613</v>
      </c>
      <c r="X2" s="48" t="s">
        <v>614</v>
      </c>
      <c r="Y2" s="48" t="s">
        <v>615</v>
      </c>
      <c r="Z2" s="48" t="s">
        <v>616</v>
      </c>
      <c r="AA2" s="48" t="s">
        <v>617</v>
      </c>
      <c r="AB2" s="48" t="s">
        <v>618</v>
      </c>
      <c r="AC2" s="48" t="s">
        <v>619</v>
      </c>
      <c r="AD2" s="48" t="s">
        <v>620</v>
      </c>
      <c r="AE2" s="48" t="s">
        <v>621</v>
      </c>
      <c r="AF2" s="48" t="s">
        <v>622</v>
      </c>
      <c r="AG2" s="48" t="s">
        <v>623</v>
      </c>
      <c r="AH2" s="48" t="s">
        <v>624</v>
      </c>
      <c r="AI2" s="48" t="s">
        <v>625</v>
      </c>
      <c r="AJ2" s="48" t="s">
        <v>626</v>
      </c>
      <c r="AK2" s="48" t="s">
        <v>627</v>
      </c>
      <c r="AL2" s="48" t="s">
        <v>628</v>
      </c>
      <c r="AM2" s="48" t="s">
        <v>629</v>
      </c>
      <c r="AN2" s="48" t="s">
        <v>630</v>
      </c>
      <c r="AO2" s="48" t="s">
        <v>631</v>
      </c>
      <c r="AP2" s="48" t="s">
        <v>632</v>
      </c>
      <c r="AQ2" s="48" t="s">
        <v>633</v>
      </c>
      <c r="AR2" s="48" t="s">
        <v>634</v>
      </c>
      <c r="AS2" s="48" t="s">
        <v>635</v>
      </c>
      <c r="AT2" s="48" t="s">
        <v>636</v>
      </c>
      <c r="AU2" s="48" t="s">
        <v>637</v>
      </c>
      <c r="AV2" s="48" t="s">
        <v>638</v>
      </c>
      <c r="AW2" s="48" t="s">
        <v>639</v>
      </c>
      <c r="AX2" s="48" t="s">
        <v>640</v>
      </c>
      <c r="AZ2" s="48" t="s">
        <v>703</v>
      </c>
      <c r="BA2" s="48" t="s">
        <v>704</v>
      </c>
      <c r="BB2" s="48" t="s">
        <v>705</v>
      </c>
      <c r="BC2" s="48" t="s">
        <v>706</v>
      </c>
      <c r="BD2" s="48" t="s">
        <v>699</v>
      </c>
      <c r="BE2" s="48" t="s">
        <v>700</v>
      </c>
      <c r="BF2" s="48" t="s">
        <v>701</v>
      </c>
      <c r="BG2" s="48" t="s">
        <v>702</v>
      </c>
      <c r="BH2" s="48" t="s">
        <v>698</v>
      </c>
      <c r="BI2" s="48" t="s">
        <v>697</v>
      </c>
      <c r="BJ2" s="48" t="s">
        <v>696</v>
      </c>
      <c r="BK2" s="48" t="s">
        <v>695</v>
      </c>
      <c r="BL2" s="48" t="s">
        <v>694</v>
      </c>
      <c r="BM2" s="48" t="s">
        <v>693</v>
      </c>
      <c r="BN2" s="48" t="s">
        <v>692</v>
      </c>
      <c r="BO2" s="48" t="s">
        <v>691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649</v>
      </c>
      <c r="FA2" s="48" t="s">
        <v>650</v>
      </c>
      <c r="FB2" s="48" t="s">
        <v>651</v>
      </c>
      <c r="FC2" s="48" t="s">
        <v>652</v>
      </c>
      <c r="FD2" s="48" t="s">
        <v>653</v>
      </c>
      <c r="FE2" s="48" t="s">
        <v>654</v>
      </c>
      <c r="FF2" s="48" t="s">
        <v>655</v>
      </c>
      <c r="FG2" s="48" t="s">
        <v>656</v>
      </c>
      <c r="FH2" s="48" t="s">
        <v>657</v>
      </c>
      <c r="FI2" s="48" t="s">
        <v>658</v>
      </c>
      <c r="FJ2" s="48" t="s">
        <v>659</v>
      </c>
      <c r="FK2" s="48" t="s">
        <v>648</v>
      </c>
      <c r="FL2" s="48" t="s">
        <v>660</v>
      </c>
      <c r="FM2" s="48" t="s">
        <v>661</v>
      </c>
    </row>
    <row r="3" spans="1:169" s="55" customFormat="1" x14ac:dyDescent="0.2">
      <c r="B3" s="55" t="s">
        <v>645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581</v>
      </c>
    </row>
    <row r="6" spans="1:169" x14ac:dyDescent="0.2">
      <c r="B6" s="38" t="s">
        <v>569</v>
      </c>
      <c r="C6" s="38" t="s">
        <v>576</v>
      </c>
      <c r="D6" s="83">
        <v>40203</v>
      </c>
      <c r="E6" s="38" t="s">
        <v>583</v>
      </c>
    </row>
    <row r="7" spans="1:169" x14ac:dyDescent="0.2">
      <c r="B7" s="38" t="s">
        <v>573</v>
      </c>
      <c r="C7" s="38" t="s">
        <v>221</v>
      </c>
      <c r="D7" s="83">
        <v>40935</v>
      </c>
      <c r="E7" s="38" t="s">
        <v>581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582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570</v>
      </c>
      <c r="C9" s="38" t="s">
        <v>576</v>
      </c>
      <c r="D9" s="83">
        <v>41996</v>
      </c>
      <c r="E9" s="38" t="s">
        <v>583</v>
      </c>
    </row>
    <row r="10" spans="1:169" x14ac:dyDescent="0.2">
      <c r="B10" s="38" t="s">
        <v>572</v>
      </c>
      <c r="C10" s="38" t="s">
        <v>575</v>
      </c>
      <c r="D10" s="83">
        <v>43074</v>
      </c>
      <c r="E10" s="38" t="s">
        <v>583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571</v>
      </c>
      <c r="C11" s="38" t="s">
        <v>575</v>
      </c>
      <c r="D11" s="83">
        <v>43728</v>
      </c>
      <c r="E11" s="38" t="s">
        <v>583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574</v>
      </c>
      <c r="C12" s="38" t="s">
        <v>575</v>
      </c>
      <c r="D12" s="83">
        <v>44351</v>
      </c>
      <c r="E12" s="38" t="s">
        <v>583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542</v>
      </c>
      <c r="D13" s="83">
        <v>44694</v>
      </c>
      <c r="E13" s="38" t="s">
        <v>582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542</v>
      </c>
      <c r="D14" s="83">
        <v>45238</v>
      </c>
      <c r="E14" s="38" t="s">
        <v>582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579</v>
      </c>
      <c r="C16" s="38" t="s">
        <v>580</v>
      </c>
      <c r="E16" s="38" t="s">
        <v>581</v>
      </c>
    </row>
    <row r="17" spans="2:72" x14ac:dyDescent="0.2">
      <c r="B17" s="38" t="s">
        <v>584</v>
      </c>
      <c r="C17" s="38" t="s">
        <v>567</v>
      </c>
      <c r="E17" s="38" t="s">
        <v>582</v>
      </c>
    </row>
    <row r="18" spans="2:72" x14ac:dyDescent="0.2">
      <c r="C18" s="38" t="s">
        <v>585</v>
      </c>
    </row>
    <row r="19" spans="2:72" x14ac:dyDescent="0.2">
      <c r="B19" s="38" t="s">
        <v>586</v>
      </c>
      <c r="C19" s="38" t="s">
        <v>587</v>
      </c>
      <c r="E19" s="38" t="s">
        <v>582</v>
      </c>
      <c r="N19" t="s">
        <v>588</v>
      </c>
    </row>
    <row r="20" spans="2:72" x14ac:dyDescent="0.2">
      <c r="B20" s="38" t="s">
        <v>590</v>
      </c>
      <c r="C20" s="38" t="s">
        <v>589</v>
      </c>
      <c r="E20" s="38" t="s">
        <v>591</v>
      </c>
    </row>
    <row r="21" spans="2:72" x14ac:dyDescent="0.2">
      <c r="C21" s="38" t="s">
        <v>592</v>
      </c>
    </row>
    <row r="22" spans="2:72" x14ac:dyDescent="0.2">
      <c r="B22" s="38" t="s">
        <v>593</v>
      </c>
      <c r="E22" s="38" t="s">
        <v>707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594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596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595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597</v>
      </c>
    </row>
    <row r="27" spans="2:72" x14ac:dyDescent="0.2">
      <c r="B27" s="38" t="s">
        <v>598</v>
      </c>
    </row>
    <row r="28" spans="2:72" x14ac:dyDescent="0.2">
      <c r="E28" s="38" t="s">
        <v>599</v>
      </c>
    </row>
    <row r="29" spans="2:72" x14ac:dyDescent="0.2">
      <c r="E29" s="38" t="s">
        <v>600</v>
      </c>
    </row>
    <row r="30" spans="2:72" x14ac:dyDescent="0.2">
      <c r="E30" s="38" t="s">
        <v>601</v>
      </c>
    </row>
    <row r="31" spans="2:72" x14ac:dyDescent="0.2">
      <c r="B31" s="38" t="s">
        <v>602</v>
      </c>
      <c r="C31" s="38" t="s">
        <v>603</v>
      </c>
    </row>
    <row r="32" spans="2:72" x14ac:dyDescent="0.2">
      <c r="C32" s="38" t="s">
        <v>708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675</v>
      </c>
      <c r="G2" s="87" t="s">
        <v>686</v>
      </c>
      <c r="H2" s="87" t="s">
        <v>685</v>
      </c>
      <c r="I2" s="87" t="s">
        <v>684</v>
      </c>
      <c r="J2" s="87" t="s">
        <v>683</v>
      </c>
    </row>
    <row r="3" spans="1:12" x14ac:dyDescent="0.2">
      <c r="B3" s="38" t="s">
        <v>662</v>
      </c>
      <c r="C3" s="71" t="s">
        <v>679</v>
      </c>
      <c r="D3" s="71" t="s">
        <v>670</v>
      </c>
      <c r="E3" s="86" t="s">
        <v>671</v>
      </c>
      <c r="F3" s="86" t="s">
        <v>676</v>
      </c>
      <c r="G3" s="91" t="s">
        <v>677</v>
      </c>
      <c r="H3" s="91" t="s">
        <v>674</v>
      </c>
      <c r="I3" s="87" t="s">
        <v>672</v>
      </c>
      <c r="J3" s="87" t="s">
        <v>673</v>
      </c>
    </row>
    <row r="4" spans="1:12" x14ac:dyDescent="0.2">
      <c r="B4" s="38" t="s">
        <v>663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664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665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666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667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668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669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678</v>
      </c>
      <c r="G12" s="71"/>
      <c r="H12" s="71"/>
      <c r="I12" s="71"/>
      <c r="J12" s="71"/>
    </row>
    <row r="13" spans="1:12" x14ac:dyDescent="0.2">
      <c r="B13" s="38" t="s">
        <v>662</v>
      </c>
      <c r="C13" s="71" t="s">
        <v>679</v>
      </c>
      <c r="D13" s="71" t="s">
        <v>670</v>
      </c>
      <c r="E13" s="86" t="s">
        <v>671</v>
      </c>
      <c r="F13" s="86" t="s">
        <v>676</v>
      </c>
      <c r="G13" s="86" t="s">
        <v>677</v>
      </c>
      <c r="H13" s="86" t="s">
        <v>674</v>
      </c>
      <c r="I13" s="71" t="s">
        <v>672</v>
      </c>
      <c r="J13" s="87" t="s">
        <v>673</v>
      </c>
    </row>
    <row r="14" spans="1:12" x14ac:dyDescent="0.2">
      <c r="B14" s="38" t="s">
        <v>663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664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665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666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667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668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669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680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681</v>
      </c>
      <c r="C25" s="54">
        <v>331000</v>
      </c>
      <c r="G25" s="71">
        <f>12.3+16.4+9.2+11.9</f>
        <v>49.8</v>
      </c>
      <c r="I25" s="71" t="s">
        <v>687</v>
      </c>
      <c r="J25" s="71"/>
    </row>
    <row r="26" spans="2:10" x14ac:dyDescent="0.2">
      <c r="B26" s="38" t="s">
        <v>682</v>
      </c>
      <c r="C26" s="54">
        <f>C25*0.75</f>
        <v>248250</v>
      </c>
      <c r="G26" s="71">
        <f>16.4+9.2+11.9</f>
        <v>37.5</v>
      </c>
      <c r="I26" s="71" t="s">
        <v>688</v>
      </c>
    </row>
    <row r="27" spans="2:10" x14ac:dyDescent="0.2">
      <c r="C27" s="54"/>
      <c r="G27" s="71">
        <f>9.2+11.9</f>
        <v>21.1</v>
      </c>
      <c r="I27" s="71" t="s">
        <v>689</v>
      </c>
    </row>
    <row r="28" spans="2:10" x14ac:dyDescent="0.2">
      <c r="G28" s="53">
        <v>11.9</v>
      </c>
      <c r="I28" s="71" t="s">
        <v>690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14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883</v>
      </c>
    </row>
    <row r="3" spans="1:3" x14ac:dyDescent="0.2">
      <c r="B3" s="38" t="s">
        <v>403</v>
      </c>
      <c r="C3" s="38" t="s">
        <v>884</v>
      </c>
    </row>
    <row r="4" spans="1:3" x14ac:dyDescent="0.2">
      <c r="B4" s="38" t="s">
        <v>847</v>
      </c>
      <c r="C4" s="38" t="s">
        <v>885</v>
      </c>
    </row>
    <row r="5" spans="1:3" x14ac:dyDescent="0.2">
      <c r="C5" s="38" t="s">
        <v>886</v>
      </c>
    </row>
    <row r="6" spans="1:3" x14ac:dyDescent="0.2">
      <c r="B6" s="38" t="s">
        <v>872</v>
      </c>
      <c r="C6" s="38" t="s">
        <v>891</v>
      </c>
    </row>
    <row r="7" spans="1:3" x14ac:dyDescent="0.2">
      <c r="B7" s="38" t="s">
        <v>92</v>
      </c>
    </row>
    <row r="8" spans="1:3" x14ac:dyDescent="0.2">
      <c r="C8" s="20" t="s">
        <v>887</v>
      </c>
    </row>
    <row r="9" spans="1:3" x14ac:dyDescent="0.2">
      <c r="C9" s="38" t="s">
        <v>888</v>
      </c>
    </row>
    <row r="13" spans="1:3" x14ac:dyDescent="0.2">
      <c r="C13" s="20" t="s">
        <v>889</v>
      </c>
    </row>
    <row r="14" spans="1:3" x14ac:dyDescent="0.2">
      <c r="C14" s="38" t="s">
        <v>890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18"/>
  <sheetViews>
    <sheetView zoomScale="160" zoomScaleNormal="160" workbookViewId="0">
      <selection activeCell="C19" sqref="C19"/>
    </sheetView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545</v>
      </c>
    </row>
    <row r="3" spans="1:3" x14ac:dyDescent="0.2">
      <c r="B3" s="38" t="s">
        <v>403</v>
      </c>
      <c r="C3" s="38" t="s">
        <v>542</v>
      </c>
    </row>
    <row r="4" spans="1:3" x14ac:dyDescent="0.2">
      <c r="B4" s="38" t="s">
        <v>1</v>
      </c>
      <c r="C4" s="38" t="s">
        <v>546</v>
      </c>
    </row>
    <row r="5" spans="1:3" x14ac:dyDescent="0.2">
      <c r="B5" s="38" t="s">
        <v>405</v>
      </c>
      <c r="C5" s="38" t="s">
        <v>918</v>
      </c>
    </row>
    <row r="6" spans="1:3" x14ac:dyDescent="0.2">
      <c r="B6" s="38" t="s">
        <v>923</v>
      </c>
      <c r="C6" s="38" t="s">
        <v>924</v>
      </c>
    </row>
    <row r="7" spans="1:3" x14ac:dyDescent="0.2">
      <c r="B7" s="38"/>
      <c r="C7" s="38"/>
    </row>
    <row r="8" spans="1:3" x14ac:dyDescent="0.2">
      <c r="B8" s="38" t="s">
        <v>92</v>
      </c>
    </row>
    <row r="9" spans="1:3" x14ac:dyDescent="0.2">
      <c r="C9" s="20" t="s">
        <v>554</v>
      </c>
    </row>
    <row r="10" spans="1:3" x14ac:dyDescent="0.2">
      <c r="C10" s="38" t="s">
        <v>555</v>
      </c>
    </row>
    <row r="12" spans="1:3" x14ac:dyDescent="0.2">
      <c r="C12" s="20" t="s">
        <v>744</v>
      </c>
    </row>
    <row r="16" spans="1:3" x14ac:dyDescent="0.2">
      <c r="C16" s="20" t="s">
        <v>919</v>
      </c>
    </row>
    <row r="17" spans="3:3" x14ac:dyDescent="0.2">
      <c r="C17" s="38" t="s">
        <v>916</v>
      </c>
    </row>
    <row r="18" spans="3:3" x14ac:dyDescent="0.2">
      <c r="C18" s="38" t="s">
        <v>917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IP</vt:lpstr>
      <vt:lpstr>Main</vt:lpstr>
      <vt:lpstr>Model</vt:lpstr>
      <vt:lpstr>GLP-1s</vt:lpstr>
      <vt:lpstr>Obesity</vt:lpstr>
      <vt:lpstr>Omvoh</vt:lpstr>
      <vt:lpstr>Trulicity</vt:lpstr>
      <vt:lpstr>Mounjaro-Zepbound</vt:lpstr>
      <vt:lpstr>Kisunla</vt:lpstr>
      <vt:lpstr>insulin efsitora</vt:lpstr>
      <vt:lpstr>imlunestrant</vt:lpstr>
      <vt:lpstr>Ebglyss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2004-12-10T18:45:06Z</dcterms:created>
  <dcterms:modified xsi:type="dcterms:W3CDTF">2025-02-05T23:21:44Z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