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D7F19A80-8E17-4FC4-9FD7-495E3043AF98}" xr6:coauthVersionLast="47" xr6:coauthVersionMax="47" xr10:uidLastSave="{00000000-0000-0000-0000-000000000000}"/>
  <bookViews>
    <workbookView xWindow="-120" yWindow="-120" windowWidth="29040" windowHeight="15840" activeTab="1" xr2:uid="{D88A4932-B9DE-439A-B37B-5DA8EBCAACF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2" l="1"/>
  <c r="AA16" i="2"/>
  <c r="AB16" i="2"/>
  <c r="AC16" i="2"/>
  <c r="AD16" i="2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J7" i="2"/>
  <c r="L31" i="2"/>
  <c r="I7" i="2"/>
  <c r="H7" i="2"/>
  <c r="G7" i="2"/>
  <c r="F7" i="2"/>
  <c r="E7" i="2"/>
  <c r="K33" i="2"/>
  <c r="K31" i="2"/>
  <c r="K29" i="2"/>
  <c r="L26" i="2"/>
  <c r="K26" i="2"/>
  <c r="K25" i="2"/>
  <c r="L25" i="2" s="1"/>
  <c r="M25" i="2" s="1"/>
  <c r="M26" i="2" s="1"/>
  <c r="U4" i="2"/>
  <c r="V4" i="2" s="1"/>
  <c r="W4" i="2" s="1"/>
  <c r="X4" i="2" s="1"/>
  <c r="Y4" i="2" s="1"/>
  <c r="P4" i="2"/>
  <c r="Q4" i="2" s="1"/>
  <c r="R4" i="2" s="1"/>
  <c r="S4" i="2" s="1"/>
  <c r="T4" i="2" s="1"/>
  <c r="L4" i="2"/>
  <c r="M4" i="2" s="1"/>
  <c r="N4" i="2" s="1"/>
  <c r="O4" i="2" s="1"/>
  <c r="K4" i="2"/>
  <c r="I12" i="2"/>
  <c r="H12" i="2"/>
  <c r="G12" i="2"/>
  <c r="F12" i="2"/>
  <c r="E12" i="2"/>
  <c r="J5" i="1"/>
  <c r="J8" i="1" s="1"/>
  <c r="J9" i="1" s="1"/>
  <c r="D16" i="2"/>
  <c r="C12" i="2"/>
  <c r="C7" i="2"/>
  <c r="C9" i="2" s="1"/>
  <c r="C49" i="2"/>
  <c r="C46" i="2"/>
  <c r="C34" i="2"/>
  <c r="C43" i="2" s="1"/>
  <c r="J6" i="1"/>
  <c r="J12" i="1" s="1"/>
  <c r="K34" i="2" l="1"/>
  <c r="E16" i="2"/>
  <c r="C51" i="2"/>
  <c r="C53" i="2" s="1"/>
  <c r="C11" i="2"/>
  <c r="C14" i="2" s="1"/>
  <c r="C16" i="2" s="1"/>
  <c r="C28" i="2"/>
  <c r="F16" i="2" l="1"/>
  <c r="J10" i="1"/>
  <c r="G16" i="2" l="1"/>
  <c r="H16" i="2" l="1"/>
  <c r="K7" i="2" l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L22" i="2" l="1"/>
  <c r="L24" i="2" s="1"/>
</calcChain>
</file>

<file path=xl/sharedStrings.xml><?xml version="1.0" encoding="utf-8"?>
<sst xmlns="http://schemas.openxmlformats.org/spreadsheetml/2006/main" count="63" uniqueCount="57">
  <si>
    <t xml:space="preserve">Price </t>
  </si>
  <si>
    <t xml:space="preserve">Shares </t>
  </si>
  <si>
    <t xml:space="preserve">MC </t>
  </si>
  <si>
    <t xml:space="preserve">Cash </t>
  </si>
  <si>
    <t xml:space="preserve">Debt </t>
  </si>
  <si>
    <t xml:space="preserve">EV </t>
  </si>
  <si>
    <t xml:space="preserve">EV/LV </t>
  </si>
  <si>
    <t xml:space="preserve">EV/E </t>
  </si>
  <si>
    <t>Q324</t>
  </si>
  <si>
    <t xml:space="preserve">net cash </t>
  </si>
  <si>
    <t xml:space="preserve">AR </t>
  </si>
  <si>
    <t xml:space="preserve">Inventories </t>
  </si>
  <si>
    <t xml:space="preserve">OCA </t>
  </si>
  <si>
    <t xml:space="preserve">PPE </t>
  </si>
  <si>
    <t xml:space="preserve">Goodwill </t>
  </si>
  <si>
    <t xml:space="preserve">Tax </t>
  </si>
  <si>
    <t xml:space="preserve">Lease </t>
  </si>
  <si>
    <t xml:space="preserve">OA </t>
  </si>
  <si>
    <t xml:space="preserve">ASSETS </t>
  </si>
  <si>
    <t xml:space="preserve">AP </t>
  </si>
  <si>
    <t xml:space="preserve">Acc exp </t>
  </si>
  <si>
    <t xml:space="preserve">OLTL </t>
  </si>
  <si>
    <t xml:space="preserve">Liabilities </t>
  </si>
  <si>
    <t xml:space="preserve">SE </t>
  </si>
  <si>
    <t xml:space="preserve">L + SE </t>
  </si>
  <si>
    <t xml:space="preserve">Liquidation value </t>
  </si>
  <si>
    <t xml:space="preserve">Revenue </t>
  </si>
  <si>
    <t xml:space="preserve">Product </t>
  </si>
  <si>
    <t xml:space="preserve">Royalties </t>
  </si>
  <si>
    <t xml:space="preserve">COGS </t>
  </si>
  <si>
    <t xml:space="preserve">Gross profit </t>
  </si>
  <si>
    <t xml:space="preserve">SGA </t>
  </si>
  <si>
    <t>Gross margin</t>
  </si>
  <si>
    <t xml:space="preserve">Operating income </t>
  </si>
  <si>
    <t xml:space="preserve">Interest </t>
  </si>
  <si>
    <t xml:space="preserve">Others </t>
  </si>
  <si>
    <t xml:space="preserve">Pretax </t>
  </si>
  <si>
    <t xml:space="preserve">Net income </t>
  </si>
  <si>
    <t>Terminal</t>
  </si>
  <si>
    <t xml:space="preserve">discount </t>
  </si>
  <si>
    <t xml:space="preserve">npv </t>
  </si>
  <si>
    <t>share</t>
  </si>
  <si>
    <t xml:space="preserve">current </t>
  </si>
  <si>
    <t xml:space="preserve">change </t>
  </si>
  <si>
    <t xml:space="preserve">Pacer Advisors </t>
  </si>
  <si>
    <t xml:space="preserve">BlackRock </t>
  </si>
  <si>
    <t>Estabilished</t>
  </si>
  <si>
    <t xml:space="preserve">CEO </t>
  </si>
  <si>
    <t xml:space="preserve">Carlos Alberini </t>
  </si>
  <si>
    <t xml:space="preserve">Dimensional Fund </t>
  </si>
  <si>
    <t xml:space="preserve">Vanguard </t>
  </si>
  <si>
    <t xml:space="preserve">Barclays </t>
  </si>
  <si>
    <t xml:space="preserve">Hennessy Advisors </t>
  </si>
  <si>
    <t xml:space="preserve">LSV Asset management </t>
  </si>
  <si>
    <t xml:space="preserve">Arrowstreet Capital </t>
  </si>
  <si>
    <t xml:space="preserve">Charles Schaw </t>
  </si>
  <si>
    <t xml:space="preserve">x80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</si>
</sst>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\x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164" fontId="0" fillId="0" borderId="0" xfId="0" applyNumberFormat="1"/>
    <xf numFmtId="3" fontId="2" fillId="0" borderId="0" xfId="0" applyNumberFormat="1" applyFont="1"/>
    <xf numFmtId="9" fontId="0" fillId="0" borderId="0" xfId="1" applyFont="1"/>
    <xf numFmtId="4" fontId="0" fillId="0" borderId="0" xfId="0" applyNumberFormat="1"/>
    <xf numFmtId="8" fontId="0" fillId="0" borderId="0" xfId="0" applyNumberFormat="1"/>
    <xf numFmtId="10" fontId="0" fillId="0" borderId="0" xfId="1" applyNumberFormat="1" applyFont="1"/>
    <xf numFmtId="3" fontId="0" fillId="0" borderId="0" xfId="1" applyNumberFormat="1" applyFont="1"/>
    <xf numFmtId="9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133350</xdr:rowOff>
    </xdr:from>
    <xdr:to>
      <xdr:col>9</xdr:col>
      <xdr:colOff>9525</xdr:colOff>
      <xdr:row>38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0BB3BE-E08E-0C35-D1FE-D21570787E02}"/>
            </a:ext>
          </a:extLst>
        </xdr:cNvPr>
        <xdr:cNvCxnSpPr/>
      </xdr:nvCxnSpPr>
      <xdr:spPr>
        <a:xfrm>
          <a:off x="6753225" y="133350"/>
          <a:ext cx="0" cy="7296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86DA-BB63-4BE2-94E1-6466475F647C}">
  <dimension ref="B3:K28"/>
  <sheetViews>
    <sheetView workbookViewId="0">
      <selection activeCell="J9" sqref="J9"/>
    </sheetView>
  </sheetViews>
  <sheetFormatPr defaultRowHeight="15" x14ac:dyDescent="0.2"/>
  <cols>
    <col min="2" max="2" width="20.6640625" customWidth="1"/>
    <col min="3" max="3" width="12.21875" customWidth="1"/>
    <col min="4" max="4" width="9.88671875" bestFit="1" customWidth="1"/>
  </cols>
  <sheetData>
    <row r="3" spans="2:11" x14ac:dyDescent="0.2">
      <c r="B3" s="10" t="s">
        <v>46</v>
      </c>
      <c r="C3">
        <v>1981</v>
      </c>
      <c r="I3" t="s">
        <v>0</v>
      </c>
      <c r="J3">
        <v>14.21</v>
      </c>
    </row>
    <row r="4" spans="2:11" x14ac:dyDescent="0.2">
      <c r="B4" s="10" t="s">
        <v>47</v>
      </c>
      <c r="C4" t="s">
        <v>48</v>
      </c>
      <c r="I4" t="s">
        <v>1</v>
      </c>
      <c r="J4" s="1">
        <v>51.456840999999997</v>
      </c>
      <c r="K4" t="s">
        <v>8</v>
      </c>
    </row>
    <row r="5" spans="2:11" x14ac:dyDescent="0.2">
      <c r="I5" t="s">
        <v>2</v>
      </c>
      <c r="J5" s="1">
        <f>+J3*J4</f>
        <v>731.20171060999996</v>
      </c>
    </row>
    <row r="6" spans="2:11" x14ac:dyDescent="0.2">
      <c r="I6" t="s">
        <v>3</v>
      </c>
      <c r="J6" s="1">
        <f>140.911+1.411</f>
        <v>142.322</v>
      </c>
      <c r="K6" t="s">
        <v>8</v>
      </c>
    </row>
    <row r="7" spans="2:11" x14ac:dyDescent="0.2">
      <c r="I7" t="s">
        <v>4</v>
      </c>
      <c r="J7" s="1">
        <v>622</v>
      </c>
      <c r="K7" t="s">
        <v>8</v>
      </c>
    </row>
    <row r="8" spans="2:11" x14ac:dyDescent="0.2">
      <c r="I8" t="s">
        <v>5</v>
      </c>
      <c r="J8" s="1">
        <f>+J5-J6+J7</f>
        <v>1210.8797106100001</v>
      </c>
    </row>
    <row r="9" spans="2:11" x14ac:dyDescent="0.2">
      <c r="I9" t="s">
        <v>6</v>
      </c>
      <c r="J9" s="2">
        <f>+J8/model!C55</f>
        <v>5.9356848559313731</v>
      </c>
    </row>
    <row r="10" spans="2:11" x14ac:dyDescent="0.2">
      <c r="B10" s="1">
        <v>51456841</v>
      </c>
      <c r="I10" t="s">
        <v>7</v>
      </c>
      <c r="J10" s="2">
        <f>+J8/model!D16</f>
        <v>4.7676183581778098</v>
      </c>
    </row>
    <row r="12" spans="2:11" x14ac:dyDescent="0.2">
      <c r="B12" t="s">
        <v>44</v>
      </c>
      <c r="D12" s="1">
        <v>4043279</v>
      </c>
      <c r="E12" s="4"/>
      <c r="I12" t="s">
        <v>9</v>
      </c>
      <c r="J12" s="1">
        <f>+J6-J7</f>
        <v>-479.678</v>
      </c>
    </row>
    <row r="13" spans="2:11" x14ac:dyDescent="0.2">
      <c r="B13" t="s">
        <v>45</v>
      </c>
      <c r="D13" s="1">
        <v>3594046</v>
      </c>
    </row>
    <row r="14" spans="2:11" x14ac:dyDescent="0.2">
      <c r="B14" t="s">
        <v>49</v>
      </c>
      <c r="D14" s="1">
        <v>3061735</v>
      </c>
    </row>
    <row r="15" spans="2:11" x14ac:dyDescent="0.2">
      <c r="B15" t="s">
        <v>50</v>
      </c>
      <c r="D15" s="1"/>
    </row>
    <row r="16" spans="2:11" x14ac:dyDescent="0.2">
      <c r="B16" t="s">
        <v>51</v>
      </c>
      <c r="D16" s="4"/>
    </row>
    <row r="17" spans="2:4" x14ac:dyDescent="0.2">
      <c r="B17" t="s">
        <v>52</v>
      </c>
      <c r="D17" s="1"/>
    </row>
    <row r="18" spans="2:4" x14ac:dyDescent="0.2">
      <c r="B18" t="s">
        <v>53</v>
      </c>
      <c r="D18" s="1"/>
    </row>
    <row r="19" spans="2:4" x14ac:dyDescent="0.2">
      <c r="B19" t="s">
        <v>54</v>
      </c>
      <c r="D19" s="1"/>
    </row>
    <row r="20" spans="2:4" x14ac:dyDescent="0.2">
      <c r="B20" t="s">
        <v>55</v>
      </c>
      <c r="D20" s="1"/>
    </row>
    <row r="21" spans="2:4" x14ac:dyDescent="0.2">
      <c r="D21" s="1"/>
    </row>
    <row r="22" spans="2:4" x14ac:dyDescent="0.2">
      <c r="D22" s="1"/>
    </row>
    <row r="23" spans="2:4" x14ac:dyDescent="0.2">
      <c r="D23" s="1"/>
    </row>
    <row r="24" spans="2:4" x14ac:dyDescent="0.2">
      <c r="D24" s="1"/>
    </row>
    <row r="25" spans="2:4" x14ac:dyDescent="0.2">
      <c r="D25" s="1"/>
    </row>
    <row r="26" spans="2:4" x14ac:dyDescent="0.2">
      <c r="D26" s="1"/>
    </row>
    <row r="27" spans="2:4" x14ac:dyDescent="0.2">
      <c r="D27" s="1"/>
    </row>
    <row r="28" spans="2:4" x14ac:dyDescent="0.2">
      <c r="D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F970-A524-4475-8952-3E7C9E2D7B74}">
  <dimension ref="B4:BI55"/>
  <sheetViews>
    <sheetView tabSelected="1" zoomScale="115" zoomScaleNormal="115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F16" sqref="F16"/>
    </sheetView>
  </sheetViews>
  <sheetFormatPr defaultRowHeight="15" x14ac:dyDescent="0.2"/>
  <cols>
    <col min="2" max="2" width="16.44140625" customWidth="1"/>
    <col min="3" max="3" width="0" hidden="1" customWidth="1"/>
    <col min="11" max="11" width="12.33203125" bestFit="1" customWidth="1"/>
    <col min="12" max="12" width="10.88671875" bestFit="1" customWidth="1"/>
    <col min="13" max="13" width="12" bestFit="1" customWidth="1"/>
    <col min="14" max="14" width="10" bestFit="1" customWidth="1"/>
  </cols>
  <sheetData>
    <row r="4" spans="2:61" x14ac:dyDescent="0.2">
      <c r="D4">
        <v>2024</v>
      </c>
      <c r="E4">
        <v>2025</v>
      </c>
      <c r="F4">
        <v>2026</v>
      </c>
      <c r="G4">
        <v>2027</v>
      </c>
      <c r="H4">
        <v>2028</v>
      </c>
      <c r="I4">
        <v>2029</v>
      </c>
      <c r="J4">
        <v>2030</v>
      </c>
      <c r="K4">
        <f>+J4+1</f>
        <v>2031</v>
      </c>
      <c r="L4">
        <f t="shared" ref="L4:Y4" si="0">+K4+1</f>
        <v>2032</v>
      </c>
      <c r="M4">
        <f t="shared" si="0"/>
        <v>2033</v>
      </c>
      <c r="N4">
        <f t="shared" si="0"/>
        <v>2034</v>
      </c>
      <c r="O4">
        <f t="shared" si="0"/>
        <v>2035</v>
      </c>
      <c r="P4">
        <f t="shared" si="0"/>
        <v>2036</v>
      </c>
      <c r="Q4">
        <f t="shared" si="0"/>
        <v>2037</v>
      </c>
      <c r="R4">
        <f t="shared" si="0"/>
        <v>2038</v>
      </c>
      <c r="S4">
        <f t="shared" si="0"/>
        <v>2039</v>
      </c>
      <c r="T4">
        <f t="shared" si="0"/>
        <v>2040</v>
      </c>
      <c r="U4">
        <f t="shared" si="0"/>
        <v>2041</v>
      </c>
      <c r="V4">
        <f t="shared" si="0"/>
        <v>2042</v>
      </c>
      <c r="W4">
        <f t="shared" si="0"/>
        <v>2043</v>
      </c>
      <c r="X4">
        <f t="shared" si="0"/>
        <v>2044</v>
      </c>
      <c r="Y4">
        <f t="shared" si="0"/>
        <v>2045</v>
      </c>
    </row>
    <row r="5" spans="2:61" x14ac:dyDescent="0.2">
      <c r="B5" t="s">
        <v>27</v>
      </c>
      <c r="C5" s="1">
        <v>705.50699999999995</v>
      </c>
    </row>
    <row r="6" spans="2:61" x14ac:dyDescent="0.2">
      <c r="B6" t="s">
        <v>28</v>
      </c>
      <c r="C6" s="1">
        <v>33.011000000000003</v>
      </c>
    </row>
    <row r="7" spans="2:61" s="3" customFormat="1" ht="15.75" x14ac:dyDescent="0.25">
      <c r="B7" s="3" t="s">
        <v>26</v>
      </c>
      <c r="C7" s="3">
        <f>+C5+C6</f>
        <v>738.51799999999992</v>
      </c>
      <c r="D7" s="3">
        <v>2822</v>
      </c>
      <c r="E7" s="3">
        <f>+D7*0.98</f>
        <v>2765.56</v>
      </c>
      <c r="F7" s="3">
        <f>+E7*0.98</f>
        <v>2710.2487999999998</v>
      </c>
      <c r="G7" s="3">
        <f>+F7*0.98</f>
        <v>2656.0438239999999</v>
      </c>
      <c r="H7" s="3">
        <f>+G7*0.98</f>
        <v>2602.92294752</v>
      </c>
      <c r="I7" s="3">
        <f>+H7*0.98</f>
        <v>2550.8644885695999</v>
      </c>
      <c r="J7" s="3">
        <f>+I7*0.6</f>
        <v>1530.51869314176</v>
      </c>
      <c r="K7" s="3">
        <f t="shared" ref="K7:O7" si="1">+J7*0.97</f>
        <v>1484.6031323475072</v>
      </c>
      <c r="L7" s="3">
        <f t="shared" si="1"/>
        <v>1440.0650383770819</v>
      </c>
      <c r="M7" s="3">
        <f t="shared" si="1"/>
        <v>1396.8630872257695</v>
      </c>
      <c r="N7" s="3">
        <f t="shared" si="1"/>
        <v>1354.9571946089964</v>
      </c>
      <c r="O7" s="3">
        <f t="shared" si="1"/>
        <v>1314.3084787707264</v>
      </c>
      <c r="P7" s="3">
        <f t="shared" ref="P7:U7" si="2">+O7*0.99</f>
        <v>1301.1653939830192</v>
      </c>
      <c r="Q7" s="3">
        <f t="shared" si="2"/>
        <v>1288.1537400431889</v>
      </c>
      <c r="R7" s="3">
        <f t="shared" si="2"/>
        <v>1275.2722026427571</v>
      </c>
      <c r="S7" s="3">
        <f t="shared" si="2"/>
        <v>1262.5194806163295</v>
      </c>
      <c r="T7" s="3">
        <f t="shared" si="2"/>
        <v>1249.8942858101661</v>
      </c>
      <c r="U7" s="3">
        <f t="shared" si="2"/>
        <v>1237.3953429520645</v>
      </c>
      <c r="V7" s="3">
        <f>+U7*1</f>
        <v>1237.3953429520645</v>
      </c>
      <c r="W7" s="3">
        <f>+V7*1</f>
        <v>1237.3953429520645</v>
      </c>
      <c r="X7" s="3">
        <f>+W7*1</f>
        <v>1237.3953429520645</v>
      </c>
      <c r="Y7" s="3">
        <f>+X7*1</f>
        <v>1237.3953429520645</v>
      </c>
    </row>
    <row r="8" spans="2:61" x14ac:dyDescent="0.2">
      <c r="B8" t="s">
        <v>29</v>
      </c>
      <c r="C8" s="1">
        <v>416.64100000000002</v>
      </c>
    </row>
    <row r="9" spans="2:61" x14ac:dyDescent="0.2">
      <c r="B9" t="s">
        <v>30</v>
      </c>
      <c r="C9" s="1">
        <f>+C7-C8</f>
        <v>321.8769999999999</v>
      </c>
    </row>
    <row r="10" spans="2:61" x14ac:dyDescent="0.2">
      <c r="B10" t="s">
        <v>31</v>
      </c>
      <c r="C10" s="1">
        <v>279.38900000000001</v>
      </c>
    </row>
    <row r="11" spans="2:61" x14ac:dyDescent="0.2">
      <c r="B11" t="s">
        <v>33</v>
      </c>
      <c r="C11" s="1">
        <f>+C9-C10</f>
        <v>42.487999999999886</v>
      </c>
    </row>
    <row r="12" spans="2:61" s="1" customFormat="1" x14ac:dyDescent="0.2">
      <c r="B12" s="1" t="s">
        <v>34</v>
      </c>
      <c r="C12" s="1">
        <f>-8.131+2.613</f>
        <v>-5.5180000000000007</v>
      </c>
      <c r="D12" s="1">
        <v>50</v>
      </c>
      <c r="E12" s="1">
        <f>+D12*1.3</f>
        <v>65</v>
      </c>
      <c r="F12" s="1">
        <f>+E12*1.3</f>
        <v>84.5</v>
      </c>
      <c r="G12" s="1">
        <f>+F12*1.3</f>
        <v>109.85000000000001</v>
      </c>
      <c r="H12" s="1">
        <f>+G12*1.3</f>
        <v>142.80500000000001</v>
      </c>
      <c r="I12" s="1">
        <f>+H12*1.3</f>
        <v>185.6465</v>
      </c>
      <c r="J12" s="1">
        <v>110</v>
      </c>
      <c r="K12" s="1">
        <v>110</v>
      </c>
      <c r="L12" s="1">
        <v>110</v>
      </c>
      <c r="M12" s="1">
        <v>110</v>
      </c>
      <c r="N12" s="1">
        <v>110</v>
      </c>
      <c r="O12" s="1">
        <v>110</v>
      </c>
      <c r="P12" s="1">
        <v>110</v>
      </c>
      <c r="Q12" s="1">
        <v>110</v>
      </c>
      <c r="R12" s="1">
        <v>110</v>
      </c>
      <c r="S12" s="1">
        <v>110</v>
      </c>
      <c r="T12" s="1">
        <v>110</v>
      </c>
      <c r="U12" s="1">
        <v>110</v>
      </c>
      <c r="V12" s="1">
        <v>110</v>
      </c>
      <c r="W12" s="1">
        <v>110</v>
      </c>
      <c r="X12" s="1">
        <v>110</v>
      </c>
      <c r="Y12" s="1">
        <v>110</v>
      </c>
    </row>
    <row r="13" spans="2:61" x14ac:dyDescent="0.2">
      <c r="B13" t="s">
        <v>35</v>
      </c>
      <c r="C13" s="1"/>
    </row>
    <row r="14" spans="2:61" x14ac:dyDescent="0.2">
      <c r="B14" t="s">
        <v>36</v>
      </c>
      <c r="C14" s="1">
        <f>+C11+C12+C13</f>
        <v>36.969999999999885</v>
      </c>
    </row>
    <row r="15" spans="2:61" x14ac:dyDescent="0.2">
      <c r="B15" t="s">
        <v>15</v>
      </c>
      <c r="C15" s="1">
        <v>11.686999999999999</v>
      </c>
    </row>
    <row r="16" spans="2:61" s="3" customFormat="1" ht="15.75" x14ac:dyDescent="0.25">
      <c r="B16" s="3" t="s">
        <v>37</v>
      </c>
      <c r="C16" s="3">
        <f>+C14-C15</f>
        <v>25.282999999999888</v>
      </c>
      <c r="D16" s="3">
        <f>+D7*0.09</f>
        <v>253.98</v>
      </c>
      <c r="E16" s="3">
        <f>+E7*0.08</f>
        <v>221.2448</v>
      </c>
      <c r="F16" s="3">
        <f>+F7*0.09</f>
        <v>243.92239199999997</v>
      </c>
      <c r="G16" s="3">
        <f>+G7*0.06</f>
        <v>159.36262943999998</v>
      </c>
      <c r="H16" s="3">
        <f>+H7*0.07</f>
        <v>182.20460632640001</v>
      </c>
      <c r="I16" s="3">
        <f>+I7*0.065</f>
        <v>165.80619175702401</v>
      </c>
      <c r="J16" s="3">
        <f>+J7*0.065</f>
        <v>99.4837150542144</v>
      </c>
      <c r="K16" s="3">
        <f>+K7*0.065</f>
        <v>96.499203602587968</v>
      </c>
      <c r="L16" s="3">
        <f>+L7*0.065</f>
        <v>93.604227494510326</v>
      </c>
      <c r="M16" s="3">
        <f>+M7*0.065</f>
        <v>90.796100669675027</v>
      </c>
      <c r="N16" s="3">
        <f>+N7*0.065</f>
        <v>88.072217649584772</v>
      </c>
      <c r="O16" s="3">
        <f>+O7*0.065</f>
        <v>85.430051120097218</v>
      </c>
      <c r="P16" s="3">
        <f>+P7*0.065</f>
        <v>84.575750608896243</v>
      </c>
      <c r="Q16" s="3">
        <f>+Q7*0.065</f>
        <v>83.729993102807285</v>
      </c>
      <c r="R16" s="3">
        <f>+R7*0.065</f>
        <v>82.892693171779214</v>
      </c>
      <c r="S16" s="3">
        <f>+S7*0.065</f>
        <v>82.063766240061412</v>
      </c>
      <c r="T16" s="3">
        <f>+T7*0.065</f>
        <v>81.243128577660798</v>
      </c>
      <c r="U16" s="3">
        <f>+U7*0.065</f>
        <v>80.430697291884201</v>
      </c>
      <c r="V16" s="3">
        <f>+V7*0.065</f>
        <v>80.430697291884201</v>
      </c>
      <c r="W16" s="3">
        <f>+W7*0.065</f>
        <v>80.430697291884201</v>
      </c>
      <c r="X16" s="3">
        <f>+X7*0.065</f>
        <v>80.430697291884201</v>
      </c>
      <c r="Y16" s="3">
        <f>+Y7*0.065</f>
        <v>80.430697291884201</v>
      </c>
      <c r="Z16" s="3">
        <f>+Y16*(1+$L$19)</f>
        <v>79.626390318965363</v>
      </c>
      <c r="AA16" s="3">
        <f t="shared" ref="AA16:BI16" si="3">+Z16*(1+$L$19)</f>
        <v>78.830126415775709</v>
      </c>
      <c r="AB16" s="3">
        <f t="shared" si="3"/>
        <v>78.041825151617957</v>
      </c>
      <c r="AC16" s="3">
        <f t="shared" si="3"/>
        <v>77.261406900101775</v>
      </c>
      <c r="AD16" s="3">
        <f t="shared" si="3"/>
        <v>76.488792831100753</v>
      </c>
      <c r="AE16" s="3">
        <f t="shared" si="3"/>
        <v>75.723904902789741</v>
      </c>
      <c r="AF16" s="3">
        <f t="shared" si="3"/>
        <v>74.966665853761839</v>
      </c>
      <c r="AG16" s="3">
        <f t="shared" si="3"/>
        <v>74.216999195224219</v>
      </c>
      <c r="AH16" s="3">
        <f t="shared" si="3"/>
        <v>73.47482920327198</v>
      </c>
      <c r="AI16" s="3">
        <f t="shared" si="3"/>
        <v>72.740080911239261</v>
      </c>
      <c r="AJ16" s="3">
        <f t="shared" si="3"/>
        <v>72.012680102126865</v>
      </c>
      <c r="AK16" s="3">
        <f t="shared" si="3"/>
        <v>71.292553301105599</v>
      </c>
      <c r="AL16" s="3">
        <f t="shared" si="3"/>
        <v>70.579627768094539</v>
      </c>
      <c r="AM16" s="3">
        <f t="shared" si="3"/>
        <v>69.873831490413593</v>
      </c>
      <c r="AN16" s="3">
        <f t="shared" si="3"/>
        <v>69.17509317550946</v>
      </c>
      <c r="AO16" s="3">
        <f t="shared" si="3"/>
        <v>68.483342243754365</v>
      </c>
      <c r="AP16" s="3">
        <f t="shared" si="3"/>
        <v>67.798508821316815</v>
      </c>
      <c r="AQ16" s="3">
        <f t="shared" si="3"/>
        <v>67.120523733103653</v>
      </c>
      <c r="AR16" s="3">
        <f t="shared" si="3"/>
        <v>66.449318495772616</v>
      </c>
      <c r="AS16" s="3">
        <f t="shared" si="3"/>
        <v>65.784825310814895</v>
      </c>
      <c r="AT16" s="3">
        <f t="shared" si="3"/>
        <v>65.126977057706739</v>
      </c>
      <c r="AU16" s="3">
        <f t="shared" si="3"/>
        <v>64.475707287129666</v>
      </c>
      <c r="AV16" s="3">
        <f t="shared" si="3"/>
        <v>63.830950214258365</v>
      </c>
      <c r="AW16" s="3">
        <f t="shared" si="3"/>
        <v>63.192640712115782</v>
      </c>
      <c r="AX16" s="3">
        <f t="shared" si="3"/>
        <v>62.560714304994626</v>
      </c>
      <c r="AY16" s="3">
        <f t="shared" si="3"/>
        <v>61.935107161944678</v>
      </c>
      <c r="AZ16" s="3">
        <f t="shared" si="3"/>
        <v>61.31575609032523</v>
      </c>
      <c r="BA16" s="3">
        <f t="shared" si="3"/>
        <v>60.702598529421977</v>
      </c>
      <c r="BB16" s="3">
        <f t="shared" si="3"/>
        <v>60.095572544127755</v>
      </c>
      <c r="BC16" s="3">
        <f t="shared" si="3"/>
        <v>59.494616818686474</v>
      </c>
      <c r="BD16" s="3">
        <f t="shared" si="3"/>
        <v>58.899670650499608</v>
      </c>
      <c r="BE16" s="3">
        <f t="shared" si="3"/>
        <v>58.310673943994608</v>
      </c>
      <c r="BF16" s="3">
        <f t="shared" si="3"/>
        <v>57.72756720455466</v>
      </c>
      <c r="BG16" s="3">
        <f t="shared" si="3"/>
        <v>57.150291532509115</v>
      </c>
      <c r="BH16" s="3">
        <f t="shared" si="3"/>
        <v>56.578788617184024</v>
      </c>
      <c r="BI16" s="3">
        <f t="shared" si="3"/>
        <v>56.013000731012184</v>
      </c>
    </row>
    <row r="17" spans="2:13" x14ac:dyDescent="0.2">
      <c r="C17" s="1"/>
    </row>
    <row r="18" spans="2:13" x14ac:dyDescent="0.2">
      <c r="C18" s="1"/>
    </row>
    <row r="19" spans="2:13" x14ac:dyDescent="0.2">
      <c r="C19" s="1"/>
      <c r="K19" t="s">
        <v>38</v>
      </c>
      <c r="L19" s="4">
        <v>-0.01</v>
      </c>
    </row>
    <row r="20" spans="2:13" x14ac:dyDescent="0.2">
      <c r="C20" s="1"/>
      <c r="K20" t="s">
        <v>39</v>
      </c>
      <c r="L20" s="4">
        <v>0.1</v>
      </c>
    </row>
    <row r="21" spans="2:13" x14ac:dyDescent="0.2">
      <c r="C21" s="1"/>
      <c r="K21" t="s">
        <v>40</v>
      </c>
      <c r="L21" s="6">
        <f>+NPV(L20,E16:O16)</f>
        <v>1001.5998405900663</v>
      </c>
    </row>
    <row r="22" spans="2:13" x14ac:dyDescent="0.2">
      <c r="C22" s="1"/>
      <c r="K22" t="s">
        <v>41</v>
      </c>
      <c r="L22" s="5">
        <f>+L21/main!J4</f>
        <v>19.46485289662586</v>
      </c>
    </row>
    <row r="23" spans="2:13" x14ac:dyDescent="0.2">
      <c r="C23" s="1"/>
      <c r="K23" t="s">
        <v>42</v>
      </c>
      <c r="L23">
        <v>14.21</v>
      </c>
    </row>
    <row r="24" spans="2:13" x14ac:dyDescent="0.2">
      <c r="K24" t="s">
        <v>43</v>
      </c>
      <c r="L24" s="4">
        <f>+L22/L23-1</f>
        <v>0.36979964086037009</v>
      </c>
    </row>
    <row r="25" spans="2:13" x14ac:dyDescent="0.2">
      <c r="J25">
        <v>1500</v>
      </c>
      <c r="K25" s="1">
        <f>+J25*1000000</f>
        <v>1500000000</v>
      </c>
      <c r="L25" s="1">
        <f>+K25/15</f>
        <v>100000000</v>
      </c>
      <c r="M25" s="1">
        <f>+L25/12</f>
        <v>8333333.333333333</v>
      </c>
    </row>
    <row r="26" spans="2:13" x14ac:dyDescent="0.2">
      <c r="J26">
        <v>3000</v>
      </c>
      <c r="K26" s="1">
        <f>+J26*1000000</f>
        <v>3000000000</v>
      </c>
      <c r="L26" s="1">
        <f>+K26/12</f>
        <v>250000000</v>
      </c>
      <c r="M26" s="4">
        <f>+M25/L26</f>
        <v>3.3333333333333333E-2</v>
      </c>
    </row>
    <row r="27" spans="2:13" x14ac:dyDescent="0.2">
      <c r="J27" s="4"/>
      <c r="K27" s="1"/>
    </row>
    <row r="28" spans="2:13" s="4" customFormat="1" x14ac:dyDescent="0.2">
      <c r="B28" s="4" t="s">
        <v>32</v>
      </c>
      <c r="C28" s="4">
        <f>+C9/C7</f>
        <v>0.43584178043053784</v>
      </c>
      <c r="J28" s="7"/>
      <c r="K28" s="8"/>
    </row>
    <row r="29" spans="2:13" x14ac:dyDescent="0.2">
      <c r="J29">
        <v>8000</v>
      </c>
      <c r="K29" s="1">
        <f>+J29*1000000</f>
        <v>8000000000</v>
      </c>
    </row>
    <row r="30" spans="2:13" x14ac:dyDescent="0.2">
      <c r="K30" s="7"/>
    </row>
    <row r="31" spans="2:13" x14ac:dyDescent="0.2">
      <c r="K31" s="1">
        <f>+K29*0.08</f>
        <v>640000000</v>
      </c>
      <c r="L31" s="4">
        <f>+K31/K29</f>
        <v>0.08</v>
      </c>
    </row>
    <row r="32" spans="2:13" x14ac:dyDescent="0.2">
      <c r="K32" s="4"/>
    </row>
    <row r="33" spans="2:12" x14ac:dyDescent="0.2">
      <c r="K33" s="1">
        <f>+K31*0.03</f>
        <v>19200000</v>
      </c>
      <c r="L33" s="9">
        <v>0.03</v>
      </c>
    </row>
    <row r="34" spans="2:12" x14ac:dyDescent="0.2">
      <c r="B34" t="s">
        <v>3</v>
      </c>
      <c r="C34" s="1">
        <f>140.911+1.411</f>
        <v>142.322</v>
      </c>
      <c r="K34" s="1">
        <f>+K33*80</f>
        <v>1536000000</v>
      </c>
      <c r="L34" s="10" t="s">
        <v>56</v>
      </c>
    </row>
    <row r="35" spans="2:12" x14ac:dyDescent="0.2">
      <c r="B35" t="s">
        <v>10</v>
      </c>
      <c r="C35" s="1">
        <v>383.36700000000002</v>
      </c>
      <c r="K35" s="1"/>
    </row>
    <row r="36" spans="2:12" x14ac:dyDescent="0.2">
      <c r="B36" t="s">
        <v>11</v>
      </c>
      <c r="C36" s="1">
        <v>675.75199999999995</v>
      </c>
      <c r="K36" s="1"/>
    </row>
    <row r="37" spans="2:12" x14ac:dyDescent="0.2">
      <c r="B37" t="s">
        <v>12</v>
      </c>
      <c r="C37" s="1">
        <v>103.72</v>
      </c>
      <c r="K37" s="7"/>
    </row>
    <row r="38" spans="2:12" x14ac:dyDescent="0.2">
      <c r="B38" t="s">
        <v>13</v>
      </c>
      <c r="C38" s="1">
        <v>236.48</v>
      </c>
    </row>
    <row r="39" spans="2:12" x14ac:dyDescent="0.2">
      <c r="B39" t="s">
        <v>14</v>
      </c>
      <c r="C39" s="1">
        <v>34.170999999999999</v>
      </c>
    </row>
    <row r="40" spans="2:12" x14ac:dyDescent="0.2">
      <c r="B40" t="s">
        <v>15</v>
      </c>
      <c r="C40" s="1">
        <v>172.57300000000001</v>
      </c>
    </row>
    <row r="41" spans="2:12" x14ac:dyDescent="0.2">
      <c r="B41" t="s">
        <v>16</v>
      </c>
      <c r="C41" s="1">
        <v>794.06600000000003</v>
      </c>
    </row>
    <row r="42" spans="2:12" x14ac:dyDescent="0.2">
      <c r="B42" t="s">
        <v>17</v>
      </c>
      <c r="C42" s="1">
        <v>252.21</v>
      </c>
    </row>
    <row r="43" spans="2:12" x14ac:dyDescent="0.2">
      <c r="B43" t="s">
        <v>18</v>
      </c>
      <c r="C43" s="1">
        <f>+SUM(C34:C42)</f>
        <v>2794.6610000000001</v>
      </c>
    </row>
    <row r="46" spans="2:12" x14ac:dyDescent="0.2">
      <c r="B46" t="s">
        <v>4</v>
      </c>
      <c r="C46" s="1">
        <f>42.836+340.617+238.306</f>
        <v>621.75900000000001</v>
      </c>
    </row>
    <row r="47" spans="2:12" x14ac:dyDescent="0.2">
      <c r="B47" t="s">
        <v>19</v>
      </c>
      <c r="C47" s="1">
        <v>361.18599999999998</v>
      </c>
    </row>
    <row r="48" spans="2:12" x14ac:dyDescent="0.2">
      <c r="B48" t="s">
        <v>20</v>
      </c>
      <c r="C48" s="1">
        <v>263.92599999999999</v>
      </c>
    </row>
    <row r="49" spans="2:3" x14ac:dyDescent="0.2">
      <c r="B49" t="s">
        <v>16</v>
      </c>
      <c r="C49" s="1">
        <f>180.835+670.43</f>
        <v>851.26499999999999</v>
      </c>
    </row>
    <row r="50" spans="2:3" x14ac:dyDescent="0.2">
      <c r="B50" t="s">
        <v>21</v>
      </c>
      <c r="C50" s="1">
        <v>206.149</v>
      </c>
    </row>
    <row r="51" spans="2:3" x14ac:dyDescent="0.2">
      <c r="B51" t="s">
        <v>22</v>
      </c>
      <c r="C51" s="1">
        <f>+SUM(C46:C50)</f>
        <v>2304.2849999999999</v>
      </c>
    </row>
    <row r="52" spans="2:3" x14ac:dyDescent="0.2">
      <c r="B52" t="s">
        <v>23</v>
      </c>
      <c r="C52" s="1">
        <v>490.012</v>
      </c>
    </row>
    <row r="53" spans="2:3" x14ac:dyDescent="0.2">
      <c r="B53" t="s">
        <v>24</v>
      </c>
      <c r="C53" s="1">
        <f>+C51+C52</f>
        <v>2794.297</v>
      </c>
    </row>
    <row r="55" spans="2:3" ht="15.75" x14ac:dyDescent="0.25">
      <c r="B55" t="s">
        <v>25</v>
      </c>
      <c r="C55" s="3">
        <v>204</v>
      </c>
    </row>
  </sheetData>
  <pageMargins left="0.7" right="0.7" top="0.75" bottom="0.75" header="0.3" footer="0.3"/>
  <pageSetup orientation="portrait" r:id="rId1"/>
  <ignoredErrors>
    <ignoredError sqref="E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Geli Braholli</dc:creator>
  <cp:lastModifiedBy>Geli Braholli</cp:lastModifiedBy>
  <dcterms:created xsi:type="dcterms:W3CDTF">2025-01-04T20:40:07Z</dcterms:created>
  <dcterms:modified xsi:type="dcterms:W3CDTF">2025-02-03T13:03:22Z</dcterms:modified>
</cp:coreProperties>
</file>