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odels\"/>
    </mc:Choice>
  </mc:AlternateContent>
  <xr:revisionPtr revIDLastSave="0" documentId="13_ncr:1_{C265527F-3128-4362-B40A-346D89911B24}" xr6:coauthVersionLast="47" xr6:coauthVersionMax="47" xr10:uidLastSave="{00000000-0000-0000-0000-000000000000}"/>
  <bookViews>
    <workbookView xWindow="-120" yWindow="-120" windowWidth="29040" windowHeight="15840" activeTab="1" xr2:uid="{D5DB0912-A847-4B52-8A0A-D8442C24734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D36" i="2"/>
  <c r="E36" i="2"/>
  <c r="F36" i="2"/>
  <c r="G36" i="2"/>
  <c r="C46" i="2"/>
  <c r="D46" i="2"/>
  <c r="E46" i="2"/>
  <c r="F46" i="2"/>
  <c r="F28" i="2"/>
  <c r="F26" i="2"/>
  <c r="F20" i="2"/>
  <c r="F18" i="2"/>
  <c r="F13" i="2"/>
  <c r="F19" i="2" s="1"/>
  <c r="C13" i="2"/>
  <c r="C19" i="2" s="1"/>
  <c r="C26" i="2"/>
  <c r="C18" i="2"/>
  <c r="D26" i="2"/>
  <c r="D17" i="2"/>
  <c r="D20" i="2" s="1"/>
  <c r="D13" i="2"/>
  <c r="D15" i="2" s="1"/>
  <c r="E26" i="2"/>
  <c r="E20" i="2"/>
  <c r="E18" i="2"/>
  <c r="E13" i="2"/>
  <c r="E15" i="2" s="1"/>
  <c r="E21" i="2" s="1"/>
  <c r="H8" i="2"/>
  <c r="H55" i="2"/>
  <c r="I7" i="2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G46" i="2"/>
  <c r="H46" i="2"/>
  <c r="G26" i="2"/>
  <c r="H26" i="2"/>
  <c r="H36" i="2"/>
  <c r="G20" i="2"/>
  <c r="G18" i="2"/>
  <c r="G13" i="2"/>
  <c r="G15" i="2" s="1"/>
  <c r="G39" i="2" s="1"/>
  <c r="H13" i="2"/>
  <c r="H19" i="2" s="1"/>
  <c r="H18" i="2"/>
  <c r="H20" i="2"/>
  <c r="E7" i="1"/>
  <c r="E6" i="1"/>
  <c r="E9" i="1" s="1"/>
  <c r="D48" i="2" l="1"/>
  <c r="E48" i="2"/>
  <c r="F48" i="2"/>
  <c r="H48" i="2"/>
  <c r="G48" i="2"/>
  <c r="G35" i="2"/>
  <c r="F35" i="2"/>
  <c r="D18" i="2"/>
  <c r="E35" i="2"/>
  <c r="D19" i="2"/>
  <c r="D35" i="2"/>
  <c r="D21" i="2"/>
  <c r="D27" i="2" s="1"/>
  <c r="D30" i="2" s="1"/>
  <c r="D32" i="2" s="1"/>
  <c r="F15" i="2"/>
  <c r="F21" i="2"/>
  <c r="F27" i="2" s="1"/>
  <c r="F30" i="2" s="1"/>
  <c r="F32" i="2" s="1"/>
  <c r="E37" i="2"/>
  <c r="E27" i="2"/>
  <c r="E30" i="2" s="1"/>
  <c r="E32" i="2" s="1"/>
  <c r="E39" i="2"/>
  <c r="D39" i="2"/>
  <c r="C20" i="2"/>
  <c r="C15" i="2"/>
  <c r="D37" i="2" s="1"/>
  <c r="E19" i="2"/>
  <c r="H11" i="2"/>
  <c r="H35" i="2"/>
  <c r="G21" i="2"/>
  <c r="G38" i="2" s="1"/>
  <c r="H15" i="2"/>
  <c r="H37" i="2" s="1"/>
  <c r="G19" i="2"/>
  <c r="F39" i="2" l="1"/>
  <c r="F37" i="2"/>
  <c r="G37" i="2"/>
  <c r="I11" i="2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G11" i="2"/>
  <c r="C21" i="2"/>
  <c r="C27" i="2" s="1"/>
  <c r="C30" i="2" s="1"/>
  <c r="C32" i="2" s="1"/>
  <c r="C39" i="2"/>
  <c r="L15" i="2"/>
  <c r="M15" i="2"/>
  <c r="I15" i="2"/>
  <c r="K15" i="2"/>
  <c r="H21" i="2"/>
  <c r="H38" i="2" s="1"/>
  <c r="H39" i="2"/>
  <c r="G27" i="2"/>
  <c r="Q15" i="2" l="1"/>
  <c r="P15" i="2"/>
  <c r="U15" i="2"/>
  <c r="O15" i="2"/>
  <c r="P37" i="2" s="1"/>
  <c r="V15" i="2"/>
  <c r="V46" i="2" s="1"/>
  <c r="F11" i="2"/>
  <c r="G10" i="2"/>
  <c r="S15" i="2"/>
  <c r="N15" i="2"/>
  <c r="N46" i="2" s="1"/>
  <c r="N48" i="2" s="1"/>
  <c r="J15" i="2"/>
  <c r="K37" i="2" s="1"/>
  <c r="R15" i="2"/>
  <c r="R37" i="2" s="1"/>
  <c r="T15" i="2"/>
  <c r="T46" i="2" s="1"/>
  <c r="G30" i="2"/>
  <c r="G32" i="2" s="1"/>
  <c r="Q46" i="2"/>
  <c r="Q37" i="2"/>
  <c r="P46" i="2"/>
  <c r="M46" i="2"/>
  <c r="M37" i="2"/>
  <c r="I46" i="2"/>
  <c r="I48" i="2" s="1"/>
  <c r="I37" i="2"/>
  <c r="U46" i="2"/>
  <c r="K46" i="2"/>
  <c r="L46" i="2"/>
  <c r="L48" i="2" s="1"/>
  <c r="L37" i="2"/>
  <c r="H27" i="2"/>
  <c r="X15" i="2"/>
  <c r="W15" i="2"/>
  <c r="S37" i="2" l="1"/>
  <c r="M48" i="2"/>
  <c r="O46" i="2"/>
  <c r="P48" i="2" s="1"/>
  <c r="AA46" i="2"/>
  <c r="AF46" i="2" s="1"/>
  <c r="AK46" i="2" s="1"/>
  <c r="AP46" i="2" s="1"/>
  <c r="AU46" i="2" s="1"/>
  <c r="V48" i="2"/>
  <c r="Q48" i="2"/>
  <c r="U37" i="2"/>
  <c r="O37" i="2"/>
  <c r="Z46" i="2"/>
  <c r="AE46" i="2" s="1"/>
  <c r="AJ46" i="2" s="1"/>
  <c r="AO46" i="2" s="1"/>
  <c r="AT46" i="2" s="1"/>
  <c r="AY46" i="2" s="1"/>
  <c r="U48" i="2"/>
  <c r="R46" i="2"/>
  <c r="R48" i="2" s="1"/>
  <c r="Y46" i="2"/>
  <c r="AD46" i="2" s="1"/>
  <c r="AI46" i="2" s="1"/>
  <c r="AN46" i="2" s="1"/>
  <c r="AS46" i="2" s="1"/>
  <c r="AX46" i="2" s="1"/>
  <c r="J37" i="2"/>
  <c r="V37" i="2"/>
  <c r="J46" i="2"/>
  <c r="J48" i="2" s="1"/>
  <c r="T37" i="2"/>
  <c r="S46" i="2"/>
  <c r="T48" i="2" s="1"/>
  <c r="E11" i="2"/>
  <c r="F10" i="2"/>
  <c r="N37" i="2"/>
  <c r="H30" i="2"/>
  <c r="H32" i="2" s="1"/>
  <c r="X46" i="2"/>
  <c r="X37" i="2"/>
  <c r="W46" i="2"/>
  <c r="W48" i="2" s="1"/>
  <c r="W37" i="2"/>
  <c r="O48" i="2" l="1"/>
  <c r="K48" i="2"/>
  <c r="S48" i="2"/>
  <c r="AC46" i="2"/>
  <c r="AH46" i="2" s="1"/>
  <c r="AM46" i="2" s="1"/>
  <c r="AR46" i="2" s="1"/>
  <c r="AW46" i="2" s="1"/>
  <c r="X48" i="2"/>
  <c r="D11" i="2"/>
  <c r="E10" i="2"/>
  <c r="AB46" i="2"/>
  <c r="AG46" i="2" s="1"/>
  <c r="AL46" i="2" s="1"/>
  <c r="AQ46" i="2" s="1"/>
  <c r="AV46" i="2" s="1"/>
  <c r="H53" i="2"/>
  <c r="H54" i="2" s="1"/>
  <c r="H56" i="2" s="1"/>
  <c r="C11" i="2" l="1"/>
  <c r="C10" i="2" s="1"/>
  <c r="D10" i="2"/>
</calcChain>
</file>

<file path=xl/sharedStrings.xml><?xml version="1.0" encoding="utf-8"?>
<sst xmlns="http://schemas.openxmlformats.org/spreadsheetml/2006/main" count="67" uniqueCount="62">
  <si>
    <t xml:space="preserve">Price </t>
  </si>
  <si>
    <t>Shares</t>
  </si>
  <si>
    <t xml:space="preserve">MC </t>
  </si>
  <si>
    <t xml:space="preserve">Cash </t>
  </si>
  <si>
    <t xml:space="preserve">Debt </t>
  </si>
  <si>
    <t xml:space="preserve">EV </t>
  </si>
  <si>
    <t xml:space="preserve">CEO </t>
  </si>
  <si>
    <t xml:space="preserve">Business model </t>
  </si>
  <si>
    <t xml:space="preserve">SaaS product tailored for law firms and investing firms </t>
  </si>
  <si>
    <t xml:space="preserve">2550 clients </t>
  </si>
  <si>
    <t>Biggest shareholder Anderson Investments Pte Ltd = 23%</t>
  </si>
  <si>
    <t xml:space="preserve">Professional Services </t>
  </si>
  <si>
    <t xml:space="preserve">Total revenues </t>
  </si>
  <si>
    <t xml:space="preserve">SaaS COGS </t>
  </si>
  <si>
    <t xml:space="preserve">PS COGS </t>
  </si>
  <si>
    <t xml:space="preserve">Total COGS </t>
  </si>
  <si>
    <t xml:space="preserve">SaaS gross </t>
  </si>
  <si>
    <t xml:space="preserve">PS gross </t>
  </si>
  <si>
    <t xml:space="preserve">Total Gross </t>
  </si>
  <si>
    <t xml:space="preserve">SaaS + sub </t>
  </si>
  <si>
    <t xml:space="preserve">Gross margin </t>
  </si>
  <si>
    <t xml:space="preserve">RD </t>
  </si>
  <si>
    <t xml:space="preserve">SMA </t>
  </si>
  <si>
    <t xml:space="preserve">GA </t>
  </si>
  <si>
    <t xml:space="preserve">Impairment </t>
  </si>
  <si>
    <t xml:space="preserve">Operating expenses </t>
  </si>
  <si>
    <t xml:space="preserve">Operating income </t>
  </si>
  <si>
    <t xml:space="preserve">Interest </t>
  </si>
  <si>
    <t xml:space="preserve">Other </t>
  </si>
  <si>
    <t xml:space="preserve">Pretax </t>
  </si>
  <si>
    <t xml:space="preserve">Revenue y/y </t>
  </si>
  <si>
    <t xml:space="preserve">SaaS y/y </t>
  </si>
  <si>
    <t xml:space="preserve">Services y/y </t>
  </si>
  <si>
    <t xml:space="preserve">Tax  </t>
  </si>
  <si>
    <t xml:space="preserve">Net income </t>
  </si>
  <si>
    <t>Revenue to Cost ratio</t>
  </si>
  <si>
    <t xml:space="preserve">SaaS price $ </t>
  </si>
  <si>
    <t xml:space="preserve">Clients </t>
  </si>
  <si>
    <t xml:space="preserve">CFFO </t>
  </si>
  <si>
    <t xml:space="preserve">CFFI </t>
  </si>
  <si>
    <t xml:space="preserve">CFFF </t>
  </si>
  <si>
    <t xml:space="preserve">Net change </t>
  </si>
  <si>
    <t xml:space="preserve">FX </t>
  </si>
  <si>
    <t>terminal</t>
  </si>
  <si>
    <t xml:space="preserve">discount </t>
  </si>
  <si>
    <t xml:space="preserve">npv </t>
  </si>
  <si>
    <t>shares</t>
  </si>
  <si>
    <t xml:space="preserve">current </t>
  </si>
  <si>
    <t xml:space="preserve">change </t>
  </si>
  <si>
    <t xml:space="preserve">Founded </t>
  </si>
  <si>
    <t xml:space="preserve">John Hall </t>
  </si>
  <si>
    <t xml:space="preserve">law firms in USA </t>
  </si>
  <si>
    <t xml:space="preserve">investment firms In USA </t>
  </si>
  <si>
    <t xml:space="preserve">around </t>
  </si>
  <si>
    <t xml:space="preserve">law firms in Europe </t>
  </si>
  <si>
    <t xml:space="preserve">investment firms in Europe </t>
  </si>
  <si>
    <t xml:space="preserve">Investment firms </t>
  </si>
  <si>
    <t xml:space="preserve">Law Firms </t>
  </si>
  <si>
    <t xml:space="preserve">solicitor firms registrated </t>
  </si>
  <si>
    <t xml:space="preserve">accounting &amp; audit firms </t>
  </si>
  <si>
    <t>Uk legal services market = $47.5 billion</t>
  </si>
  <si>
    <t xml:space="preserve">The only valuable thing in this company is data collected to train AI models for legal services purposes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</si>
</sst>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"/>
    <numFmt numFmtId="165" formatCode="&quot;$&quot;#,##0.00"/>
  </numFmts>
  <fonts count="3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2" fillId="0" borderId="0" xfId="0" applyFont="1"/>
    <xf numFmtId="9" fontId="0" fillId="0" borderId="0" xfId="1" applyFont="1"/>
    <xf numFmtId="165" fontId="2" fillId="0" borderId="0" xfId="0" applyNumberFormat="1" applyFont="1"/>
    <xf numFmtId="164" fontId="0" fillId="0" borderId="0" xfId="0" applyNumberFormat="1"/>
    <xf numFmtId="9" fontId="2" fillId="0" borderId="0" xfId="1" applyFont="1"/>
    <xf numFmtId="3" fontId="2" fillId="0" borderId="0" xfId="0" applyNumberFormat="1" applyFont="1"/>
    <xf numFmtId="8" fontId="0" fillId="0" borderId="0" xfId="0" applyNumberFormat="1"/>
    <xf numFmtId="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95250</xdr:rowOff>
    </xdr:from>
    <xdr:to>
      <xdr:col>8</xdr:col>
      <xdr:colOff>19050</xdr:colOff>
      <xdr:row>56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E3AB5F7-8772-3B49-2F12-A88AF0C58191}"/>
            </a:ext>
          </a:extLst>
        </xdr:cNvPr>
        <xdr:cNvCxnSpPr/>
      </xdr:nvCxnSpPr>
      <xdr:spPr>
        <a:xfrm>
          <a:off x="7134225" y="285750"/>
          <a:ext cx="19050" cy="103155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577CC-ADF9-4AFD-8730-5FAA2E6E1E86}">
  <dimension ref="A4:K35"/>
  <sheetViews>
    <sheetView workbookViewId="0">
      <selection activeCell="E15" sqref="E15"/>
    </sheetView>
  </sheetViews>
  <sheetFormatPr defaultRowHeight="15" x14ac:dyDescent="0.2"/>
  <sheetData>
    <row r="4" spans="2:5" x14ac:dyDescent="0.2">
      <c r="D4" t="s">
        <v>0</v>
      </c>
      <c r="E4">
        <v>70.540000000000006</v>
      </c>
    </row>
    <row r="5" spans="2:5" x14ac:dyDescent="0.2">
      <c r="D5" t="s">
        <v>1</v>
      </c>
      <c r="E5" s="1">
        <v>77.385502000000002</v>
      </c>
    </row>
    <row r="6" spans="2:5" x14ac:dyDescent="0.2">
      <c r="D6" t="s">
        <v>2</v>
      </c>
      <c r="E6" s="1">
        <f>+E4*E5</f>
        <v>5458.7733110800009</v>
      </c>
    </row>
    <row r="7" spans="2:5" x14ac:dyDescent="0.2">
      <c r="D7" t="s">
        <v>3</v>
      </c>
      <c r="E7" s="1">
        <f>253.847+0.2</f>
        <v>254.047</v>
      </c>
    </row>
    <row r="8" spans="2:5" x14ac:dyDescent="0.2">
      <c r="D8" t="s">
        <v>4</v>
      </c>
      <c r="E8" s="1">
        <v>0</v>
      </c>
    </row>
    <row r="9" spans="2:5" x14ac:dyDescent="0.2">
      <c r="D9" t="s">
        <v>5</v>
      </c>
      <c r="E9" s="1">
        <f>+E6-E7+E8</f>
        <v>5204.7263110800013</v>
      </c>
    </row>
    <row r="11" spans="2:5" x14ac:dyDescent="0.2">
      <c r="B11" t="s">
        <v>49</v>
      </c>
      <c r="C11">
        <v>2000</v>
      </c>
    </row>
    <row r="12" spans="2:5" x14ac:dyDescent="0.2">
      <c r="B12" t="s">
        <v>6</v>
      </c>
      <c r="C12" t="s">
        <v>50</v>
      </c>
    </row>
    <row r="14" spans="2:5" x14ac:dyDescent="0.2">
      <c r="B14" t="s">
        <v>7</v>
      </c>
    </row>
    <row r="16" spans="2:5" x14ac:dyDescent="0.2">
      <c r="C16" t="s">
        <v>8</v>
      </c>
    </row>
    <row r="18" spans="1:11" x14ac:dyDescent="0.2">
      <c r="B18" t="s">
        <v>9</v>
      </c>
    </row>
    <row r="19" spans="1:11" x14ac:dyDescent="0.2">
      <c r="B19" t="s">
        <v>10</v>
      </c>
    </row>
    <row r="22" spans="1:11" x14ac:dyDescent="0.2">
      <c r="A22" t="s">
        <v>53</v>
      </c>
      <c r="B22" s="1">
        <v>450000</v>
      </c>
      <c r="C22" t="s">
        <v>51</v>
      </c>
    </row>
    <row r="23" spans="1:11" x14ac:dyDescent="0.2">
      <c r="A23" t="s">
        <v>53</v>
      </c>
      <c r="B23" s="1">
        <v>16000</v>
      </c>
      <c r="C23" t="s">
        <v>52</v>
      </c>
    </row>
    <row r="25" spans="1:11" x14ac:dyDescent="0.2">
      <c r="A25" t="s">
        <v>53</v>
      </c>
      <c r="B25" s="1">
        <v>300000</v>
      </c>
      <c r="C25" t="s">
        <v>54</v>
      </c>
    </row>
    <row r="26" spans="1:11" x14ac:dyDescent="0.2">
      <c r="A26" t="s">
        <v>53</v>
      </c>
      <c r="B26" s="1">
        <v>4600</v>
      </c>
      <c r="C26" t="s">
        <v>55</v>
      </c>
    </row>
    <row r="29" spans="1:11" x14ac:dyDescent="0.2">
      <c r="B29" t="s">
        <v>60</v>
      </c>
    </row>
    <row r="31" spans="1:11" x14ac:dyDescent="0.2">
      <c r="A31" t="s">
        <v>53</v>
      </c>
      <c r="B31">
        <v>9197</v>
      </c>
      <c r="C31" t="s">
        <v>58</v>
      </c>
      <c r="K31" s="1"/>
    </row>
    <row r="32" spans="1:11" x14ac:dyDescent="0.2">
      <c r="A32" t="s">
        <v>53</v>
      </c>
      <c r="B32">
        <v>4996</v>
      </c>
      <c r="C32" t="s">
        <v>59</v>
      </c>
    </row>
    <row r="35" spans="2:2" x14ac:dyDescent="0.2">
      <c r="B35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0EDB1-BE5D-45CB-9034-C91BE8D06FDC}">
  <dimension ref="B7:AY56"/>
  <sheetViews>
    <sheetView tabSelected="1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G21" sqref="G21"/>
    </sheetView>
  </sheetViews>
  <sheetFormatPr defaultRowHeight="15" x14ac:dyDescent="0.2"/>
  <cols>
    <col min="2" max="2" width="19.88671875" customWidth="1"/>
    <col min="8" max="8" width="10" bestFit="1" customWidth="1"/>
    <col min="26" max="26" width="9.44140625" bestFit="1" customWidth="1"/>
  </cols>
  <sheetData>
    <row r="7" spans="2:24" x14ac:dyDescent="0.2">
      <c r="C7">
        <v>2019</v>
      </c>
      <c r="D7">
        <v>2020</v>
      </c>
      <c r="E7">
        <v>2021</v>
      </c>
      <c r="F7">
        <v>2022</v>
      </c>
      <c r="G7">
        <v>2023</v>
      </c>
      <c r="H7">
        <v>2024</v>
      </c>
      <c r="I7">
        <f>+H7+1</f>
        <v>2025</v>
      </c>
      <c r="J7">
        <f t="shared" ref="J7:X7" si="0">+I7+1</f>
        <v>2026</v>
      </c>
      <c r="K7">
        <f t="shared" si="0"/>
        <v>2027</v>
      </c>
      <c r="L7">
        <f t="shared" si="0"/>
        <v>2028</v>
      </c>
      <c r="M7">
        <f t="shared" si="0"/>
        <v>2029</v>
      </c>
      <c r="N7">
        <f t="shared" si="0"/>
        <v>2030</v>
      </c>
      <c r="O7">
        <f t="shared" si="0"/>
        <v>2031</v>
      </c>
      <c r="P7">
        <f t="shared" si="0"/>
        <v>2032</v>
      </c>
      <c r="Q7">
        <f t="shared" si="0"/>
        <v>2033</v>
      </c>
      <c r="R7">
        <f t="shared" si="0"/>
        <v>2034</v>
      </c>
      <c r="S7">
        <f t="shared" si="0"/>
        <v>2035</v>
      </c>
      <c r="T7">
        <f t="shared" si="0"/>
        <v>2036</v>
      </c>
      <c r="U7">
        <f t="shared" si="0"/>
        <v>2037</v>
      </c>
      <c r="V7">
        <f t="shared" si="0"/>
        <v>2038</v>
      </c>
      <c r="W7">
        <f t="shared" si="0"/>
        <v>2039</v>
      </c>
      <c r="X7">
        <f t="shared" si="0"/>
        <v>2040</v>
      </c>
    </row>
    <row r="8" spans="2:24" s="1" customFormat="1" x14ac:dyDescent="0.2">
      <c r="B8" s="1" t="s">
        <v>57</v>
      </c>
      <c r="H8" s="1">
        <f>+H10-H9</f>
        <v>850</v>
      </c>
    </row>
    <row r="9" spans="2:24" s="1" customFormat="1" x14ac:dyDescent="0.2">
      <c r="B9" s="1" t="s">
        <v>56</v>
      </c>
      <c r="H9" s="1">
        <v>1700</v>
      </c>
    </row>
    <row r="10" spans="2:24" s="1" customFormat="1" x14ac:dyDescent="0.2">
      <c r="B10" s="1" t="s">
        <v>37</v>
      </c>
      <c r="C10" s="1">
        <f>+C15*1000000/C11</f>
        <v>1019.6431982107133</v>
      </c>
      <c r="D10" s="1">
        <f>+D15*1000000/D11</f>
        <v>1316.9473280363316</v>
      </c>
      <c r="E10" s="1">
        <f>+E15*1000000/E11</f>
        <v>1497.6224621616984</v>
      </c>
      <c r="F10" s="1">
        <f>+F15*1000000/F11</f>
        <v>1879.4176314628576</v>
      </c>
      <c r="G10" s="1">
        <f>+G15*1000000/G11</f>
        <v>2399.5300255382772</v>
      </c>
      <c r="H10" s="1">
        <v>2550</v>
      </c>
      <c r="I10" s="1">
        <f t="shared" ref="I10:X10" si="1">+H10+600</f>
        <v>3150</v>
      </c>
      <c r="J10" s="1">
        <f t="shared" si="1"/>
        <v>3750</v>
      </c>
      <c r="K10" s="1">
        <f t="shared" si="1"/>
        <v>4350</v>
      </c>
      <c r="L10" s="1">
        <f t="shared" si="1"/>
        <v>4950</v>
      </c>
      <c r="M10" s="1">
        <f t="shared" si="1"/>
        <v>5550</v>
      </c>
      <c r="N10" s="1">
        <f t="shared" si="1"/>
        <v>6150</v>
      </c>
      <c r="O10" s="1">
        <f t="shared" si="1"/>
        <v>6750</v>
      </c>
      <c r="P10" s="1">
        <f t="shared" si="1"/>
        <v>7350</v>
      </c>
      <c r="Q10" s="1">
        <f t="shared" si="1"/>
        <v>7950</v>
      </c>
      <c r="R10" s="1">
        <f t="shared" si="1"/>
        <v>8550</v>
      </c>
      <c r="S10" s="1">
        <f t="shared" si="1"/>
        <v>9150</v>
      </c>
      <c r="T10" s="1">
        <f t="shared" si="1"/>
        <v>9750</v>
      </c>
      <c r="U10" s="1">
        <f t="shared" si="1"/>
        <v>10350</v>
      </c>
      <c r="V10" s="1">
        <f t="shared" si="1"/>
        <v>10950</v>
      </c>
      <c r="W10" s="1">
        <f t="shared" si="1"/>
        <v>11550</v>
      </c>
      <c r="X10" s="1">
        <f t="shared" si="1"/>
        <v>12150</v>
      </c>
    </row>
    <row r="11" spans="2:24" s="5" customFormat="1" x14ac:dyDescent="0.2">
      <c r="B11" s="5" t="s">
        <v>36</v>
      </c>
      <c r="C11" s="5">
        <f>+D11*0.99</f>
        <v>140463.8409311513</v>
      </c>
      <c r="D11" s="5">
        <f>+E11*0.99</f>
        <v>141882.66760722353</v>
      </c>
      <c r="E11" s="5">
        <f>+F11*0.99</f>
        <v>143315.82586588236</v>
      </c>
      <c r="F11" s="5">
        <f>+G11*0.99</f>
        <v>144763.46047058824</v>
      </c>
      <c r="G11" s="5">
        <f>+H11*0.99</f>
        <v>146225.71764705883</v>
      </c>
      <c r="H11" s="5">
        <f>+H13*1000000/H10</f>
        <v>147702.74509803922</v>
      </c>
      <c r="I11" s="5">
        <f>+H11*1.002</f>
        <v>147998.15058823529</v>
      </c>
      <c r="J11" s="5">
        <f t="shared" ref="J11:X11" si="2">+I11*1.002</f>
        <v>148294.14688941176</v>
      </c>
      <c r="K11" s="5">
        <f t="shared" si="2"/>
        <v>148590.73518319058</v>
      </c>
      <c r="L11" s="5">
        <f t="shared" si="2"/>
        <v>148887.91665355695</v>
      </c>
      <c r="M11" s="5">
        <f t="shared" si="2"/>
        <v>149185.69248686408</v>
      </c>
      <c r="N11" s="5">
        <f t="shared" si="2"/>
        <v>149484.0638718378</v>
      </c>
      <c r="O11" s="5">
        <f t="shared" si="2"/>
        <v>149783.03199958149</v>
      </c>
      <c r="P11" s="5">
        <f t="shared" si="2"/>
        <v>150082.59806358066</v>
      </c>
      <c r="Q11" s="5">
        <f t="shared" si="2"/>
        <v>150382.76325970783</v>
      </c>
      <c r="R11" s="5">
        <f t="shared" si="2"/>
        <v>150683.52878622725</v>
      </c>
      <c r="S11" s="5">
        <f t="shared" si="2"/>
        <v>150984.89584379972</v>
      </c>
      <c r="T11" s="5">
        <f t="shared" si="2"/>
        <v>151286.86563548731</v>
      </c>
      <c r="U11" s="5">
        <f t="shared" si="2"/>
        <v>151589.43936675828</v>
      </c>
      <c r="V11" s="5">
        <f t="shared" si="2"/>
        <v>151892.61824549179</v>
      </c>
      <c r="W11" s="5">
        <f t="shared" si="2"/>
        <v>152196.40348198276</v>
      </c>
      <c r="X11" s="5">
        <f t="shared" si="2"/>
        <v>152500.79628894673</v>
      </c>
    </row>
    <row r="12" spans="2:24" s="5" customFormat="1" x14ac:dyDescent="0.2"/>
    <row r="13" spans="2:24" x14ac:dyDescent="0.2">
      <c r="B13" t="s">
        <v>19</v>
      </c>
      <c r="C13">
        <f>73.997+48.939</f>
        <v>122.93600000000001</v>
      </c>
      <c r="D13">
        <f>114.125+48.427</f>
        <v>162.55199999999999</v>
      </c>
      <c r="E13">
        <f>144.075+45.963</f>
        <v>190.03799999999998</v>
      </c>
      <c r="F13">
        <f>192.98+44.202</f>
        <v>237.18199999999999</v>
      </c>
      <c r="G13">
        <f>252.31+48.97</f>
        <v>301.27999999999997</v>
      </c>
      <c r="H13">
        <f>315.96+60.682</f>
        <v>376.642</v>
      </c>
    </row>
    <row r="14" spans="2:24" x14ac:dyDescent="0.2">
      <c r="B14" t="s">
        <v>11</v>
      </c>
      <c r="C14">
        <v>20.286999999999999</v>
      </c>
      <c r="D14">
        <v>24.3</v>
      </c>
      <c r="E14">
        <v>24.594999999999999</v>
      </c>
      <c r="F14">
        <v>34.889000000000003</v>
      </c>
      <c r="G14">
        <v>49.593000000000004</v>
      </c>
      <c r="H14">
        <v>53.881</v>
      </c>
    </row>
    <row r="15" spans="2:24" s="2" customFormat="1" ht="15.75" x14ac:dyDescent="0.25">
      <c r="B15" s="2" t="s">
        <v>12</v>
      </c>
      <c r="C15" s="2">
        <f t="shared" ref="C15:H15" si="3">+C13+C14</f>
        <v>143.22300000000001</v>
      </c>
      <c r="D15" s="2">
        <f t="shared" si="3"/>
        <v>186.852</v>
      </c>
      <c r="E15" s="2">
        <f t="shared" si="3"/>
        <v>214.63299999999998</v>
      </c>
      <c r="F15" s="2">
        <f t="shared" si="3"/>
        <v>272.07099999999997</v>
      </c>
      <c r="G15" s="2">
        <f t="shared" si="3"/>
        <v>350.87299999999999</v>
      </c>
      <c r="H15" s="2">
        <f t="shared" si="3"/>
        <v>430.52300000000002</v>
      </c>
      <c r="I15" s="7">
        <f>+I10*I11/1000000</f>
        <v>466.19417435294116</v>
      </c>
      <c r="J15" s="7">
        <f>+J10*J11/1000000</f>
        <v>556.10305083529408</v>
      </c>
      <c r="K15" s="7">
        <f t="shared" ref="K15:X15" si="4">+K10*K11/1000000</f>
        <v>646.36969804687908</v>
      </c>
      <c r="L15" s="7">
        <f t="shared" si="4"/>
        <v>736.99518743510691</v>
      </c>
      <c r="M15" s="7">
        <f t="shared" si="4"/>
        <v>827.9805933020956</v>
      </c>
      <c r="N15" s="7">
        <f t="shared" si="4"/>
        <v>919.32699281180248</v>
      </c>
      <c r="O15" s="7">
        <f t="shared" si="4"/>
        <v>1011.0354659971752</v>
      </c>
      <c r="P15" s="7">
        <f t="shared" si="4"/>
        <v>1103.1070957673178</v>
      </c>
      <c r="Q15" s="7">
        <f t="shared" si="4"/>
        <v>1195.5429679146773</v>
      </c>
      <c r="R15" s="7">
        <f t="shared" si="4"/>
        <v>1288.3441711222429</v>
      </c>
      <c r="S15" s="7">
        <f t="shared" si="4"/>
        <v>1381.5117969707676</v>
      </c>
      <c r="T15" s="7">
        <f t="shared" si="4"/>
        <v>1475.0469399460012</v>
      </c>
      <c r="U15" s="7">
        <f t="shared" si="4"/>
        <v>1568.9506974459482</v>
      </c>
      <c r="V15" s="7">
        <f t="shared" si="4"/>
        <v>1663.224169788135</v>
      </c>
      <c r="W15" s="7">
        <f t="shared" si="4"/>
        <v>1757.8684602169008</v>
      </c>
      <c r="X15" s="7">
        <f t="shared" si="4"/>
        <v>1852.8846749107026</v>
      </c>
    </row>
    <row r="16" spans="2:24" x14ac:dyDescent="0.2">
      <c r="B16" t="s">
        <v>13</v>
      </c>
      <c r="C16">
        <v>23.17</v>
      </c>
      <c r="D16">
        <v>37.677</v>
      </c>
      <c r="E16">
        <v>40.643999999999998</v>
      </c>
      <c r="F16">
        <v>51.177</v>
      </c>
      <c r="G16">
        <v>53.021999999999998</v>
      </c>
      <c r="H16">
        <v>59.831000000000003</v>
      </c>
    </row>
    <row r="17" spans="2:8" x14ac:dyDescent="0.2">
      <c r="B17" t="s">
        <v>14</v>
      </c>
      <c r="C17">
        <v>21.722999999999999</v>
      </c>
      <c r="D17">
        <f>32.847+0.765</f>
        <v>33.612000000000002</v>
      </c>
      <c r="E17">
        <v>33.729999999999997</v>
      </c>
      <c r="F17">
        <v>47.905999999999999</v>
      </c>
      <c r="G17">
        <v>58.44</v>
      </c>
      <c r="H17">
        <v>63.83</v>
      </c>
    </row>
    <row r="18" spans="2:8" x14ac:dyDescent="0.2">
      <c r="B18" t="s">
        <v>15</v>
      </c>
      <c r="C18">
        <f t="shared" ref="C18:H18" si="5">+C16+C17</f>
        <v>44.893000000000001</v>
      </c>
      <c r="D18">
        <f t="shared" si="5"/>
        <v>71.289000000000001</v>
      </c>
      <c r="E18">
        <f t="shared" si="5"/>
        <v>74.373999999999995</v>
      </c>
      <c r="F18">
        <f t="shared" si="5"/>
        <v>99.082999999999998</v>
      </c>
      <c r="G18">
        <f t="shared" si="5"/>
        <v>111.46199999999999</v>
      </c>
      <c r="H18">
        <f t="shared" si="5"/>
        <v>123.661</v>
      </c>
    </row>
    <row r="19" spans="2:8" x14ac:dyDescent="0.2">
      <c r="B19" t="s">
        <v>16</v>
      </c>
      <c r="C19">
        <f t="shared" ref="C19:H21" si="6">+C13-C16</f>
        <v>99.766000000000005</v>
      </c>
      <c r="D19">
        <f t="shared" si="6"/>
        <v>124.875</v>
      </c>
      <c r="E19">
        <f t="shared" si="6"/>
        <v>149.39399999999998</v>
      </c>
      <c r="F19">
        <f t="shared" si="6"/>
        <v>186.005</v>
      </c>
      <c r="G19">
        <f t="shared" si="6"/>
        <v>248.25799999999998</v>
      </c>
      <c r="H19">
        <f t="shared" si="6"/>
        <v>316.81099999999998</v>
      </c>
    </row>
    <row r="20" spans="2:8" x14ac:dyDescent="0.2">
      <c r="B20" t="s">
        <v>17</v>
      </c>
      <c r="C20">
        <f t="shared" si="6"/>
        <v>-1.4359999999999999</v>
      </c>
      <c r="D20">
        <f t="shared" si="6"/>
        <v>-9.3120000000000012</v>
      </c>
      <c r="E20">
        <f t="shared" si="6"/>
        <v>-9.134999999999998</v>
      </c>
      <c r="F20">
        <f t="shared" si="6"/>
        <v>-13.016999999999996</v>
      </c>
      <c r="G20">
        <f t="shared" si="6"/>
        <v>-8.8469999999999942</v>
      </c>
      <c r="H20">
        <f t="shared" si="6"/>
        <v>-9.9489999999999981</v>
      </c>
    </row>
    <row r="21" spans="2:8" s="2" customFormat="1" ht="15.75" x14ac:dyDescent="0.25">
      <c r="B21" s="2" t="s">
        <v>18</v>
      </c>
      <c r="C21" s="2">
        <f t="shared" si="6"/>
        <v>98.330000000000013</v>
      </c>
      <c r="D21" s="2">
        <f t="shared" si="6"/>
        <v>115.563</v>
      </c>
      <c r="E21" s="2">
        <f t="shared" si="6"/>
        <v>140.25899999999999</v>
      </c>
      <c r="F21" s="2">
        <f t="shared" si="6"/>
        <v>172.98799999999997</v>
      </c>
      <c r="G21" s="2">
        <f t="shared" si="6"/>
        <v>239.411</v>
      </c>
      <c r="H21" s="2">
        <f t="shared" si="6"/>
        <v>306.86200000000002</v>
      </c>
    </row>
    <row r="22" spans="2:8" x14ac:dyDescent="0.2">
      <c r="B22" t="s">
        <v>21</v>
      </c>
      <c r="C22">
        <v>28.826000000000001</v>
      </c>
      <c r="D22">
        <v>42.09</v>
      </c>
      <c r="E22">
        <v>50.853000000000002</v>
      </c>
      <c r="F22">
        <v>74.412000000000006</v>
      </c>
      <c r="G22">
        <v>93.850999999999999</v>
      </c>
      <c r="H22">
        <v>113.634</v>
      </c>
    </row>
    <row r="23" spans="2:8" x14ac:dyDescent="0.2">
      <c r="B23" t="s">
        <v>22</v>
      </c>
      <c r="C23">
        <v>44.889000000000003</v>
      </c>
      <c r="D23">
        <v>58.898000000000003</v>
      </c>
      <c r="E23">
        <v>69.947999999999993</v>
      </c>
      <c r="F23">
        <v>111.905</v>
      </c>
      <c r="G23">
        <v>132.18899999999999</v>
      </c>
      <c r="H23">
        <v>138.17599999999999</v>
      </c>
    </row>
    <row r="24" spans="2:8" x14ac:dyDescent="0.2">
      <c r="B24" t="s">
        <v>23</v>
      </c>
      <c r="C24">
        <v>28.718</v>
      </c>
      <c r="D24">
        <v>28.491</v>
      </c>
      <c r="E24">
        <v>42.417999999999999</v>
      </c>
      <c r="F24">
        <v>86.126999999999995</v>
      </c>
      <c r="G24">
        <v>81.031000000000006</v>
      </c>
      <c r="H24">
        <v>87.242999999999995</v>
      </c>
    </row>
    <row r="25" spans="2:8" x14ac:dyDescent="0.2">
      <c r="B25" t="s">
        <v>24</v>
      </c>
      <c r="C25">
        <v>0</v>
      </c>
      <c r="D25">
        <v>2.8940000000000001</v>
      </c>
      <c r="E25">
        <v>0</v>
      </c>
      <c r="F25">
        <v>0</v>
      </c>
      <c r="G25">
        <v>1.601</v>
      </c>
      <c r="H25">
        <v>0</v>
      </c>
    </row>
    <row r="26" spans="2:8" x14ac:dyDescent="0.2">
      <c r="B26" t="s">
        <v>25</v>
      </c>
      <c r="C26">
        <f t="shared" ref="C26:H26" si="7">+C22+C23+C24+C25</f>
        <v>102.43300000000001</v>
      </c>
      <c r="D26">
        <f t="shared" si="7"/>
        <v>132.37299999999999</v>
      </c>
      <c r="E26">
        <f t="shared" si="7"/>
        <v>163.21899999999999</v>
      </c>
      <c r="F26">
        <f t="shared" si="7"/>
        <v>272.44400000000002</v>
      </c>
      <c r="G26">
        <f t="shared" si="7"/>
        <v>308.67200000000003</v>
      </c>
      <c r="H26">
        <f t="shared" si="7"/>
        <v>339.053</v>
      </c>
    </row>
    <row r="27" spans="2:8" x14ac:dyDescent="0.2">
      <c r="B27" t="s">
        <v>26</v>
      </c>
      <c r="C27">
        <f t="shared" ref="C27:H27" si="8">+C21-C26</f>
        <v>-4.1029999999999944</v>
      </c>
      <c r="D27">
        <f t="shared" si="8"/>
        <v>-16.809999999999988</v>
      </c>
      <c r="E27">
        <f t="shared" si="8"/>
        <v>-22.960000000000008</v>
      </c>
      <c r="F27">
        <f t="shared" si="8"/>
        <v>-99.456000000000046</v>
      </c>
      <c r="G27">
        <f t="shared" si="8"/>
        <v>-69.261000000000024</v>
      </c>
      <c r="H27">
        <f t="shared" si="8"/>
        <v>-32.190999999999974</v>
      </c>
    </row>
    <row r="28" spans="2:8" x14ac:dyDescent="0.2">
      <c r="B28" t="s">
        <v>27</v>
      </c>
      <c r="C28">
        <v>-19.943999999999999</v>
      </c>
      <c r="D28">
        <v>-27.856000000000002</v>
      </c>
      <c r="E28">
        <v>-24.608000000000001</v>
      </c>
      <c r="F28">
        <f>-2.407-0.274</f>
        <v>-2.681</v>
      </c>
      <c r="G28">
        <v>-0.65900000000000003</v>
      </c>
      <c r="H28">
        <v>2.2850000000000001</v>
      </c>
    </row>
    <row r="29" spans="2:8" x14ac:dyDescent="0.2">
      <c r="B29" t="s">
        <v>28</v>
      </c>
      <c r="C29">
        <v>-0.89800000000000002</v>
      </c>
      <c r="D29">
        <v>-0.89600000000000002</v>
      </c>
      <c r="E29">
        <v>1.276</v>
      </c>
      <c r="F29">
        <v>-0.97599999999999998</v>
      </c>
      <c r="G29">
        <v>0</v>
      </c>
      <c r="H29">
        <v>0</v>
      </c>
    </row>
    <row r="30" spans="2:8" x14ac:dyDescent="0.2">
      <c r="B30" t="s">
        <v>29</v>
      </c>
      <c r="C30">
        <f t="shared" ref="C30:H30" si="9">+C27+C28+C29</f>
        <v>-24.944999999999993</v>
      </c>
      <c r="D30">
        <f t="shared" si="9"/>
        <v>-45.561999999999991</v>
      </c>
      <c r="E30">
        <f t="shared" si="9"/>
        <v>-46.292000000000009</v>
      </c>
      <c r="F30">
        <f t="shared" si="9"/>
        <v>-103.11300000000004</v>
      </c>
      <c r="G30">
        <f t="shared" si="9"/>
        <v>-69.92000000000003</v>
      </c>
      <c r="H30">
        <f t="shared" si="9"/>
        <v>-29.905999999999974</v>
      </c>
    </row>
    <row r="31" spans="2:8" x14ac:dyDescent="0.2">
      <c r="B31" t="s">
        <v>33</v>
      </c>
      <c r="C31">
        <v>7.806</v>
      </c>
      <c r="D31">
        <v>-0.35299999999999998</v>
      </c>
      <c r="E31">
        <v>-0.47199999999999998</v>
      </c>
      <c r="F31">
        <v>3.4350000000000001</v>
      </c>
      <c r="G31">
        <v>0.495</v>
      </c>
      <c r="H31">
        <v>-2.1150000000000002</v>
      </c>
    </row>
    <row r="32" spans="2:8" s="2" customFormat="1" ht="15.75" x14ac:dyDescent="0.25">
      <c r="B32" s="2" t="s">
        <v>34</v>
      </c>
      <c r="C32" s="2">
        <f t="shared" ref="C32:H32" si="10">+C30+C31</f>
        <v>-17.138999999999992</v>
      </c>
      <c r="D32" s="2">
        <f t="shared" si="10"/>
        <v>-45.914999999999992</v>
      </c>
      <c r="E32" s="2">
        <f t="shared" si="10"/>
        <v>-46.76400000000001</v>
      </c>
      <c r="F32" s="2">
        <f t="shared" si="10"/>
        <v>-99.67800000000004</v>
      </c>
      <c r="G32" s="2">
        <f t="shared" si="10"/>
        <v>-69.425000000000026</v>
      </c>
      <c r="H32" s="2">
        <f t="shared" si="10"/>
        <v>-32.020999999999972</v>
      </c>
    </row>
    <row r="33" spans="2:51" s="2" customFormat="1" ht="15.75" x14ac:dyDescent="0.25"/>
    <row r="35" spans="2:51" s="3" customFormat="1" x14ac:dyDescent="0.2">
      <c r="B35" s="3" t="s">
        <v>31</v>
      </c>
      <c r="D35" s="3">
        <f t="shared" ref="D35:G35" si="11">+D13/C13-1</f>
        <v>0.32224897507646233</v>
      </c>
      <c r="E35" s="3">
        <f t="shared" si="11"/>
        <v>0.16909050642256007</v>
      </c>
      <c r="F35" s="3">
        <f t="shared" si="11"/>
        <v>0.24807670044938379</v>
      </c>
      <c r="G35" s="3">
        <f t="shared" si="11"/>
        <v>0.27024816385729089</v>
      </c>
      <c r="H35" s="3">
        <f>+H13/G13-1</f>
        <v>0.25013940520446099</v>
      </c>
    </row>
    <row r="36" spans="2:51" s="3" customFormat="1" x14ac:dyDescent="0.2">
      <c r="B36" s="3" t="s">
        <v>32</v>
      </c>
      <c r="D36" s="3">
        <f t="shared" ref="D36:G36" si="12">+D14/C14-1</f>
        <v>0.19781140631931793</v>
      </c>
      <c r="E36" s="3">
        <f t="shared" si="12"/>
        <v>1.2139917695473068E-2</v>
      </c>
      <c r="F36" s="3">
        <f t="shared" si="12"/>
        <v>0.4185403537304333</v>
      </c>
      <c r="G36" s="3">
        <f t="shared" si="12"/>
        <v>0.42145088709908562</v>
      </c>
      <c r="H36" s="3">
        <f>+H14/G14-1</f>
        <v>8.6463815457826554E-2</v>
      </c>
    </row>
    <row r="37" spans="2:51" s="6" customFormat="1" ht="15.75" x14ac:dyDescent="0.25">
      <c r="B37" s="6" t="s">
        <v>30</v>
      </c>
      <c r="D37" s="6">
        <f>+D15/C15-1</f>
        <v>0.30462286085335455</v>
      </c>
      <c r="E37" s="6">
        <f>+E15/D15-1</f>
        <v>0.14867916853980678</v>
      </c>
      <c r="F37" s="6">
        <f>+F15/E15-1</f>
        <v>0.26761029291860994</v>
      </c>
      <c r="G37" s="6">
        <f>+G15/F15-1</f>
        <v>0.28963763135358067</v>
      </c>
      <c r="H37" s="6">
        <f>+H15/G15-1</f>
        <v>0.22700521271229213</v>
      </c>
      <c r="I37" s="6">
        <f t="shared" ref="I37:X37" si="13">+I15/H15-1</f>
        <v>8.285544408299006E-2</v>
      </c>
      <c r="J37" s="6">
        <f t="shared" si="13"/>
        <v>0.19285714285714284</v>
      </c>
      <c r="K37" s="6">
        <f t="shared" si="13"/>
        <v>0.16232000000000002</v>
      </c>
      <c r="L37" s="6">
        <f t="shared" si="13"/>
        <v>0.14020689655172403</v>
      </c>
      <c r="M37" s="6">
        <f t="shared" si="13"/>
        <v>0.12345454545454548</v>
      </c>
      <c r="N37" s="6">
        <f t="shared" si="13"/>
        <v>0.11032432432432437</v>
      </c>
      <c r="O37" s="6">
        <f t="shared" si="13"/>
        <v>9.9756097560975698E-2</v>
      </c>
      <c r="P37" s="6">
        <f t="shared" si="13"/>
        <v>9.1066666666666629E-2</v>
      </c>
      <c r="Q37" s="6">
        <f t="shared" si="13"/>
        <v>8.3795918367347122E-2</v>
      </c>
      <c r="R37" s="6">
        <f t="shared" si="13"/>
        <v>7.7622641509433876E-2</v>
      </c>
      <c r="S37" s="6">
        <f t="shared" si="13"/>
        <v>7.2315789473684555E-2</v>
      </c>
      <c r="T37" s="6">
        <f t="shared" si="13"/>
        <v>6.7704918032786665E-2</v>
      </c>
      <c r="U37" s="6">
        <f t="shared" si="13"/>
        <v>6.3661538461538436E-2</v>
      </c>
      <c r="V37" s="6">
        <f t="shared" si="13"/>
        <v>6.008695652173901E-2</v>
      </c>
      <c r="W37" s="6">
        <f t="shared" si="13"/>
        <v>5.6904109589041019E-2</v>
      </c>
      <c r="X37" s="6">
        <f t="shared" si="13"/>
        <v>5.4051948051948129E-2</v>
      </c>
    </row>
    <row r="38" spans="2:51" x14ac:dyDescent="0.2">
      <c r="B38" s="3" t="s">
        <v>20</v>
      </c>
      <c r="C38" s="3"/>
      <c r="D38" s="3"/>
      <c r="E38" s="3"/>
      <c r="F38" s="3"/>
      <c r="G38" s="3">
        <f>+G21/G15</f>
        <v>0.68232950383757085</v>
      </c>
      <c r="H38" s="3">
        <f>+H21/H15</f>
        <v>0.71276563621455769</v>
      </c>
    </row>
    <row r="39" spans="2:51" s="4" customFormat="1" ht="15.75" x14ac:dyDescent="0.25">
      <c r="B39" s="4" t="s">
        <v>35</v>
      </c>
      <c r="C39" s="4">
        <f t="shared" ref="C39:H39" si="14">+C15/C23</f>
        <v>3.1906034886052264</v>
      </c>
      <c r="D39" s="4">
        <f t="shared" si="14"/>
        <v>3.1724676559475702</v>
      </c>
      <c r="E39" s="4">
        <f t="shared" si="14"/>
        <v>3.0684651455366843</v>
      </c>
      <c r="F39" s="4">
        <f t="shared" si="14"/>
        <v>2.4312675930476741</v>
      </c>
      <c r="G39" s="4">
        <f t="shared" si="14"/>
        <v>2.6543282723978545</v>
      </c>
      <c r="H39" s="4">
        <f t="shared" si="14"/>
        <v>3.1157581635016216</v>
      </c>
    </row>
    <row r="40" spans="2:51" s="3" customFormat="1" x14ac:dyDescent="0.2"/>
    <row r="42" spans="2:51" x14ac:dyDescent="0.2">
      <c r="B42" s="3" t="s">
        <v>38</v>
      </c>
      <c r="C42">
        <v>-5.0640000000000001</v>
      </c>
      <c r="D42">
        <v>-1.41</v>
      </c>
      <c r="E42">
        <v>-9.7490000000000006</v>
      </c>
      <c r="F42">
        <v>14.236000000000001</v>
      </c>
      <c r="G42">
        <v>27.486999999999998</v>
      </c>
      <c r="H42">
        <v>67.230999999999995</v>
      </c>
    </row>
    <row r="43" spans="2:51" x14ac:dyDescent="0.2">
      <c r="B43" s="3" t="s">
        <v>39</v>
      </c>
      <c r="C43">
        <v>-194.60499999999999</v>
      </c>
      <c r="D43">
        <v>-5.1340000000000003</v>
      </c>
      <c r="E43">
        <v>-25.603999999999999</v>
      </c>
      <c r="F43">
        <v>-7.2869999999999999</v>
      </c>
      <c r="G43">
        <v>-14.34</v>
      </c>
      <c r="H43">
        <v>-19.827999999999999</v>
      </c>
    </row>
    <row r="44" spans="2:51" x14ac:dyDescent="0.2">
      <c r="B44" s="3" t="s">
        <v>40</v>
      </c>
      <c r="C44">
        <v>204.27600000000001</v>
      </c>
      <c r="D44">
        <v>27.245999999999999</v>
      </c>
      <c r="E44">
        <v>32.404000000000003</v>
      </c>
      <c r="F44">
        <v>6.6470000000000002</v>
      </c>
      <c r="G44">
        <v>64.099999999999994</v>
      </c>
      <c r="H44">
        <v>30.324999999999999</v>
      </c>
    </row>
    <row r="45" spans="2:51" x14ac:dyDescent="0.2">
      <c r="B45" s="3" t="s">
        <v>42</v>
      </c>
      <c r="C45">
        <v>-0.187</v>
      </c>
      <c r="D45">
        <v>-0.161</v>
      </c>
      <c r="E45">
        <v>1.2529999999999999</v>
      </c>
      <c r="F45">
        <v>-0.748</v>
      </c>
      <c r="G45">
        <v>-0.373</v>
      </c>
      <c r="H45">
        <v>-0.34300000000000003</v>
      </c>
    </row>
    <row r="46" spans="2:51" s="2" customFormat="1" ht="15.75" x14ac:dyDescent="0.25">
      <c r="B46" s="6" t="s">
        <v>41</v>
      </c>
      <c r="C46" s="2">
        <f>+SUM(C42:C45)</f>
        <v>4.4200000000000275</v>
      </c>
      <c r="D46" s="2">
        <f>+SUM(D42:D45)</f>
        <v>20.540999999999997</v>
      </c>
      <c r="E46" s="2">
        <f>+SUM(E42:E45)</f>
        <v>-1.6959999999999982</v>
      </c>
      <c r="F46" s="2">
        <f>+SUM(F42:F45)</f>
        <v>12.848000000000001</v>
      </c>
      <c r="G46" s="2">
        <f>+SUM(G42:G45)</f>
        <v>76.873999999999981</v>
      </c>
      <c r="H46" s="2">
        <f>+SUM(H42:H45)</f>
        <v>77.384999999999991</v>
      </c>
      <c r="I46" s="7">
        <f>+I15*0.17</f>
        <v>79.253009640000002</v>
      </c>
      <c r="J46" s="7">
        <f>+J15*0.17</f>
        <v>94.537518641999995</v>
      </c>
      <c r="K46" s="7">
        <f>+K15*0.17</f>
        <v>109.88284866796945</v>
      </c>
      <c r="L46" s="7">
        <f>+L15*0.17</f>
        <v>125.28918186396818</v>
      </c>
      <c r="M46" s="7">
        <f>+M15*0.17</f>
        <v>140.75670086135625</v>
      </c>
      <c r="N46" s="7">
        <f>+N15*0.17</f>
        <v>156.28558877800643</v>
      </c>
      <c r="O46" s="7">
        <f>+O15*0.17</f>
        <v>171.87602921951978</v>
      </c>
      <c r="P46" s="7">
        <f>+P15*0.17</f>
        <v>187.52820628044404</v>
      </c>
      <c r="Q46" s="7">
        <f>+Q15*0.17</f>
        <v>203.24230454549516</v>
      </c>
      <c r="R46" s="7">
        <f>+R15*0.17</f>
        <v>219.01850909078129</v>
      </c>
      <c r="S46" s="7">
        <f>+S15*0.17</f>
        <v>234.8570054850305</v>
      </c>
      <c r="T46" s="7">
        <f>+T15*0.17</f>
        <v>250.75797979082023</v>
      </c>
      <c r="U46" s="7">
        <f>+U15*0.17</f>
        <v>266.72161856581124</v>
      </c>
      <c r="V46" s="7">
        <f>+V15*0.17</f>
        <v>282.74810886398296</v>
      </c>
      <c r="W46" s="7">
        <f>+W15*0.17</f>
        <v>298.83763823687315</v>
      </c>
      <c r="X46" s="7">
        <f>+X15*0.17</f>
        <v>314.99039473481946</v>
      </c>
      <c r="Y46" s="2">
        <f>+T46*(1+$H$51)</f>
        <v>253.26555958872842</v>
      </c>
      <c r="Z46" s="2">
        <f>+U46*(1+$H$51)</f>
        <v>269.38883475146935</v>
      </c>
      <c r="AA46" s="2">
        <f>+V46*(1+$H$51)</f>
        <v>285.57558995262281</v>
      </c>
      <c r="AB46" s="2">
        <f>+W46*(1+$H$51)</f>
        <v>301.8260146192419</v>
      </c>
      <c r="AC46" s="2">
        <f>+X46*(1+$H$51)</f>
        <v>318.14029868216767</v>
      </c>
      <c r="AD46" s="2">
        <f>+Y46*(1+$H$51)</f>
        <v>255.79821518461571</v>
      </c>
      <c r="AE46" s="2">
        <f>+Z46*(1+$H$51)</f>
        <v>272.08272309898405</v>
      </c>
      <c r="AF46" s="2">
        <f>+AA46*(1+$H$51)</f>
        <v>288.43134585214904</v>
      </c>
      <c r="AG46" s="2">
        <f>+AB46*(1+$H$51)</f>
        <v>304.84427476543431</v>
      </c>
      <c r="AH46" s="2">
        <f>+AC46*(1+$H$51)</f>
        <v>321.32170166898936</v>
      </c>
      <c r="AI46" s="2">
        <f>+AD46*(1+$H$51)</f>
        <v>258.35619733646189</v>
      </c>
      <c r="AJ46" s="2">
        <f>+AE46*(1+$H$51)</f>
        <v>274.80355032997392</v>
      </c>
      <c r="AK46" s="2">
        <f>+AF46*(1+$H$51)</f>
        <v>291.31565931067053</v>
      </c>
      <c r="AL46" s="2">
        <f>+AG46*(1+$H$51)</f>
        <v>307.89271751308866</v>
      </c>
      <c r="AM46" s="2">
        <f>+AH46*(1+$H$51)</f>
        <v>324.53491868567926</v>
      </c>
      <c r="AN46" s="2">
        <f>+AI46*(1+$H$51)</f>
        <v>260.93975930982651</v>
      </c>
      <c r="AO46" s="2">
        <f>+AJ46*(1+$H$51)</f>
        <v>277.55158583327363</v>
      </c>
      <c r="AP46" s="2">
        <f>+AK46*(1+$H$51)</f>
        <v>294.22881590377722</v>
      </c>
      <c r="AQ46" s="2">
        <f>+AL46*(1+$H$51)</f>
        <v>310.97164468821956</v>
      </c>
      <c r="AR46" s="2">
        <f>+AM46*(1+$H$51)</f>
        <v>327.78026787253606</v>
      </c>
      <c r="AS46" s="2">
        <f>+AN46*(1+$H$51)</f>
        <v>263.54915690292478</v>
      </c>
      <c r="AT46" s="2">
        <f>+AO46*(1+$H$51)</f>
        <v>280.3271016916064</v>
      </c>
      <c r="AU46" s="2">
        <f>+AP46*(1+$H$51)</f>
        <v>297.171104062815</v>
      </c>
      <c r="AV46" s="2">
        <f>+AQ46*(1+$H$51)</f>
        <v>314.08136113510176</v>
      </c>
      <c r="AW46" s="2">
        <f>+AR46*(1+$H$51)</f>
        <v>331.05807055126144</v>
      </c>
      <c r="AX46" s="2">
        <f>+AS46*(1+$H$51)</f>
        <v>266.18464847195401</v>
      </c>
      <c r="AY46" s="2">
        <f>+AT46*(1+$H$51)</f>
        <v>283.13037270852249</v>
      </c>
    </row>
    <row r="47" spans="2:51" s="2" customFormat="1" ht="15.75" x14ac:dyDescent="0.25">
      <c r="B47" s="6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2:51" s="3" customFormat="1" x14ac:dyDescent="0.2">
      <c r="D48" s="3">
        <f>+D46/C46-1</f>
        <v>3.6472850678732733</v>
      </c>
      <c r="E48" s="3">
        <f>+E46/D46-1</f>
        <v>-1.0825665741687356</v>
      </c>
      <c r="F48" s="3">
        <f>+F46/-E46-1</f>
        <v>6.5754716981132164</v>
      </c>
      <c r="G48" s="3">
        <f>+G46/F46-1</f>
        <v>4.9833437110834353</v>
      </c>
      <c r="H48" s="3">
        <f>+H46/G46-1</f>
        <v>6.6472409397195786E-3</v>
      </c>
      <c r="I48" s="3">
        <f t="shared" ref="I48:X48" si="15">+I46/H46-1</f>
        <v>2.4139169606512967E-2</v>
      </c>
      <c r="J48" s="3">
        <f t="shared" si="15"/>
        <v>0.19285714285714284</v>
      </c>
      <c r="K48" s="3">
        <f t="shared" si="15"/>
        <v>0.16232000000000024</v>
      </c>
      <c r="L48" s="3">
        <f t="shared" si="15"/>
        <v>0.1402068965517238</v>
      </c>
      <c r="M48" s="3">
        <f t="shared" si="15"/>
        <v>0.12345454545454548</v>
      </c>
      <c r="N48" s="3">
        <f t="shared" si="15"/>
        <v>0.11032432432432437</v>
      </c>
      <c r="O48" s="3">
        <f t="shared" si="15"/>
        <v>9.9756097560975698E-2</v>
      </c>
      <c r="P48" s="3">
        <f t="shared" si="15"/>
        <v>9.1066666666666629E-2</v>
      </c>
      <c r="Q48" s="3">
        <f t="shared" si="15"/>
        <v>8.3795918367347122E-2</v>
      </c>
      <c r="R48" s="3">
        <f t="shared" si="15"/>
        <v>7.7622641509433876E-2</v>
      </c>
      <c r="S48" s="3">
        <f t="shared" si="15"/>
        <v>7.2315789473684555E-2</v>
      </c>
      <c r="T48" s="3">
        <f t="shared" si="15"/>
        <v>6.7704918032786665E-2</v>
      </c>
      <c r="U48" s="3">
        <f t="shared" si="15"/>
        <v>6.3661538461538658E-2</v>
      </c>
      <c r="V48" s="3">
        <f t="shared" si="15"/>
        <v>6.0086956521738788E-2</v>
      </c>
      <c r="W48" s="3">
        <f t="shared" si="15"/>
        <v>5.6904109589041019E-2</v>
      </c>
      <c r="X48" s="3">
        <f t="shared" si="15"/>
        <v>5.4051948051948129E-2</v>
      </c>
    </row>
    <row r="51" spans="7:8" x14ac:dyDescent="0.2">
      <c r="G51" t="s">
        <v>43</v>
      </c>
      <c r="H51" s="3">
        <v>0.01</v>
      </c>
    </row>
    <row r="52" spans="7:8" x14ac:dyDescent="0.2">
      <c r="G52" t="s">
        <v>44</v>
      </c>
      <c r="H52" s="3">
        <v>0.09</v>
      </c>
    </row>
    <row r="53" spans="7:8" x14ac:dyDescent="0.2">
      <c r="G53" t="s">
        <v>45</v>
      </c>
      <c r="H53" s="8">
        <f>+NPV(H52,G46:AY46)</f>
        <v>1920.2630478388523</v>
      </c>
    </row>
    <row r="54" spans="7:8" x14ac:dyDescent="0.2">
      <c r="G54" t="s">
        <v>46</v>
      </c>
      <c r="H54" s="9">
        <f>+H53/main!E5</f>
        <v>24.814248124136384</v>
      </c>
    </row>
    <row r="55" spans="7:8" x14ac:dyDescent="0.2">
      <c r="G55" t="s">
        <v>47</v>
      </c>
      <c r="H55">
        <f>+main!E4</f>
        <v>70.540000000000006</v>
      </c>
    </row>
    <row r="56" spans="7:8" x14ac:dyDescent="0.2">
      <c r="G56" t="s">
        <v>48</v>
      </c>
      <c r="H56" s="3">
        <f>+H54/H55-1</f>
        <v>-0.64822443827422194</v>
      </c>
    </row>
  </sheetData>
  <pageMargins left="0.7" right="0.7" top="0.75" bottom="0.75" header="0.3" footer="0.3"/>
  <ignoredErrors>
    <ignoredError sqref="F4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Geli Braholli</dc:creator>
  <cp:lastModifiedBy>Geli Braholli</cp:lastModifiedBy>
  <dcterms:created xsi:type="dcterms:W3CDTF">2025-01-24T21:19:49Z</dcterms:created>
  <dcterms:modified xsi:type="dcterms:W3CDTF">2025-01-27T02:51:09Z</dcterms:modified>
</cp:coreProperties>
</file>