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0798AE42-0DE9-403A-8DBC-31B9B49630C6}" xr6:coauthVersionLast="47" xr6:coauthVersionMax="47" xr10:uidLastSave="{00000000-0000-0000-0000-000000000000}"/>
  <bookViews>
    <workbookView xWindow="-120" yWindow="-120" windowWidth="29040" windowHeight="15840" activeTab="1" xr2:uid="{D61F7563-9FFE-4D2A-A68E-2C1EC98EC99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2" l="1"/>
  <c r="M34" i="2"/>
  <c r="N37" i="2"/>
  <c r="O37" i="2"/>
  <c r="N34" i="2"/>
  <c r="N38" i="2" s="1"/>
  <c r="O34" i="2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F23" i="2"/>
  <c r="F21" i="2"/>
  <c r="F17" i="2"/>
  <c r="F16" i="2"/>
  <c r="F15" i="2"/>
  <c r="F14" i="2"/>
  <c r="F11" i="2"/>
  <c r="F10" i="2"/>
  <c r="F7" i="2"/>
  <c r="J7" i="2" s="1"/>
  <c r="F8" i="2"/>
  <c r="J8" i="2" s="1"/>
  <c r="P8" i="2" s="1"/>
  <c r="P6" i="2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G27" i="2"/>
  <c r="H27" i="2"/>
  <c r="G26" i="2"/>
  <c r="H26" i="2"/>
  <c r="I26" i="2"/>
  <c r="I27" i="2"/>
  <c r="O20" i="2"/>
  <c r="O18" i="2"/>
  <c r="O12" i="2"/>
  <c r="N20" i="2"/>
  <c r="N18" i="2"/>
  <c r="N12" i="2"/>
  <c r="N9" i="2"/>
  <c r="M20" i="2"/>
  <c r="M18" i="2"/>
  <c r="M12" i="2"/>
  <c r="M9" i="2"/>
  <c r="O38" i="2" l="1"/>
  <c r="R42" i="2"/>
  <c r="N28" i="2"/>
  <c r="J26" i="2"/>
  <c r="J9" i="2"/>
  <c r="P7" i="2"/>
  <c r="P9" i="2" s="1"/>
  <c r="F18" i="2"/>
  <c r="F9" i="2"/>
  <c r="J28" i="2" s="1"/>
  <c r="J29" i="2"/>
  <c r="F12" i="2"/>
  <c r="M13" i="2"/>
  <c r="M19" i="2" s="1"/>
  <c r="M22" i="2" s="1"/>
  <c r="M24" i="2" s="1"/>
  <c r="J27" i="2"/>
  <c r="O9" i="2"/>
  <c r="N13" i="2"/>
  <c r="N19" i="2" s="1"/>
  <c r="N22" i="2" s="1"/>
  <c r="N24" i="2" s="1"/>
  <c r="O13" i="2" l="1"/>
  <c r="O19" i="2" s="1"/>
  <c r="O22" i="2" s="1"/>
  <c r="O24" i="2" s="1"/>
  <c r="O28" i="2"/>
  <c r="Q9" i="2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P28" i="2"/>
  <c r="F13" i="2"/>
  <c r="F19" i="2" s="1"/>
  <c r="F29" i="2"/>
  <c r="D20" i="2"/>
  <c r="D18" i="2"/>
  <c r="D12" i="2"/>
  <c r="D9" i="2"/>
  <c r="C20" i="2"/>
  <c r="C18" i="2"/>
  <c r="C12" i="2"/>
  <c r="C9" i="2"/>
  <c r="G20" i="2"/>
  <c r="G18" i="2"/>
  <c r="G12" i="2"/>
  <c r="G9" i="2"/>
  <c r="H20" i="2"/>
  <c r="H18" i="2"/>
  <c r="H12" i="2"/>
  <c r="H9" i="2"/>
  <c r="E20" i="2"/>
  <c r="F20" i="2" s="1"/>
  <c r="E18" i="2"/>
  <c r="E12" i="2"/>
  <c r="E9" i="2"/>
  <c r="I20" i="2"/>
  <c r="I18" i="2"/>
  <c r="I12" i="2"/>
  <c r="I9" i="2"/>
  <c r="D10" i="1"/>
  <c r="D8" i="1"/>
  <c r="D7" i="1"/>
  <c r="F22" i="2" l="1"/>
  <c r="F24" i="2" s="1"/>
  <c r="H28" i="2"/>
  <c r="G28" i="2"/>
  <c r="I13" i="2"/>
  <c r="I29" i="2" s="1"/>
  <c r="G13" i="2"/>
  <c r="D13" i="2"/>
  <c r="C13" i="2"/>
  <c r="H13" i="2"/>
  <c r="H29" i="2" s="1"/>
  <c r="I28" i="2"/>
  <c r="I19" i="2"/>
  <c r="I22" i="2" s="1"/>
  <c r="I24" i="2" s="1"/>
  <c r="E13" i="2"/>
  <c r="E19" i="2" l="1"/>
  <c r="E22" i="2" s="1"/>
  <c r="E24" i="2" s="1"/>
  <c r="E29" i="2"/>
  <c r="G19" i="2"/>
  <c r="G22" i="2" s="1"/>
  <c r="G24" i="2" s="1"/>
  <c r="G29" i="2"/>
  <c r="C19" i="2"/>
  <c r="C29" i="2"/>
  <c r="D19" i="2"/>
  <c r="D22" i="2" s="1"/>
  <c r="D24" i="2" s="1"/>
  <c r="D29" i="2"/>
  <c r="H19" i="2"/>
  <c r="H22" i="2" s="1"/>
  <c r="H24" i="2" s="1"/>
  <c r="C22" i="2"/>
  <c r="C24" i="2" s="1"/>
</calcChain>
</file>

<file path=xl/sharedStrings.xml><?xml version="1.0" encoding="utf-8"?>
<sst xmlns="http://schemas.openxmlformats.org/spreadsheetml/2006/main" count="51" uniqueCount="48">
  <si>
    <t xml:space="preserve">Price </t>
  </si>
  <si>
    <t>Shares</t>
  </si>
  <si>
    <t xml:space="preserve">MC </t>
  </si>
  <si>
    <t xml:space="preserve">Cash </t>
  </si>
  <si>
    <t xml:space="preserve">Debt </t>
  </si>
  <si>
    <t xml:space="preserve">EV </t>
  </si>
  <si>
    <t>Subs</t>
  </si>
  <si>
    <t>Services</t>
  </si>
  <si>
    <t xml:space="preserve">Revenue </t>
  </si>
  <si>
    <t xml:space="preserve">Sub COGS </t>
  </si>
  <si>
    <t xml:space="preserve">Services COGS </t>
  </si>
  <si>
    <t xml:space="preserve">Total COGS </t>
  </si>
  <si>
    <t xml:space="preserve">Gross profit </t>
  </si>
  <si>
    <t xml:space="preserve">SMA </t>
  </si>
  <si>
    <t xml:space="preserve">RD </t>
  </si>
  <si>
    <t xml:space="preserve">GA </t>
  </si>
  <si>
    <t xml:space="preserve">Other </t>
  </si>
  <si>
    <t xml:space="preserve">Op Ex </t>
  </si>
  <si>
    <t xml:space="preserve">Op Inc </t>
  </si>
  <si>
    <t xml:space="preserve">Interest </t>
  </si>
  <si>
    <t xml:space="preserve">Pretax </t>
  </si>
  <si>
    <t xml:space="preserve">Tax </t>
  </si>
  <si>
    <t xml:space="preserve">Net income </t>
  </si>
  <si>
    <t>Q324</t>
  </si>
  <si>
    <t>Q224</t>
  </si>
  <si>
    <t>Q124</t>
  </si>
  <si>
    <t>Q423</t>
  </si>
  <si>
    <t>Q323</t>
  </si>
  <si>
    <t>Gross margin</t>
  </si>
  <si>
    <t>Rev y/y</t>
  </si>
  <si>
    <t>Q223</t>
  </si>
  <si>
    <t>Q123</t>
  </si>
  <si>
    <t xml:space="preserve">1.5 million customers </t>
  </si>
  <si>
    <t xml:space="preserve">over 1billion users </t>
  </si>
  <si>
    <t xml:space="preserve">Subs y/y </t>
  </si>
  <si>
    <t xml:space="preserve">Services y/y </t>
  </si>
  <si>
    <t>Q424</t>
  </si>
  <si>
    <t>Q34</t>
  </si>
  <si>
    <t xml:space="preserve">CFFO </t>
  </si>
  <si>
    <t xml:space="preserve">CFFI </t>
  </si>
  <si>
    <t>CapEx</t>
  </si>
  <si>
    <t xml:space="preserve">CFFF </t>
  </si>
  <si>
    <t xml:space="preserve">FX </t>
  </si>
  <si>
    <t xml:space="preserve">Change </t>
  </si>
  <si>
    <t xml:space="preserve">FCF </t>
  </si>
  <si>
    <t>terminal</t>
  </si>
  <si>
    <t>discount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</si>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</sst>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2" fillId="0" borderId="0" xfId="0" applyFont="1"/>
    <xf numFmtId="9" fontId="0" fillId="0" borderId="0" xfId="1" applyFont="1"/>
    <xf numFmtId="9" fontId="2" fillId="0" borderId="0" xfId="1" applyFont="1"/>
    <xf numFmtId="9" fontId="1" fillId="0" borderId="0" xfId="1" applyFont="1"/>
    <xf numFmtId="14" fontId="0" fillId="0" borderId="0" xfId="0" applyNumberFormat="1"/>
    <xf numFmtId="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0</xdr:rowOff>
    </xdr:from>
    <xdr:to>
      <xdr:col>9</xdr:col>
      <xdr:colOff>19050</xdr:colOff>
      <xdr:row>43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D72101A-5E80-375E-274D-F408F3F5EF4A}"/>
            </a:ext>
          </a:extLst>
        </xdr:cNvPr>
        <xdr:cNvCxnSpPr/>
      </xdr:nvCxnSpPr>
      <xdr:spPr>
        <a:xfrm>
          <a:off x="10353675" y="0"/>
          <a:ext cx="9525" cy="8096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0</xdr:row>
      <xdr:rowOff>0</xdr:rowOff>
    </xdr:from>
    <xdr:to>
      <xdr:col>15</xdr:col>
      <xdr:colOff>19050</xdr:colOff>
      <xdr:row>43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E6D8020-38F9-4E76-8101-32C92C3EFB6C}"/>
            </a:ext>
          </a:extLst>
        </xdr:cNvPr>
        <xdr:cNvCxnSpPr/>
      </xdr:nvCxnSpPr>
      <xdr:spPr>
        <a:xfrm>
          <a:off x="14925675" y="0"/>
          <a:ext cx="9525" cy="8096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49AF-DB95-4010-A47C-F3C3728F3FCD}">
  <dimension ref="B5:E18"/>
  <sheetViews>
    <sheetView workbookViewId="0">
      <selection activeCell="C29" sqref="C29"/>
    </sheetView>
  </sheetViews>
  <sheetFormatPr defaultRowHeight="15" x14ac:dyDescent="0.2"/>
  <cols>
    <col min="2" max="2" width="10.88671875" bestFit="1" customWidth="1"/>
  </cols>
  <sheetData>
    <row r="5" spans="2:5" x14ac:dyDescent="0.2">
      <c r="C5" t="s">
        <v>0</v>
      </c>
      <c r="D5">
        <v>96.5</v>
      </c>
    </row>
    <row r="6" spans="2:5" x14ac:dyDescent="0.2">
      <c r="C6" t="s">
        <v>1</v>
      </c>
      <c r="D6" s="1">
        <v>202.02314100000001</v>
      </c>
      <c r="E6" t="s">
        <v>23</v>
      </c>
    </row>
    <row r="7" spans="2:5" x14ac:dyDescent="0.2">
      <c r="C7" t="s">
        <v>2</v>
      </c>
      <c r="D7" s="1">
        <f>+D5*D6</f>
        <v>19495.2331065</v>
      </c>
    </row>
    <row r="8" spans="2:5" x14ac:dyDescent="0.2">
      <c r="C8" t="s">
        <v>3</v>
      </c>
      <c r="D8" s="1">
        <f>610.87+331.506+112.805</f>
        <v>1055.181</v>
      </c>
      <c r="E8" t="s">
        <v>23</v>
      </c>
    </row>
    <row r="9" spans="2:5" x14ac:dyDescent="0.2">
      <c r="C9" t="s">
        <v>4</v>
      </c>
      <c r="D9" s="1">
        <v>0</v>
      </c>
      <c r="E9" t="s">
        <v>23</v>
      </c>
    </row>
    <row r="10" spans="2:5" x14ac:dyDescent="0.2">
      <c r="C10" t="s">
        <v>5</v>
      </c>
      <c r="D10" s="1">
        <f>+D7-D8+D9</f>
        <v>18440.052106499999</v>
      </c>
    </row>
    <row r="13" spans="2:5" x14ac:dyDescent="0.2">
      <c r="B13" t="s">
        <v>32</v>
      </c>
    </row>
    <row r="14" spans="2:5" x14ac:dyDescent="0.2">
      <c r="B14" t="s">
        <v>33</v>
      </c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A189-4DD5-46FC-A6E2-CADC802D1C31}">
  <dimension ref="B5:BX42"/>
  <sheetViews>
    <sheetView tabSelected="1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K34" sqref="K34"/>
    </sheetView>
  </sheetViews>
  <sheetFormatPr defaultRowHeight="15" x14ac:dyDescent="0.2"/>
  <cols>
    <col min="2" max="2" width="14" bestFit="1" customWidth="1"/>
    <col min="18" max="18" width="10.44140625" bestFit="1" customWidth="1"/>
  </cols>
  <sheetData>
    <row r="5" spans="2:32" x14ac:dyDescent="0.2">
      <c r="J5" s="6">
        <v>45688</v>
      </c>
      <c r="O5" s="6">
        <v>45322</v>
      </c>
      <c r="P5" s="6">
        <v>45688</v>
      </c>
    </row>
    <row r="6" spans="2:32" x14ac:dyDescent="0.2">
      <c r="C6" t="s">
        <v>31</v>
      </c>
      <c r="D6" t="s">
        <v>30</v>
      </c>
      <c r="E6" t="s">
        <v>27</v>
      </c>
      <c r="F6" t="s">
        <v>26</v>
      </c>
      <c r="G6" t="s">
        <v>25</v>
      </c>
      <c r="H6" t="s">
        <v>24</v>
      </c>
      <c r="I6" t="s">
        <v>37</v>
      </c>
      <c r="J6" t="s">
        <v>36</v>
      </c>
      <c r="M6">
        <v>2021</v>
      </c>
      <c r="N6">
        <v>2022</v>
      </c>
      <c r="O6">
        <v>2023</v>
      </c>
      <c r="P6">
        <f>+O6+1</f>
        <v>2024</v>
      </c>
      <c r="Q6">
        <f>+P6+1</f>
        <v>2025</v>
      </c>
      <c r="R6">
        <f>+Q6+1</f>
        <v>2026</v>
      </c>
      <c r="S6">
        <f>+R6+1</f>
        <v>2027</v>
      </c>
      <c r="T6">
        <f>+S6+1</f>
        <v>2028</v>
      </c>
      <c r="U6">
        <f>+T6+1</f>
        <v>2029</v>
      </c>
      <c r="V6">
        <f>+U6+1</f>
        <v>2030</v>
      </c>
      <c r="W6">
        <f>+V6+1</f>
        <v>2031</v>
      </c>
      <c r="X6">
        <f>+W6+1</f>
        <v>2032</v>
      </c>
      <c r="Y6">
        <f>+X6+1</f>
        <v>2033</v>
      </c>
      <c r="Z6">
        <f>+Y6+1</f>
        <v>2034</v>
      </c>
      <c r="AA6">
        <f>+Z6+1</f>
        <v>2035</v>
      </c>
      <c r="AB6">
        <f>+AA6+1</f>
        <v>2036</v>
      </c>
      <c r="AC6">
        <f>+AB6+1</f>
        <v>2037</v>
      </c>
      <c r="AD6">
        <f>+AC6+1</f>
        <v>2038</v>
      </c>
      <c r="AE6">
        <f>+AD6+1</f>
        <v>2039</v>
      </c>
      <c r="AF6">
        <f>+AE6+1</f>
        <v>2040</v>
      </c>
    </row>
    <row r="7" spans="2:32" x14ac:dyDescent="0.2">
      <c r="B7" t="s">
        <v>6</v>
      </c>
      <c r="C7">
        <v>639.30700000000002</v>
      </c>
      <c r="D7">
        <v>669.36699999999996</v>
      </c>
      <c r="E7">
        <v>682.35199999999998</v>
      </c>
      <c r="F7">
        <f>+O7-E7-D7-C7</f>
        <v>695.68200000000024</v>
      </c>
      <c r="G7">
        <v>691.48299999999995</v>
      </c>
      <c r="H7">
        <v>717.36599999999999</v>
      </c>
      <c r="I7">
        <v>734.69299999999998</v>
      </c>
      <c r="J7">
        <f>+F7*1.07</f>
        <v>744.37974000000031</v>
      </c>
      <c r="M7">
        <v>2037.2719999999999</v>
      </c>
      <c r="N7">
        <v>2442.1770000000001</v>
      </c>
      <c r="O7">
        <v>2686.7080000000001</v>
      </c>
      <c r="P7">
        <f>+SUM(G7:J7)</f>
        <v>2887.9217400000002</v>
      </c>
    </row>
    <row r="8" spans="2:32" x14ac:dyDescent="0.2">
      <c r="B8" t="s">
        <v>7</v>
      </c>
      <c r="C8">
        <v>22.081</v>
      </c>
      <c r="D8">
        <v>18.32</v>
      </c>
      <c r="E8">
        <v>18.068999999999999</v>
      </c>
      <c r="F8">
        <f>+O8-E8-D8-C8</f>
        <v>16.704000000000004</v>
      </c>
      <c r="G8">
        <v>18.157</v>
      </c>
      <c r="H8">
        <v>18.661000000000001</v>
      </c>
      <c r="I8">
        <v>20.126999999999999</v>
      </c>
      <c r="J8">
        <f>+F8*1.07</f>
        <v>17.873280000000005</v>
      </c>
      <c r="M8">
        <v>69.941000000000003</v>
      </c>
      <c r="N8">
        <v>73.738</v>
      </c>
      <c r="O8">
        <v>75.174000000000007</v>
      </c>
      <c r="P8">
        <f>+SUM(G8:J8)</f>
        <v>74.818280000000001</v>
      </c>
    </row>
    <row r="9" spans="2:32" s="2" customFormat="1" ht="15.75" x14ac:dyDescent="0.25">
      <c r="B9" s="2" t="s">
        <v>8</v>
      </c>
      <c r="C9" s="2">
        <f>+C7+C8</f>
        <v>661.38800000000003</v>
      </c>
      <c r="D9" s="2">
        <f>+D7+D8</f>
        <v>687.68700000000001</v>
      </c>
      <c r="E9" s="2">
        <f>+E7+E8</f>
        <v>700.42099999999994</v>
      </c>
      <c r="F9" s="2">
        <f>+F7+F8</f>
        <v>712.38600000000019</v>
      </c>
      <c r="G9" s="2">
        <f>+G7+G8</f>
        <v>709.64</v>
      </c>
      <c r="H9" s="2">
        <f>+H7+H8</f>
        <v>736.02700000000004</v>
      </c>
      <c r="I9" s="2">
        <f>+I7+I8</f>
        <v>754.81999999999994</v>
      </c>
      <c r="J9" s="2">
        <f>+J7+J8</f>
        <v>762.25302000000033</v>
      </c>
      <c r="M9" s="2">
        <f>+M7+M8</f>
        <v>2107.2129999999997</v>
      </c>
      <c r="N9" s="2">
        <f>+N7+N8</f>
        <v>2515.915</v>
      </c>
      <c r="O9" s="2">
        <f>+O7+O8</f>
        <v>2761.8820000000001</v>
      </c>
      <c r="P9" s="2">
        <f>+P7+P8</f>
        <v>2962.7400200000002</v>
      </c>
      <c r="Q9" s="2">
        <f>+P9*1.07</f>
        <v>3170.1318214000003</v>
      </c>
      <c r="R9" s="2">
        <f>+Q9*1.07</f>
        <v>3392.0410488980006</v>
      </c>
      <c r="S9" s="2">
        <f>+R9*1.07</f>
        <v>3629.483922320861</v>
      </c>
      <c r="T9" s="2">
        <f>+S9*1.07</f>
        <v>3883.5477968833216</v>
      </c>
      <c r="U9" s="2">
        <f>+T9*1.07</f>
        <v>4155.396142665154</v>
      </c>
      <c r="V9" s="2">
        <f>+U9*1.07</f>
        <v>4446.2738726517155</v>
      </c>
      <c r="W9" s="2">
        <f>+V9*0.97</f>
        <v>4312.8856564721636</v>
      </c>
      <c r="X9" s="2">
        <f>+W9*0.97</f>
        <v>4183.4990867779989</v>
      </c>
      <c r="Y9" s="2">
        <f>+X9*0.97</f>
        <v>4057.994114174659</v>
      </c>
      <c r="Z9" s="2">
        <f>+Y9*0.97</f>
        <v>3936.2542907494189</v>
      </c>
      <c r="AA9" s="2">
        <f>+Z9*0.97</f>
        <v>3818.1666620269361</v>
      </c>
      <c r="AB9" s="2">
        <f>+AA9*0.97</f>
        <v>3703.6216621661279</v>
      </c>
      <c r="AC9" s="2">
        <f>+AB9*0.97</f>
        <v>3592.513012301144</v>
      </c>
      <c r="AD9" s="2">
        <f>+AC9*0.97</f>
        <v>3484.7376219321095</v>
      </c>
      <c r="AE9" s="2">
        <f>+AD9*0.97</f>
        <v>3380.195493274146</v>
      </c>
      <c r="AF9" s="2">
        <f>+AE9*0.97</f>
        <v>3278.7896284759213</v>
      </c>
    </row>
    <row r="10" spans="2:32" x14ac:dyDescent="0.2">
      <c r="B10" t="s">
        <v>9</v>
      </c>
      <c r="C10">
        <v>108.94199999999999</v>
      </c>
      <c r="D10">
        <v>116.185</v>
      </c>
      <c r="E10">
        <v>114.227</v>
      </c>
      <c r="F10">
        <f>+O10-E10-D10-C10</f>
        <v>120.551</v>
      </c>
      <c r="G10">
        <v>126.602</v>
      </c>
      <c r="H10">
        <v>132.37200000000001</v>
      </c>
      <c r="I10">
        <v>134.58699999999999</v>
      </c>
      <c r="M10">
        <v>343.661</v>
      </c>
      <c r="N10">
        <v>426.077</v>
      </c>
      <c r="O10">
        <v>459.90499999999997</v>
      </c>
    </row>
    <row r="11" spans="2:32" x14ac:dyDescent="0.2">
      <c r="B11" t="s">
        <v>10</v>
      </c>
      <c r="C11">
        <v>27.545000000000002</v>
      </c>
      <c r="D11">
        <v>29.396999999999998</v>
      </c>
      <c r="E11">
        <v>28.417999999999999</v>
      </c>
      <c r="F11">
        <f>+O11-E11-D11-C11</f>
        <v>27.356000000000002</v>
      </c>
      <c r="G11">
        <v>22.844000000000001</v>
      </c>
      <c r="H11">
        <v>23.093</v>
      </c>
      <c r="I11">
        <v>21.95</v>
      </c>
      <c r="M11">
        <v>122.79</v>
      </c>
      <c r="N11">
        <v>110.011</v>
      </c>
      <c r="O11">
        <v>112.71599999999999</v>
      </c>
    </row>
    <row r="12" spans="2:32" x14ac:dyDescent="0.2">
      <c r="B12" t="s">
        <v>11</v>
      </c>
      <c r="C12">
        <f>+C10+C11</f>
        <v>136.48699999999999</v>
      </c>
      <c r="D12">
        <f>+D10+D11</f>
        <v>145.58199999999999</v>
      </c>
      <c r="E12">
        <f>+E10+E11</f>
        <v>142.64500000000001</v>
      </c>
      <c r="F12">
        <f>+F10+F11</f>
        <v>147.90700000000001</v>
      </c>
      <c r="G12">
        <f>+G10+G11</f>
        <v>149.446</v>
      </c>
      <c r="H12">
        <f>+H10+H11</f>
        <v>155.465</v>
      </c>
      <c r="I12">
        <f>+I10+I11</f>
        <v>156.53699999999998</v>
      </c>
      <c r="M12">
        <f>+M10+M11</f>
        <v>466.45100000000002</v>
      </c>
      <c r="N12">
        <f>+N10+N11</f>
        <v>536.08799999999997</v>
      </c>
      <c r="O12">
        <f>+O10+O11</f>
        <v>572.62099999999998</v>
      </c>
    </row>
    <row r="13" spans="2:32" x14ac:dyDescent="0.2">
      <c r="B13" t="s">
        <v>12</v>
      </c>
      <c r="C13">
        <f>+C9-C12</f>
        <v>524.90100000000007</v>
      </c>
      <c r="D13">
        <f>+D9-D12</f>
        <v>542.10500000000002</v>
      </c>
      <c r="E13">
        <f>+E9-E12</f>
        <v>557.77599999999995</v>
      </c>
      <c r="F13">
        <f>+F9-F12</f>
        <v>564.47900000000016</v>
      </c>
      <c r="G13">
        <f>+G9-G12</f>
        <v>560.19399999999996</v>
      </c>
      <c r="H13">
        <f>+H9-H12</f>
        <v>580.56200000000001</v>
      </c>
      <c r="I13">
        <f>+I9-I12</f>
        <v>598.2829999999999</v>
      </c>
      <c r="M13">
        <f>+M9-M12</f>
        <v>1640.7619999999997</v>
      </c>
      <c r="N13">
        <f>+N9-N12</f>
        <v>1979.827</v>
      </c>
      <c r="O13">
        <f>+O9-O12</f>
        <v>2189.261</v>
      </c>
    </row>
    <row r="14" spans="2:32" x14ac:dyDescent="0.2">
      <c r="B14" t="s">
        <v>13</v>
      </c>
      <c r="C14">
        <v>280.60500000000002</v>
      </c>
      <c r="D14">
        <v>294.83800000000002</v>
      </c>
      <c r="E14">
        <v>292.47300000000001</v>
      </c>
      <c r="F14">
        <f>+O14-E14-D14-C14</f>
        <v>300.221</v>
      </c>
      <c r="G14">
        <v>281.64400000000001</v>
      </c>
      <c r="H14">
        <v>287.464</v>
      </c>
      <c r="I14">
        <v>290.59699999999998</v>
      </c>
      <c r="M14">
        <v>1076.527</v>
      </c>
      <c r="N14">
        <v>1242.711</v>
      </c>
      <c r="O14">
        <v>1168.1369999999999</v>
      </c>
    </row>
    <row r="15" spans="2:32" x14ac:dyDescent="0.2">
      <c r="B15" t="s">
        <v>14</v>
      </c>
      <c r="C15">
        <v>115.364</v>
      </c>
      <c r="D15">
        <v>135.96</v>
      </c>
      <c r="E15">
        <v>136.63999999999999</v>
      </c>
      <c r="F15">
        <f>+O15-E15-D15-C15</f>
        <v>151.52400000000003</v>
      </c>
      <c r="G15">
        <v>134.32</v>
      </c>
      <c r="H15">
        <v>147.571</v>
      </c>
      <c r="I15">
        <v>151.101</v>
      </c>
      <c r="M15">
        <v>393.36200000000002</v>
      </c>
      <c r="N15">
        <v>480.584</v>
      </c>
      <c r="O15">
        <v>539.48800000000006</v>
      </c>
    </row>
    <row r="16" spans="2:32" x14ac:dyDescent="0.2">
      <c r="B16" t="s">
        <v>15</v>
      </c>
      <c r="C16">
        <v>104.81100000000001</v>
      </c>
      <c r="D16">
        <v>103.884</v>
      </c>
      <c r="E16">
        <v>108.215</v>
      </c>
      <c r="F16">
        <f>+O16-E16-D16-C16</f>
        <v>102.71099999999993</v>
      </c>
      <c r="G16">
        <v>92.477999999999994</v>
      </c>
      <c r="H16">
        <v>87.129000000000005</v>
      </c>
      <c r="I16">
        <v>97.555000000000007</v>
      </c>
      <c r="M16">
        <v>232.75700000000001</v>
      </c>
      <c r="N16">
        <v>316.22800000000001</v>
      </c>
      <c r="O16">
        <v>419.62099999999998</v>
      </c>
    </row>
    <row r="17" spans="2:16" x14ac:dyDescent="0.2">
      <c r="B17" t="s">
        <v>16</v>
      </c>
      <c r="C17">
        <v>28.771999999999998</v>
      </c>
      <c r="D17">
        <v>0.81100000000000005</v>
      </c>
      <c r="E17">
        <v>0.71</v>
      </c>
      <c r="F17">
        <f>+O17-E17-D17-C17</f>
        <v>8.8000000000000966E-2</v>
      </c>
      <c r="G17">
        <v>29.123999999999999</v>
      </c>
      <c r="H17">
        <v>0.59699999999999998</v>
      </c>
      <c r="I17">
        <v>0</v>
      </c>
      <c r="M17">
        <v>0</v>
      </c>
      <c r="N17">
        <v>28.335000000000001</v>
      </c>
      <c r="O17">
        <v>30.381</v>
      </c>
    </row>
    <row r="18" spans="2:16" x14ac:dyDescent="0.2">
      <c r="B18" t="s">
        <v>17</v>
      </c>
      <c r="C18">
        <f>+C14+C15+C16+C17</f>
        <v>529.55200000000013</v>
      </c>
      <c r="D18">
        <f>+D14+D15+D16+D17</f>
        <v>535.49300000000005</v>
      </c>
      <c r="E18">
        <f>+E14+E15+E16+E17</f>
        <v>538.03800000000001</v>
      </c>
      <c r="F18">
        <f>+F14+F15+F16+F17</f>
        <v>554.54399999999987</v>
      </c>
      <c r="G18">
        <f>+G14+G15+G16+G17</f>
        <v>537.56600000000003</v>
      </c>
      <c r="H18">
        <f>+H14+H15+H16+H17</f>
        <v>522.76099999999997</v>
      </c>
      <c r="I18">
        <f>+I14+I15+I16+I17</f>
        <v>539.25299999999993</v>
      </c>
      <c r="M18">
        <f>+M14+M15+M16+M17</f>
        <v>1702.6460000000002</v>
      </c>
      <c r="N18">
        <f>+N14+N15+N16+N17</f>
        <v>2067.8580000000002</v>
      </c>
      <c r="O18">
        <f>+O14+O15+O16+O17</f>
        <v>2157.627</v>
      </c>
    </row>
    <row r="19" spans="2:16" x14ac:dyDescent="0.2">
      <c r="B19" t="s">
        <v>18</v>
      </c>
      <c r="C19">
        <f>+C13-C18</f>
        <v>-4.6510000000000673</v>
      </c>
      <c r="D19">
        <f>+D13-D18</f>
        <v>6.6119999999999663</v>
      </c>
      <c r="E19">
        <f>+E13-E18</f>
        <v>19.737999999999943</v>
      </c>
      <c r="F19">
        <f>+F13-F18</f>
        <v>9.9350000000002865</v>
      </c>
      <c r="G19">
        <f>+G13-G18</f>
        <v>22.627999999999929</v>
      </c>
      <c r="H19">
        <f>+H13-H18</f>
        <v>57.801000000000045</v>
      </c>
      <c r="I19">
        <f>+I13-I18</f>
        <v>59.029999999999973</v>
      </c>
      <c r="M19">
        <f>+M13-M18</f>
        <v>-61.884000000000469</v>
      </c>
      <c r="N19">
        <f>+N13-N18</f>
        <v>-88.031000000000176</v>
      </c>
      <c r="O19">
        <f>+O13-O18</f>
        <v>31.634000000000015</v>
      </c>
    </row>
    <row r="20" spans="2:16" x14ac:dyDescent="0.2">
      <c r="B20" t="s">
        <v>19</v>
      </c>
      <c r="C20">
        <f>12.245-1.966</f>
        <v>10.279</v>
      </c>
      <c r="D20">
        <f>17.455-1.592</f>
        <v>15.862999999999998</v>
      </c>
      <c r="E20">
        <f>17.673-1.577</f>
        <v>16.095999999999997</v>
      </c>
      <c r="F20">
        <f>+O20-E20-D20-C20</f>
        <v>19.806999999999999</v>
      </c>
      <c r="G20">
        <f>14.109-0.144</f>
        <v>13.965</v>
      </c>
      <c r="H20">
        <f>14.63-0.544</f>
        <v>14.086</v>
      </c>
      <c r="I20">
        <f>13.006-0.462</f>
        <v>12.544</v>
      </c>
      <c r="M20">
        <f>1.413-6.443</f>
        <v>-5.0299999999999994</v>
      </c>
      <c r="N20">
        <f>4.539-6.389</f>
        <v>-1.8500000000000005</v>
      </c>
      <c r="O20">
        <f>68.889-6.844</f>
        <v>62.044999999999995</v>
      </c>
    </row>
    <row r="21" spans="2:16" x14ac:dyDescent="0.2">
      <c r="B21" t="s">
        <v>16</v>
      </c>
      <c r="C21">
        <v>0</v>
      </c>
      <c r="D21">
        <v>0</v>
      </c>
      <c r="E21">
        <v>0</v>
      </c>
      <c r="F21">
        <f>+O21-E21-D21-C21</f>
        <v>0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2:16" x14ac:dyDescent="0.2">
      <c r="B22" t="s">
        <v>20</v>
      </c>
      <c r="C22">
        <f>+C19+C20+C21</f>
        <v>5.6279999999999326</v>
      </c>
      <c r="D22">
        <f>+D19+D20+D21</f>
        <v>22.474999999999966</v>
      </c>
      <c r="E22">
        <f>+E19+E20+E21</f>
        <v>35.833999999999939</v>
      </c>
      <c r="F22">
        <f>+F19+F20+F21</f>
        <v>29.742000000000285</v>
      </c>
      <c r="G22">
        <f>+G19+G20+G21</f>
        <v>36.592999999999932</v>
      </c>
      <c r="H22">
        <f>+H19+H20+H21</f>
        <v>71.887000000000043</v>
      </c>
      <c r="I22">
        <f>+I19+I20+I21</f>
        <v>71.57399999999997</v>
      </c>
      <c r="M22">
        <f>+M19+M20+M21</f>
        <v>-66.91400000000047</v>
      </c>
      <c r="N22">
        <f>+N19+N20+N21</f>
        <v>-89.881000000000171</v>
      </c>
      <c r="O22">
        <f>+O19+O20+O21</f>
        <v>93.679000000000002</v>
      </c>
    </row>
    <row r="23" spans="2:16" x14ac:dyDescent="0.2">
      <c r="B23" t="s">
        <v>21</v>
      </c>
      <c r="C23">
        <v>5.0890000000000004</v>
      </c>
      <c r="D23">
        <v>15.08</v>
      </c>
      <c r="E23">
        <v>-2.9710000000000001</v>
      </c>
      <c r="F23">
        <f>+O23-E23-D23-C23</f>
        <v>2.5010000000000012</v>
      </c>
      <c r="G23">
        <v>2.8330000000000002</v>
      </c>
      <c r="H23">
        <v>-816.32399999999996</v>
      </c>
      <c r="I23">
        <v>9.1509999999999998</v>
      </c>
      <c r="M23">
        <v>3.0619999999999998</v>
      </c>
      <c r="N23">
        <v>7.5730000000000004</v>
      </c>
      <c r="O23">
        <v>19.699000000000002</v>
      </c>
    </row>
    <row r="24" spans="2:16" x14ac:dyDescent="0.2">
      <c r="B24" t="s">
        <v>22</v>
      </c>
      <c r="C24">
        <f>+C22-C23</f>
        <v>0.5389999999999322</v>
      </c>
      <c r="D24">
        <f>+D22-D23</f>
        <v>7.3949999999999658</v>
      </c>
      <c r="E24">
        <f>+E22-E23</f>
        <v>38.804999999999936</v>
      </c>
      <c r="F24">
        <f>+F22-F23</f>
        <v>27.241000000000284</v>
      </c>
      <c r="G24">
        <f>+G22-G23</f>
        <v>33.759999999999934</v>
      </c>
      <c r="H24">
        <f>+H22-H23</f>
        <v>888.21100000000001</v>
      </c>
      <c r="I24">
        <f>+I22-I23</f>
        <v>62.422999999999973</v>
      </c>
      <c r="M24">
        <f>+M22-M23</f>
        <v>-69.976000000000468</v>
      </c>
      <c r="N24">
        <f>+N22-N23</f>
        <v>-97.454000000000178</v>
      </c>
      <c r="O24">
        <f>+O22-O23</f>
        <v>73.98</v>
      </c>
    </row>
    <row r="26" spans="2:16" x14ac:dyDescent="0.2">
      <c r="B26" t="s">
        <v>34</v>
      </c>
      <c r="G26" s="5">
        <f>+G7/C7-1</f>
        <v>8.1613371979346372E-2</v>
      </c>
      <c r="H26" s="5">
        <f>+H7/D7-1</f>
        <v>7.1708046557419136E-2</v>
      </c>
      <c r="I26" s="5">
        <f>+I7/E7-1</f>
        <v>7.6706743733439664E-2</v>
      </c>
      <c r="J26" s="5">
        <f>+J7/F7-1</f>
        <v>7.0000000000000062E-2</v>
      </c>
    </row>
    <row r="27" spans="2:16" x14ac:dyDescent="0.2">
      <c r="B27" t="s">
        <v>35</v>
      </c>
      <c r="G27" s="5">
        <f>+G8/C8-1</f>
        <v>-0.177709342873964</v>
      </c>
      <c r="H27" s="5">
        <f>+H8/D8-1</f>
        <v>1.8613537117903922E-2</v>
      </c>
      <c r="I27" s="5">
        <f>+I8/E8-1</f>
        <v>0.11389672920471527</v>
      </c>
      <c r="J27" s="5">
        <f>+J8/F8-1</f>
        <v>7.0000000000000062E-2</v>
      </c>
    </row>
    <row r="28" spans="2:16" s="4" customFormat="1" ht="15.75" x14ac:dyDescent="0.25">
      <c r="B28" s="4" t="s">
        <v>29</v>
      </c>
      <c r="G28" s="4">
        <f>+G9/C9-1</f>
        <v>7.2955662939152122E-2</v>
      </c>
      <c r="H28" s="4">
        <f>+H9/D9-1</f>
        <v>7.0293607411511472E-2</v>
      </c>
      <c r="I28" s="4">
        <f>+I9/E9-1</f>
        <v>7.7666146503317268E-2</v>
      </c>
      <c r="J28" s="4">
        <f>+J9/F9-1</f>
        <v>7.0000000000000284E-2</v>
      </c>
      <c r="N28" s="4">
        <f>+N9/M9-1</f>
        <v>0.19395381482555418</v>
      </c>
      <c r="O28" s="4">
        <f>+O9/N9-1</f>
        <v>9.7764431628254655E-2</v>
      </c>
      <c r="P28" s="4">
        <f>+P9/O9-1</f>
        <v>7.272505487200398E-2</v>
      </c>
    </row>
    <row r="29" spans="2:16" s="3" customFormat="1" x14ac:dyDescent="0.2">
      <c r="B29" s="3" t="s">
        <v>28</v>
      </c>
      <c r="C29" s="3">
        <f>+C13/C9</f>
        <v>0.7936355059360013</v>
      </c>
      <c r="D29" s="3">
        <f>+D13/D9</f>
        <v>0.78830194550718569</v>
      </c>
      <c r="E29" s="3">
        <f>+E13/E9</f>
        <v>0.796343913160799</v>
      </c>
      <c r="F29" s="3">
        <f>+F13/F9</f>
        <v>0.79237800855154372</v>
      </c>
      <c r="G29" s="3">
        <f>+G13/G9</f>
        <v>0.78940589594724087</v>
      </c>
      <c r="H29" s="3">
        <f>+H13/H9</f>
        <v>0.78877812906320011</v>
      </c>
      <c r="I29" s="3">
        <f>+I13/I9</f>
        <v>0.79261678280914649</v>
      </c>
      <c r="J29" s="3">
        <f>+J13/J9</f>
        <v>0</v>
      </c>
    </row>
    <row r="30" spans="2:16" s="3" customFormat="1" x14ac:dyDescent="0.2"/>
    <row r="31" spans="2:16" x14ac:dyDescent="0.2">
      <c r="B31" t="s">
        <v>38</v>
      </c>
      <c r="M31">
        <v>506.46699999999998</v>
      </c>
      <c r="N31">
        <v>506.75900000000001</v>
      </c>
      <c r="O31">
        <v>979.52599999999995</v>
      </c>
    </row>
    <row r="32" spans="2:16" x14ac:dyDescent="0.2">
      <c r="B32" t="s">
        <v>39</v>
      </c>
      <c r="M32">
        <v>-162.90899999999999</v>
      </c>
      <c r="N32">
        <v>-191.197</v>
      </c>
      <c r="O32">
        <v>44.612000000000002</v>
      </c>
    </row>
    <row r="33" spans="2:76" x14ac:dyDescent="0.2">
      <c r="B33" t="s">
        <v>40</v>
      </c>
      <c r="M33">
        <v>-61.396000000000001</v>
      </c>
      <c r="N33">
        <v>-77.653999999999996</v>
      </c>
      <c r="O33">
        <v>-92.391000000000005</v>
      </c>
    </row>
    <row r="34" spans="2:76" s="2" customFormat="1" ht="15.75" x14ac:dyDescent="0.25">
      <c r="B34" s="2" t="s">
        <v>44</v>
      </c>
      <c r="M34" s="2">
        <f>+M31+M33</f>
        <v>445.07099999999997</v>
      </c>
      <c r="N34" s="2">
        <f>+N31+N33</f>
        <v>429.10500000000002</v>
      </c>
      <c r="O34" s="2">
        <f>+O31+O33</f>
        <v>887.13499999999999</v>
      </c>
      <c r="P34" s="2">
        <f>+O34*1.07</f>
        <v>949.23445000000004</v>
      </c>
      <c r="Q34" s="2">
        <f>+P34*1.07</f>
        <v>1015.6808615000001</v>
      </c>
      <c r="R34" s="2">
        <f>+Q34*1.07</f>
        <v>1086.7785218050001</v>
      </c>
      <c r="S34" s="2">
        <f>+R34*1.07</f>
        <v>1162.8530183313501</v>
      </c>
      <c r="T34" s="2">
        <f>+S34*0.98</f>
        <v>1139.5959579647231</v>
      </c>
      <c r="U34" s="2">
        <f>+T34*0.98</f>
        <v>1116.8040388054285</v>
      </c>
      <c r="V34" s="2">
        <f>+U34*0.98</f>
        <v>1094.4679580293198</v>
      </c>
      <c r="W34" s="2">
        <f>+V34*0.98</f>
        <v>1072.5785988687335</v>
      </c>
      <c r="X34" s="2">
        <f>+W34*0.98</f>
        <v>1051.1270268913588</v>
      </c>
      <c r="Y34" s="2">
        <f>+X34*0.98</f>
        <v>1030.1044863535317</v>
      </c>
      <c r="Z34" s="2">
        <f>+Y34*0.98</f>
        <v>1009.5023966264611</v>
      </c>
      <c r="AA34" s="2">
        <f>+Z34*0.98</f>
        <v>989.31234869393188</v>
      </c>
      <c r="AB34" s="2">
        <f>+AA34*0.98</f>
        <v>969.52610172005325</v>
      </c>
      <c r="AC34" s="2">
        <f>+AB34*0.98</f>
        <v>950.13557968565215</v>
      </c>
      <c r="AD34" s="2">
        <f>+AC34*0.98</f>
        <v>931.13286809193903</v>
      </c>
      <c r="AE34" s="2">
        <f>+AD34*0.98</f>
        <v>912.5102107301002</v>
      </c>
      <c r="AF34" s="2">
        <f>+AE34*0.98</f>
        <v>894.26000651549816</v>
      </c>
      <c r="AG34" s="2">
        <f>+AF34*(1+$R$40)</f>
        <v>903.2026065806532</v>
      </c>
      <c r="AH34" s="2">
        <f t="shared" ref="AH34:BX34" si="0">+AG34*(1+$R$40)</f>
        <v>912.23463264645977</v>
      </c>
      <c r="AI34" s="2">
        <f t="shared" si="0"/>
        <v>921.35697897292437</v>
      </c>
      <c r="AJ34" s="2">
        <f t="shared" si="0"/>
        <v>930.57054876265363</v>
      </c>
      <c r="AK34" s="2">
        <f t="shared" si="0"/>
        <v>939.87625425028023</v>
      </c>
      <c r="AL34" s="2">
        <f t="shared" si="0"/>
        <v>949.27501679278305</v>
      </c>
      <c r="AM34" s="2">
        <f t="shared" si="0"/>
        <v>958.7677669607109</v>
      </c>
      <c r="AN34" s="2">
        <f t="shared" si="0"/>
        <v>968.35544463031806</v>
      </c>
      <c r="AO34" s="2">
        <f t="shared" si="0"/>
        <v>978.03899907662128</v>
      </c>
      <c r="AP34" s="2">
        <f t="shared" si="0"/>
        <v>987.81938906738753</v>
      </c>
      <c r="AQ34" s="2">
        <f t="shared" si="0"/>
        <v>997.69758295806139</v>
      </c>
      <c r="AR34" s="2">
        <f t="shared" si="0"/>
        <v>1007.674558787642</v>
      </c>
      <c r="AS34" s="2">
        <f t="shared" si="0"/>
        <v>1017.7513043755184</v>
      </c>
      <c r="AT34" s="2">
        <f t="shared" si="0"/>
        <v>1027.9288174192736</v>
      </c>
      <c r="AU34" s="2">
        <f t="shared" si="0"/>
        <v>1038.2081055934664</v>
      </c>
      <c r="AV34" s="2">
        <f t="shared" si="0"/>
        <v>1048.5901866494009</v>
      </c>
      <c r="AW34" s="2">
        <f t="shared" si="0"/>
        <v>1059.076088515895</v>
      </c>
      <c r="AX34" s="2">
        <f t="shared" si="0"/>
        <v>1069.6668494010539</v>
      </c>
      <c r="AY34" s="2">
        <f t="shared" si="0"/>
        <v>1080.3635178950644</v>
      </c>
      <c r="AZ34" s="2">
        <f t="shared" si="0"/>
        <v>1091.167153074015</v>
      </c>
      <c r="BA34" s="2">
        <f t="shared" si="0"/>
        <v>1102.0788246047553</v>
      </c>
      <c r="BB34" s="2">
        <f t="shared" si="0"/>
        <v>1113.0996128508027</v>
      </c>
      <c r="BC34" s="2">
        <f t="shared" si="0"/>
        <v>1124.2306089793108</v>
      </c>
      <c r="BD34" s="2">
        <f t="shared" si="0"/>
        <v>1135.4729150691039</v>
      </c>
      <c r="BE34" s="2">
        <f t="shared" si="0"/>
        <v>1146.827644219795</v>
      </c>
      <c r="BF34" s="2">
        <f t="shared" si="0"/>
        <v>1158.295920661993</v>
      </c>
      <c r="BG34" s="2">
        <f t="shared" si="0"/>
        <v>1169.878879868613</v>
      </c>
      <c r="BH34" s="2">
        <f t="shared" si="0"/>
        <v>1181.5776686672991</v>
      </c>
      <c r="BI34" s="2">
        <f t="shared" si="0"/>
        <v>1193.3934453539721</v>
      </c>
      <c r="BJ34" s="2">
        <f t="shared" si="0"/>
        <v>1205.3273798075118</v>
      </c>
      <c r="BK34" s="2">
        <f t="shared" si="0"/>
        <v>1217.380653605587</v>
      </c>
      <c r="BL34" s="2">
        <f t="shared" si="0"/>
        <v>1229.5544601416429</v>
      </c>
      <c r="BM34" s="2">
        <f t="shared" si="0"/>
        <v>1241.8500047430593</v>
      </c>
      <c r="BN34" s="2">
        <f t="shared" si="0"/>
        <v>1254.2685047904899</v>
      </c>
      <c r="BO34" s="2">
        <f t="shared" si="0"/>
        <v>1266.8111898383947</v>
      </c>
      <c r="BP34" s="2">
        <f t="shared" si="0"/>
        <v>1279.4793017367788</v>
      </c>
      <c r="BQ34" s="2">
        <f t="shared" si="0"/>
        <v>1292.2740947541465</v>
      </c>
      <c r="BR34" s="2">
        <f t="shared" si="0"/>
        <v>1305.1968357016881</v>
      </c>
      <c r="BS34" s="2">
        <f t="shared" si="0"/>
        <v>1318.248804058705</v>
      </c>
      <c r="BT34" s="2">
        <f t="shared" si="0"/>
        <v>1331.431292099292</v>
      </c>
      <c r="BU34" s="2">
        <f t="shared" si="0"/>
        <v>1344.745605020285</v>
      </c>
      <c r="BV34" s="2">
        <f t="shared" si="0"/>
        <v>1358.1930610704878</v>
      </c>
      <c r="BW34" s="2">
        <f t="shared" si="0"/>
        <v>1371.7749916811927</v>
      </c>
      <c r="BX34" s="2">
        <f t="shared" si="0"/>
        <v>1385.4927415980046</v>
      </c>
    </row>
    <row r="35" spans="2:76" x14ac:dyDescent="0.2">
      <c r="B35" t="s">
        <v>41</v>
      </c>
      <c r="M35">
        <v>-394.62099999999998</v>
      </c>
      <c r="N35">
        <v>-98.256</v>
      </c>
      <c r="O35">
        <v>-946.03899999999999</v>
      </c>
    </row>
    <row r="36" spans="2:76" x14ac:dyDescent="0.2">
      <c r="B36" t="s">
        <v>42</v>
      </c>
      <c r="M36">
        <v>-5.5940000000000003</v>
      </c>
      <c r="N36">
        <v>-3.7839999999999998</v>
      </c>
      <c r="O36">
        <v>0.19900000000000001</v>
      </c>
    </row>
    <row r="37" spans="2:76" x14ac:dyDescent="0.2">
      <c r="B37" t="s">
        <v>43</v>
      </c>
      <c r="M37">
        <f>+M31+M32+M35+M36</f>
        <v>-56.656999999999989</v>
      </c>
      <c r="N37">
        <f>+N31+N32+N35+N36</f>
        <v>213.52200000000002</v>
      </c>
      <c r="O37">
        <f>+O31+O32+O35+O36</f>
        <v>78.297999999999931</v>
      </c>
    </row>
    <row r="38" spans="2:76" s="3" customFormat="1" x14ac:dyDescent="0.2">
      <c r="N38" s="3">
        <f>+N34/M34-1</f>
        <v>-3.5872928139555116E-2</v>
      </c>
      <c r="O38" s="3">
        <f>+O34/N34-1</f>
        <v>1.0674077440253549</v>
      </c>
    </row>
    <row r="40" spans="2:76" x14ac:dyDescent="0.2">
      <c r="Q40" t="s">
        <v>45</v>
      </c>
      <c r="R40" s="3">
        <v>0.01</v>
      </c>
    </row>
    <row r="41" spans="2:76" x14ac:dyDescent="0.2">
      <c r="Q41" t="s">
        <v>46</v>
      </c>
      <c r="R41" s="3">
        <v>0.09</v>
      </c>
    </row>
    <row r="42" spans="2:76" x14ac:dyDescent="0.2">
      <c r="Q42" t="s">
        <v>47</v>
      </c>
      <c r="R42" s="7">
        <f>+NPV(R41,O34:BX34)</f>
        <v>11276.887142752455</v>
      </c>
    </row>
  </sheetData>
  <pageMargins left="0.7" right="0.7" top="0.75" bottom="0.75" header="0.3" footer="0.3"/>
  <ignoredErrors>
    <ignoredError sqref="F9 F2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 Braholli</dc:creator>
  <cp:lastModifiedBy>Geli Braholli</cp:lastModifiedBy>
  <dcterms:created xsi:type="dcterms:W3CDTF">2025-01-10T02:20:17Z</dcterms:created>
  <dcterms:modified xsi:type="dcterms:W3CDTF">2025-01-31T22:37:12Z</dcterms:modified>
</cp:coreProperties>
</file>