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C4E9AB9F-E4A8-4FEC-AD73-655DDCD76B09}" xr6:coauthVersionLast="47" xr6:coauthVersionMax="47" xr10:uidLastSave="{00000000-0000-0000-0000-000000000000}"/>
  <bookViews>
    <workbookView xWindow="-120" yWindow="-120" windowWidth="29040" windowHeight="15840" activeTab="1" xr2:uid="{C5405AB7-8CD3-44C1-BD06-4989EEAFB44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2" i="2" l="1"/>
  <c r="U44" i="2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AF44" i="2" s="1"/>
  <c r="U43" i="2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J40" i="2"/>
  <c r="U40" i="2" s="1"/>
  <c r="J39" i="2"/>
  <c r="U39" i="2" s="1"/>
  <c r="F46" i="2"/>
  <c r="F44" i="2"/>
  <c r="F43" i="2"/>
  <c r="F40" i="2"/>
  <c r="F39" i="2"/>
  <c r="F37" i="2"/>
  <c r="F22" i="2"/>
  <c r="J22" i="2" s="1"/>
  <c r="F33" i="2"/>
  <c r="J33" i="2" s="1"/>
  <c r="F29" i="2"/>
  <c r="J29" i="2" s="1"/>
  <c r="U29" i="2" s="1"/>
  <c r="F28" i="2"/>
  <c r="F24" i="2"/>
  <c r="J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F23" i="2"/>
  <c r="J23" i="2" s="1"/>
  <c r="U23" i="2" s="1"/>
  <c r="V23" i="2" s="1"/>
  <c r="W23" i="2" s="1"/>
  <c r="F14" i="2"/>
  <c r="J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F13" i="2"/>
  <c r="J13" i="2" s="1"/>
  <c r="F9" i="2"/>
  <c r="J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F8" i="2"/>
  <c r="J8" i="2" s="1"/>
  <c r="U8" i="2" s="1"/>
  <c r="C25" i="2"/>
  <c r="C15" i="2"/>
  <c r="C10" i="2"/>
  <c r="G34" i="2"/>
  <c r="G30" i="2"/>
  <c r="G31" i="2" s="1"/>
  <c r="G25" i="2"/>
  <c r="G15" i="2"/>
  <c r="G10" i="2"/>
  <c r="C41" i="2"/>
  <c r="G41" i="2"/>
  <c r="D41" i="2"/>
  <c r="H34" i="2"/>
  <c r="D30" i="2"/>
  <c r="D25" i="2"/>
  <c r="D15" i="2"/>
  <c r="D10" i="2"/>
  <c r="H30" i="2"/>
  <c r="H25" i="2"/>
  <c r="H15" i="2"/>
  <c r="H10" i="2"/>
  <c r="H41" i="2"/>
  <c r="T34" i="2"/>
  <c r="S34" i="2"/>
  <c r="I34" i="2"/>
  <c r="E30" i="2"/>
  <c r="E25" i="2"/>
  <c r="E15" i="2"/>
  <c r="E10" i="2"/>
  <c r="I30" i="2"/>
  <c r="I25" i="2"/>
  <c r="I15" i="2"/>
  <c r="I10" i="2"/>
  <c r="E41" i="2"/>
  <c r="I41" i="2"/>
  <c r="R30" i="2"/>
  <c r="S30" i="2"/>
  <c r="R25" i="2"/>
  <c r="S25" i="2"/>
  <c r="R20" i="2"/>
  <c r="R15" i="2"/>
  <c r="S15" i="2"/>
  <c r="R10" i="2"/>
  <c r="S10" i="2"/>
  <c r="T30" i="2"/>
  <c r="T25" i="2"/>
  <c r="T15" i="2"/>
  <c r="T10" i="2"/>
  <c r="S71" i="2"/>
  <c r="S67" i="2"/>
  <c r="S61" i="2"/>
  <c r="S56" i="2"/>
  <c r="T85" i="2"/>
  <c r="S85" i="2"/>
  <c r="R85" i="2"/>
  <c r="R82" i="2"/>
  <c r="S82" i="2"/>
  <c r="T82" i="2"/>
  <c r="T71" i="2"/>
  <c r="T67" i="2"/>
  <c r="T56" i="2"/>
  <c r="T61" i="2"/>
  <c r="R44" i="2"/>
  <c r="S44" i="2"/>
  <c r="R41" i="2"/>
  <c r="S41" i="2"/>
  <c r="T41" i="2"/>
  <c r="S7" i="2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I21" i="1"/>
  <c r="U41" i="2" l="1"/>
  <c r="F30" i="2"/>
  <c r="S75" i="2"/>
  <c r="S77" i="2" s="1"/>
  <c r="F41" i="2"/>
  <c r="U10" i="2"/>
  <c r="U11" i="2" s="1"/>
  <c r="V8" i="2"/>
  <c r="J15" i="2"/>
  <c r="V29" i="2"/>
  <c r="J34" i="2"/>
  <c r="U33" i="2"/>
  <c r="J25" i="2"/>
  <c r="U22" i="2"/>
  <c r="F15" i="2"/>
  <c r="U13" i="2"/>
  <c r="J41" i="2"/>
  <c r="J28" i="2"/>
  <c r="J10" i="2"/>
  <c r="F10" i="2"/>
  <c r="X23" i="2"/>
  <c r="Y23" i="2" s="1"/>
  <c r="Z23" i="2" s="1"/>
  <c r="AA23" i="2" s="1"/>
  <c r="AB23" i="2" s="1"/>
  <c r="AC23" i="2" s="1"/>
  <c r="AD23" i="2" s="1"/>
  <c r="AE23" i="2" s="1"/>
  <c r="AF23" i="2" s="1"/>
  <c r="S26" i="2"/>
  <c r="T31" i="2"/>
  <c r="S11" i="2"/>
  <c r="H36" i="2"/>
  <c r="H38" i="2" s="1"/>
  <c r="C36" i="2"/>
  <c r="C38" i="2" s="1"/>
  <c r="T11" i="2"/>
  <c r="S16" i="2"/>
  <c r="T26" i="2"/>
  <c r="G36" i="2"/>
  <c r="H11" i="2"/>
  <c r="F25" i="2"/>
  <c r="H16" i="2"/>
  <c r="I26" i="2"/>
  <c r="H26" i="2"/>
  <c r="G26" i="2"/>
  <c r="G16" i="2"/>
  <c r="G11" i="2"/>
  <c r="T16" i="2"/>
  <c r="S31" i="2"/>
  <c r="D36" i="2"/>
  <c r="D38" i="2" s="1"/>
  <c r="H31" i="2"/>
  <c r="I36" i="2"/>
  <c r="I38" i="2" s="1"/>
  <c r="I11" i="2"/>
  <c r="I16" i="2"/>
  <c r="R36" i="2"/>
  <c r="R38" i="2" s="1"/>
  <c r="R52" i="2" s="1"/>
  <c r="E36" i="2"/>
  <c r="E38" i="2" s="1"/>
  <c r="E52" i="2" s="1"/>
  <c r="S36" i="2"/>
  <c r="S51" i="2" s="1"/>
  <c r="S55" i="2"/>
  <c r="I31" i="2"/>
  <c r="S65" i="2"/>
  <c r="T36" i="2"/>
  <c r="T38" i="2" s="1"/>
  <c r="T75" i="2"/>
  <c r="T77" i="2" s="1"/>
  <c r="T65" i="2"/>
  <c r="T55" i="2"/>
  <c r="H9" i="1"/>
  <c r="H8" i="1"/>
  <c r="H7" i="1"/>
  <c r="H10" i="1" s="1"/>
  <c r="H42" i="2" l="1"/>
  <c r="H45" i="2" s="1"/>
  <c r="H47" i="2" s="1"/>
  <c r="H52" i="2"/>
  <c r="D42" i="2"/>
  <c r="D45" i="2" s="1"/>
  <c r="D47" i="2" s="1"/>
  <c r="D52" i="2"/>
  <c r="C42" i="2"/>
  <c r="C45" i="2" s="1"/>
  <c r="C47" i="2" s="1"/>
  <c r="C48" i="2" s="1"/>
  <c r="C52" i="2"/>
  <c r="J16" i="2"/>
  <c r="F36" i="2"/>
  <c r="F38" i="2" s="1"/>
  <c r="J11" i="2"/>
  <c r="J26" i="2"/>
  <c r="W29" i="2"/>
  <c r="U28" i="2"/>
  <c r="J30" i="2"/>
  <c r="V13" i="2"/>
  <c r="U15" i="2"/>
  <c r="U16" i="2" s="1"/>
  <c r="W8" i="2"/>
  <c r="V10" i="2"/>
  <c r="V11" i="2" s="1"/>
  <c r="U25" i="2"/>
  <c r="U26" i="2" s="1"/>
  <c r="V22" i="2"/>
  <c r="V33" i="2"/>
  <c r="U34" i="2"/>
  <c r="H51" i="2"/>
  <c r="G38" i="2"/>
  <c r="G51" i="2"/>
  <c r="E42" i="2"/>
  <c r="E45" i="2" s="1"/>
  <c r="E47" i="2" s="1"/>
  <c r="I51" i="2"/>
  <c r="T51" i="2"/>
  <c r="S38" i="2"/>
  <c r="S52" i="2" s="1"/>
  <c r="T52" i="2"/>
  <c r="T42" i="2"/>
  <c r="T45" i="2" s="1"/>
  <c r="T47" i="2" s="1"/>
  <c r="T79" i="2" s="1"/>
  <c r="I42" i="2"/>
  <c r="I45" i="2" s="1"/>
  <c r="I47" i="2" s="1"/>
  <c r="I52" i="2"/>
  <c r="R42" i="2"/>
  <c r="R45" i="2" s="1"/>
  <c r="R47" i="2" s="1"/>
  <c r="R79" i="2" s="1"/>
  <c r="G42" i="2" l="1"/>
  <c r="G45" i="2" s="1"/>
  <c r="G47" i="2" s="1"/>
  <c r="G52" i="2"/>
  <c r="F42" i="2"/>
  <c r="F45" i="2" s="1"/>
  <c r="F47" i="2" s="1"/>
  <c r="F52" i="2"/>
  <c r="H48" i="2"/>
  <c r="H53" i="2"/>
  <c r="S42" i="2"/>
  <c r="S45" i="2" s="1"/>
  <c r="S47" i="2" s="1"/>
  <c r="T53" i="2" s="1"/>
  <c r="V28" i="2"/>
  <c r="U30" i="2"/>
  <c r="U31" i="2" s="1"/>
  <c r="X8" i="2"/>
  <c r="W10" i="2"/>
  <c r="W11" i="2" s="1"/>
  <c r="J31" i="2"/>
  <c r="J36" i="2"/>
  <c r="X29" i="2"/>
  <c r="W13" i="2"/>
  <c r="V15" i="2"/>
  <c r="V16" i="2" s="1"/>
  <c r="W33" i="2"/>
  <c r="V34" i="2"/>
  <c r="V25" i="2"/>
  <c r="V26" i="2" s="1"/>
  <c r="W22" i="2"/>
  <c r="I53" i="2"/>
  <c r="I48" i="2"/>
  <c r="S53" i="2"/>
  <c r="S79" i="2"/>
  <c r="G48" i="2" l="1"/>
  <c r="G53" i="2"/>
  <c r="X13" i="2"/>
  <c r="W15" i="2"/>
  <c r="W16" i="2" s="1"/>
  <c r="J37" i="2"/>
  <c r="U37" i="2" s="1"/>
  <c r="J51" i="2"/>
  <c r="U36" i="2"/>
  <c r="Y29" i="2"/>
  <c r="X22" i="2"/>
  <c r="W25" i="2"/>
  <c r="W26" i="2" s="1"/>
  <c r="Y8" i="2"/>
  <c r="X10" i="2"/>
  <c r="X11" i="2" s="1"/>
  <c r="X33" i="2"/>
  <c r="W34" i="2"/>
  <c r="W28" i="2"/>
  <c r="V30" i="2"/>
  <c r="U51" i="2" l="1"/>
  <c r="U38" i="2"/>
  <c r="J38" i="2"/>
  <c r="Z8" i="2"/>
  <c r="Y10" i="2"/>
  <c r="Y11" i="2" s="1"/>
  <c r="Y22" i="2"/>
  <c r="X25" i="2"/>
  <c r="X26" i="2" s="1"/>
  <c r="Z29" i="2"/>
  <c r="V31" i="2"/>
  <c r="V36" i="2"/>
  <c r="X28" i="2"/>
  <c r="W30" i="2"/>
  <c r="X34" i="2"/>
  <c r="Y33" i="2"/>
  <c r="Y13" i="2"/>
  <c r="X15" i="2"/>
  <c r="X16" i="2" s="1"/>
  <c r="AA29" i="2" l="1"/>
  <c r="Z22" i="2"/>
  <c r="Y25" i="2"/>
  <c r="Y26" i="2" s="1"/>
  <c r="Y34" i="2"/>
  <c r="Z33" i="2"/>
  <c r="J52" i="2"/>
  <c r="J42" i="2"/>
  <c r="J45" i="2" s="1"/>
  <c r="Y28" i="2"/>
  <c r="X30" i="2"/>
  <c r="U52" i="2"/>
  <c r="U42" i="2"/>
  <c r="U45" i="2" s="1"/>
  <c r="V37" i="2"/>
  <c r="V38" i="2" s="1"/>
  <c r="V51" i="2"/>
  <c r="V39" i="2"/>
  <c r="V40" i="2"/>
  <c r="Z13" i="2"/>
  <c r="Y15" i="2"/>
  <c r="Y16" i="2" s="1"/>
  <c r="AA8" i="2"/>
  <c r="Z10" i="2"/>
  <c r="Z11" i="2" s="1"/>
  <c r="W31" i="2"/>
  <c r="W36" i="2"/>
  <c r="W51" i="2" l="1"/>
  <c r="W37" i="2"/>
  <c r="W39" i="2"/>
  <c r="W38" i="2"/>
  <c r="W40" i="2"/>
  <c r="J46" i="2"/>
  <c r="U46" i="2" s="1"/>
  <c r="V52" i="2"/>
  <c r="Z28" i="2"/>
  <c r="Y30" i="2"/>
  <c r="AA33" i="2"/>
  <c r="Z34" i="2"/>
  <c r="Z25" i="2"/>
  <c r="Z26" i="2" s="1"/>
  <c r="AA22" i="2"/>
  <c r="AB8" i="2"/>
  <c r="AA10" i="2"/>
  <c r="AA11" i="2" s="1"/>
  <c r="AA13" i="2"/>
  <c r="Z15" i="2"/>
  <c r="Z16" i="2" s="1"/>
  <c r="X31" i="2"/>
  <c r="X36" i="2"/>
  <c r="V41" i="2"/>
  <c r="V42" i="2" s="1"/>
  <c r="V45" i="2" s="1"/>
  <c r="U47" i="2"/>
  <c r="AB29" i="2"/>
  <c r="U53" i="2" l="1"/>
  <c r="V46" i="2"/>
  <c r="V47" i="2" s="1"/>
  <c r="V53" i="2" s="1"/>
  <c r="X39" i="2"/>
  <c r="X51" i="2"/>
  <c r="X37" i="2"/>
  <c r="X40" i="2"/>
  <c r="X38" i="2"/>
  <c r="AB13" i="2"/>
  <c r="AA15" i="2"/>
  <c r="AA16" i="2" s="1"/>
  <c r="AC8" i="2"/>
  <c r="AB10" i="2"/>
  <c r="AB11" i="2" s="1"/>
  <c r="AB22" i="2"/>
  <c r="AA25" i="2"/>
  <c r="AA26" i="2" s="1"/>
  <c r="J47" i="2"/>
  <c r="AA28" i="2"/>
  <c r="Z30" i="2"/>
  <c r="W52" i="2"/>
  <c r="AC29" i="2"/>
  <c r="Y31" i="2"/>
  <c r="Y36" i="2"/>
  <c r="W41" i="2"/>
  <c r="W42" i="2" s="1"/>
  <c r="W45" i="2" s="1"/>
  <c r="AA34" i="2"/>
  <c r="AB33" i="2"/>
  <c r="W46" i="2" l="1"/>
  <c r="W47" i="2" s="1"/>
  <c r="AD8" i="2"/>
  <c r="AC10" i="2"/>
  <c r="AC11" i="2" s="1"/>
  <c r="Z31" i="2"/>
  <c r="Z36" i="2"/>
  <c r="AD29" i="2"/>
  <c r="X41" i="2"/>
  <c r="AC22" i="2"/>
  <c r="AB25" i="2"/>
  <c r="AB26" i="2" s="1"/>
  <c r="X42" i="2"/>
  <c r="X45" i="2" s="1"/>
  <c r="X52" i="2"/>
  <c r="AB28" i="2"/>
  <c r="AA30" i="2"/>
  <c r="AB34" i="2"/>
  <c r="AC33" i="2"/>
  <c r="J48" i="2"/>
  <c r="J53" i="2"/>
  <c r="Y51" i="2"/>
  <c r="Y37" i="2"/>
  <c r="Y39" i="2"/>
  <c r="Y38" i="2"/>
  <c r="Y52" i="2" s="1"/>
  <c r="Y40" i="2"/>
  <c r="AC13" i="2"/>
  <c r="AB15" i="2"/>
  <c r="AB16" i="2" s="1"/>
  <c r="W53" i="2" l="1"/>
  <c r="Y41" i="2"/>
  <c r="Y42" i="2" s="1"/>
  <c r="Y45" i="2" s="1"/>
  <c r="Y46" i="2" s="1"/>
  <c r="Y47" i="2" s="1"/>
  <c r="AE8" i="2"/>
  <c r="AD10" i="2"/>
  <c r="AD11" i="2" s="1"/>
  <c r="AE29" i="2"/>
  <c r="Z37" i="2"/>
  <c r="Z51" i="2"/>
  <c r="Z39" i="2"/>
  <c r="Z38" i="2"/>
  <c r="Z52" i="2" s="1"/>
  <c r="Z40" i="2"/>
  <c r="AD13" i="2"/>
  <c r="AC15" i="2"/>
  <c r="AC16" i="2" s="1"/>
  <c r="AC28" i="2"/>
  <c r="AB30" i="2"/>
  <c r="X46" i="2"/>
  <c r="X47" i="2"/>
  <c r="X53" i="2" s="1"/>
  <c r="AC25" i="2"/>
  <c r="AC26" i="2" s="1"/>
  <c r="AD22" i="2"/>
  <c r="AC34" i="2"/>
  <c r="AD33" i="2"/>
  <c r="AA31" i="2"/>
  <c r="AA36" i="2"/>
  <c r="AD34" i="2" l="1"/>
  <c r="AE33" i="2"/>
  <c r="AE13" i="2"/>
  <c r="AD15" i="2"/>
  <c r="AD16" i="2" s="1"/>
  <c r="AE22" i="2"/>
  <c r="AD25" i="2"/>
  <c r="AD26" i="2" s="1"/>
  <c r="AF8" i="2"/>
  <c r="AF10" i="2" s="1"/>
  <c r="AE10" i="2"/>
  <c r="AE11" i="2" s="1"/>
  <c r="AA51" i="2"/>
  <c r="AA37" i="2"/>
  <c r="AA38" i="2" s="1"/>
  <c r="AA40" i="2"/>
  <c r="AA39" i="2"/>
  <c r="AF29" i="2"/>
  <c r="Y53" i="2"/>
  <c r="Z41" i="2"/>
  <c r="Z42" i="2" s="1"/>
  <c r="Z45" i="2" s="1"/>
  <c r="AB31" i="2"/>
  <c r="AB36" i="2"/>
  <c r="AD28" i="2"/>
  <c r="AC30" i="2"/>
  <c r="AA52" i="2" l="1"/>
  <c r="AB39" i="2"/>
  <c r="AB51" i="2"/>
  <c r="AB37" i="2"/>
  <c r="AB38" i="2"/>
  <c r="AB52" i="2" s="1"/>
  <c r="AB40" i="2"/>
  <c r="AC31" i="2"/>
  <c r="AC36" i="2"/>
  <c r="AE28" i="2"/>
  <c r="AD30" i="2"/>
  <c r="Z46" i="2"/>
  <c r="Z47" i="2" s="1"/>
  <c r="AF33" i="2"/>
  <c r="AE34" i="2"/>
  <c r="AF11" i="2"/>
  <c r="AF22" i="2"/>
  <c r="AF25" i="2" s="1"/>
  <c r="AE25" i="2"/>
  <c r="AE26" i="2" s="1"/>
  <c r="AF13" i="2"/>
  <c r="AF15" i="2" s="1"/>
  <c r="AE15" i="2"/>
  <c r="AE16" i="2" s="1"/>
  <c r="AA41" i="2"/>
  <c r="AA42" i="2" s="1"/>
  <c r="AA45" i="2" s="1"/>
  <c r="Z53" i="2" l="1"/>
  <c r="AF16" i="2"/>
  <c r="AA46" i="2"/>
  <c r="AA47" i="2" s="1"/>
  <c r="AA53" i="2" s="1"/>
  <c r="AC39" i="2"/>
  <c r="AC51" i="2"/>
  <c r="AC37" i="2"/>
  <c r="AC38" i="2" s="1"/>
  <c r="AC52" i="2" s="1"/>
  <c r="AC40" i="2"/>
  <c r="AD31" i="2"/>
  <c r="AD36" i="2"/>
  <c r="AB41" i="2"/>
  <c r="AB42" i="2" s="1"/>
  <c r="AB45" i="2" s="1"/>
  <c r="AF28" i="2"/>
  <c r="AF30" i="2" s="1"/>
  <c r="AE30" i="2"/>
  <c r="AF26" i="2"/>
  <c r="AF34" i="2"/>
  <c r="AF31" i="2" l="1"/>
  <c r="AB46" i="2"/>
  <c r="AB47" i="2" s="1"/>
  <c r="AD40" i="2"/>
  <c r="AD37" i="2"/>
  <c r="AD51" i="2"/>
  <c r="AD39" i="2"/>
  <c r="AD41" i="2" s="1"/>
  <c r="AD38" i="2"/>
  <c r="AC41" i="2"/>
  <c r="AC42" i="2" s="1"/>
  <c r="AC45" i="2" s="1"/>
  <c r="AE31" i="2"/>
  <c r="AE36" i="2"/>
  <c r="AF36" i="2"/>
  <c r="AB53" i="2" l="1"/>
  <c r="AE39" i="2"/>
  <c r="AE40" i="2"/>
  <c r="AE51" i="2"/>
  <c r="AE37" i="2"/>
  <c r="AE38" i="2" s="1"/>
  <c r="AE52" i="2" s="1"/>
  <c r="AF39" i="2"/>
  <c r="AF40" i="2"/>
  <c r="AF51" i="2"/>
  <c r="AF37" i="2"/>
  <c r="AF38" i="2" s="1"/>
  <c r="AF52" i="2" s="1"/>
  <c r="AC46" i="2"/>
  <c r="AC47" i="2" s="1"/>
  <c r="AC53" i="2" s="1"/>
  <c r="AD42" i="2"/>
  <c r="AD45" i="2" s="1"/>
  <c r="AD52" i="2"/>
  <c r="AF41" i="2" l="1"/>
  <c r="AF42" i="2" s="1"/>
  <c r="AF45" i="2" s="1"/>
  <c r="AD46" i="2"/>
  <c r="AD47" i="2" s="1"/>
  <c r="AD53" i="2" s="1"/>
  <c r="AE41" i="2"/>
  <c r="AE42" i="2" s="1"/>
  <c r="AE45" i="2" s="1"/>
  <c r="AE46" i="2" l="1"/>
  <c r="AE47" i="2" s="1"/>
  <c r="AE53" i="2" s="1"/>
  <c r="AF46" i="2"/>
  <c r="AF47" i="2" s="1"/>
  <c r="AF53" i="2" l="1"/>
  <c r="AG47" i="2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BJ47" i="2" s="1"/>
  <c r="BK47" i="2" s="1"/>
  <c r="BL47" i="2" s="1"/>
  <c r="BM47" i="2" s="1"/>
  <c r="BN47" i="2" s="1"/>
  <c r="BO47" i="2" s="1"/>
  <c r="BP47" i="2" s="1"/>
  <c r="BQ47" i="2" s="1"/>
  <c r="BR47" i="2" s="1"/>
  <c r="BS47" i="2" s="1"/>
  <c r="BT47" i="2" s="1"/>
  <c r="BU47" i="2" s="1"/>
  <c r="AI40" i="2" s="1"/>
  <c r="AI41" i="2" s="1"/>
  <c r="AI43" i="2" s="1"/>
</calcChain>
</file>

<file path=xl/sharedStrings.xml><?xml version="1.0" encoding="utf-8"?>
<sst xmlns="http://schemas.openxmlformats.org/spreadsheetml/2006/main" count="121" uniqueCount="106">
  <si>
    <t xml:space="preserve">Price </t>
  </si>
  <si>
    <t xml:space="preserve">Shares </t>
  </si>
  <si>
    <t xml:space="preserve">MC </t>
  </si>
  <si>
    <t xml:space="preserve">Cash </t>
  </si>
  <si>
    <t xml:space="preserve">Debt </t>
  </si>
  <si>
    <t xml:space="preserve">EV </t>
  </si>
  <si>
    <t>Founded</t>
  </si>
  <si>
    <t xml:space="preserve">CEO </t>
  </si>
  <si>
    <t xml:space="preserve">Customers in 160 countries </t>
  </si>
  <si>
    <t xml:space="preserve">Business segments </t>
  </si>
  <si>
    <t xml:space="preserve">Electricla Americas and Electrical Global </t>
  </si>
  <si>
    <t xml:space="preserve">Aerospace </t>
  </si>
  <si>
    <t xml:space="preserve">Vehicle </t>
  </si>
  <si>
    <t xml:space="preserve">eMobility </t>
  </si>
  <si>
    <t xml:space="preserve">Hydraulics </t>
  </si>
  <si>
    <t xml:space="preserve">Raw materials needed </t>
  </si>
  <si>
    <t>iron</t>
  </si>
  <si>
    <t>steel</t>
  </si>
  <si>
    <t>copper</t>
  </si>
  <si>
    <t>nickel</t>
  </si>
  <si>
    <t>aluminium</t>
  </si>
  <si>
    <t>lead</t>
  </si>
  <si>
    <t>silver</t>
  </si>
  <si>
    <t>gold</t>
  </si>
  <si>
    <t xml:space="preserve">titanium </t>
  </si>
  <si>
    <t xml:space="preserve">rubber </t>
  </si>
  <si>
    <t>plastic</t>
  </si>
  <si>
    <t>electronic components</t>
  </si>
  <si>
    <t xml:space="preserve">chemicals </t>
  </si>
  <si>
    <t xml:space="preserve">fluids </t>
  </si>
  <si>
    <t xml:space="preserve">Headcount </t>
  </si>
  <si>
    <t xml:space="preserve">Headcount distribution </t>
  </si>
  <si>
    <t xml:space="preserve">Directors </t>
  </si>
  <si>
    <t xml:space="preserve">Leadership </t>
  </si>
  <si>
    <t xml:space="preserve">Executives </t>
  </si>
  <si>
    <t xml:space="preserve">Managers </t>
  </si>
  <si>
    <t xml:space="preserve">Other </t>
  </si>
  <si>
    <t xml:space="preserve">Total </t>
  </si>
  <si>
    <t xml:space="preserve">Revenue </t>
  </si>
  <si>
    <t xml:space="preserve">COGS </t>
  </si>
  <si>
    <t xml:space="preserve">Gross </t>
  </si>
  <si>
    <t xml:space="preserve">RD </t>
  </si>
  <si>
    <t xml:space="preserve">SGA </t>
  </si>
  <si>
    <t xml:space="preserve">Interest </t>
  </si>
  <si>
    <t xml:space="preserve">Operating income </t>
  </si>
  <si>
    <t xml:space="preserve">Operating expenses </t>
  </si>
  <si>
    <t xml:space="preserve">Pretax </t>
  </si>
  <si>
    <t xml:space="preserve">Tax </t>
  </si>
  <si>
    <t xml:space="preserve">Net income </t>
  </si>
  <si>
    <t xml:space="preserve">AR </t>
  </si>
  <si>
    <t xml:space="preserve">Inventory </t>
  </si>
  <si>
    <t xml:space="preserve">Prepaids </t>
  </si>
  <si>
    <t>PPE</t>
  </si>
  <si>
    <t xml:space="preserve">Goodwill </t>
  </si>
  <si>
    <t xml:space="preserve">Lease </t>
  </si>
  <si>
    <t xml:space="preserve">ASSETS </t>
  </si>
  <si>
    <t xml:space="preserve">Net cash </t>
  </si>
  <si>
    <t xml:space="preserve">AP </t>
  </si>
  <si>
    <t xml:space="preserve">Accrued </t>
  </si>
  <si>
    <t xml:space="preserve">OCL </t>
  </si>
  <si>
    <t>Pension</t>
  </si>
  <si>
    <t xml:space="preserve">ONCL </t>
  </si>
  <si>
    <t xml:space="preserve">Liabilities </t>
  </si>
  <si>
    <t xml:space="preserve">CFFO </t>
  </si>
  <si>
    <t xml:space="preserve">CFFI </t>
  </si>
  <si>
    <t xml:space="preserve">FCF </t>
  </si>
  <si>
    <t xml:space="preserve">CFFF </t>
  </si>
  <si>
    <t xml:space="preserve">Net change </t>
  </si>
  <si>
    <t xml:space="preserve">Revenue y/y </t>
  </si>
  <si>
    <t xml:space="preserve">Gross margin </t>
  </si>
  <si>
    <t xml:space="preserve">NI y/y </t>
  </si>
  <si>
    <t xml:space="preserve">SE </t>
  </si>
  <si>
    <t xml:space="preserve">L + SE </t>
  </si>
  <si>
    <t xml:space="preserve">Liquidation value </t>
  </si>
  <si>
    <t>Q123</t>
  </si>
  <si>
    <t>Q223</t>
  </si>
  <si>
    <t>Q323</t>
  </si>
  <si>
    <t>Q423</t>
  </si>
  <si>
    <t>Q124</t>
  </si>
  <si>
    <t>Q224</t>
  </si>
  <si>
    <t>Q324</t>
  </si>
  <si>
    <t>Q424</t>
  </si>
  <si>
    <t xml:space="preserve">FX </t>
  </si>
  <si>
    <t xml:space="preserve">Products </t>
  </si>
  <si>
    <t xml:space="preserve">Systems </t>
  </si>
  <si>
    <t xml:space="preserve">Eletrical Americas </t>
  </si>
  <si>
    <t xml:space="preserve">Eletrical Global </t>
  </si>
  <si>
    <t xml:space="preserve">USA </t>
  </si>
  <si>
    <t xml:space="preserve">RoW </t>
  </si>
  <si>
    <t xml:space="preserve">Equipments </t>
  </si>
  <si>
    <t xml:space="preserve">Aftermarket </t>
  </si>
  <si>
    <t xml:space="preserve">Industrial and others </t>
  </si>
  <si>
    <t xml:space="preserve">Commercial </t>
  </si>
  <si>
    <t xml:space="preserve">Passenger </t>
  </si>
  <si>
    <t xml:space="preserve">EPS </t>
  </si>
  <si>
    <t>Q125</t>
  </si>
  <si>
    <t>Q225</t>
  </si>
  <si>
    <t>Q325</t>
  </si>
  <si>
    <t>Q425</t>
  </si>
  <si>
    <t>terminal</t>
  </si>
  <si>
    <t xml:space="preserve">discount </t>
  </si>
  <si>
    <t>npv</t>
  </si>
  <si>
    <t>share</t>
  </si>
  <si>
    <t>current</t>
  </si>
  <si>
    <t xml:space="preserve">change </t>
  </si>
  <si>
    <t xml:space="preserve">Craig Arnold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</si>
</sst>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2" fillId="0" borderId="0" xfId="0" applyFont="1"/>
    <xf numFmtId="9" fontId="0" fillId="0" borderId="0" xfId="1" applyFont="1"/>
    <xf numFmtId="3" fontId="2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2" fillId="3" borderId="0" xfId="0" applyFont="1" applyFill="1"/>
    <xf numFmtId="3" fontId="2" fillId="3" borderId="0" xfId="0" applyNumberFormat="1" applyFont="1" applyFill="1"/>
    <xf numFmtId="9" fontId="3" fillId="0" borderId="0" xfId="1" applyFont="1"/>
    <xf numFmtId="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0</xdr:rowOff>
    </xdr:from>
    <xdr:to>
      <xdr:col>21</xdr:col>
      <xdr:colOff>9525</xdr:colOff>
      <xdr:row>102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FDFFE2-2C62-71F5-7B81-66F65BB4C566}"/>
            </a:ext>
          </a:extLst>
        </xdr:cNvPr>
        <xdr:cNvCxnSpPr/>
      </xdr:nvCxnSpPr>
      <xdr:spPr>
        <a:xfrm>
          <a:off x="6858000" y="190500"/>
          <a:ext cx="9525" cy="12372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0</xdr:row>
      <xdr:rowOff>133350</xdr:rowOff>
    </xdr:from>
    <xdr:to>
      <xdr:col>9</xdr:col>
      <xdr:colOff>0</xdr:colOff>
      <xdr:row>102</xdr:row>
      <xdr:rowOff>123825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3B229AA-528E-4E94-904D-AC55557B9C64}"/>
            </a:ext>
          </a:extLst>
        </xdr:cNvPr>
        <xdr:cNvCxnSpPr/>
      </xdr:nvCxnSpPr>
      <xdr:spPr>
        <a:xfrm>
          <a:off x="7610475" y="133350"/>
          <a:ext cx="9525" cy="18183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6461-B5AB-4E78-92E5-457D8FA51BF6}">
  <dimension ref="B5:I37"/>
  <sheetViews>
    <sheetView workbookViewId="0">
      <selection activeCell="C7" sqref="C7"/>
    </sheetView>
  </sheetViews>
  <sheetFormatPr defaultRowHeight="15" x14ac:dyDescent="0.2"/>
  <cols>
    <col min="2" max="2" width="10.33203125" customWidth="1"/>
    <col min="8" max="8" width="10.77734375" customWidth="1"/>
  </cols>
  <sheetData>
    <row r="5" spans="2:9" x14ac:dyDescent="0.2">
      <c r="B5" t="s">
        <v>6</v>
      </c>
      <c r="C5">
        <v>1911</v>
      </c>
      <c r="G5" t="s">
        <v>0</v>
      </c>
      <c r="H5">
        <v>316</v>
      </c>
    </row>
    <row r="6" spans="2:9" x14ac:dyDescent="0.2">
      <c r="B6" t="s">
        <v>7</v>
      </c>
      <c r="C6" t="s">
        <v>105</v>
      </c>
      <c r="G6" t="s">
        <v>1</v>
      </c>
      <c r="H6" s="1">
        <v>395.2</v>
      </c>
    </row>
    <row r="7" spans="2:9" x14ac:dyDescent="0.2">
      <c r="B7" t="s">
        <v>30</v>
      </c>
      <c r="C7" s="1">
        <v>94000</v>
      </c>
      <c r="G7" t="s">
        <v>2</v>
      </c>
      <c r="H7" s="1">
        <f>+H5*H6</f>
        <v>124883.2</v>
      </c>
    </row>
    <row r="8" spans="2:9" x14ac:dyDescent="0.2">
      <c r="G8" t="s">
        <v>3</v>
      </c>
      <c r="H8" s="1">
        <f>473+1521</f>
        <v>1994</v>
      </c>
    </row>
    <row r="9" spans="2:9" x14ac:dyDescent="0.2">
      <c r="G9" t="s">
        <v>4</v>
      </c>
      <c r="H9" s="1">
        <f>714+8678</f>
        <v>9392</v>
      </c>
    </row>
    <row r="10" spans="2:9" x14ac:dyDescent="0.2">
      <c r="G10" t="s">
        <v>5</v>
      </c>
      <c r="H10" s="1">
        <f>+H7-H8+H9</f>
        <v>132281.20000000001</v>
      </c>
    </row>
    <row r="12" spans="2:9" x14ac:dyDescent="0.2">
      <c r="B12" t="s">
        <v>8</v>
      </c>
    </row>
    <row r="14" spans="2:9" ht="15.75" x14ac:dyDescent="0.25">
      <c r="B14" s="2" t="s">
        <v>9</v>
      </c>
      <c r="H14" s="2" t="s">
        <v>31</v>
      </c>
    </row>
    <row r="15" spans="2:9" ht="15.75" x14ac:dyDescent="0.25">
      <c r="B15" s="2"/>
    </row>
    <row r="16" spans="2:9" x14ac:dyDescent="0.2">
      <c r="C16" t="s">
        <v>10</v>
      </c>
      <c r="H16" t="s">
        <v>32</v>
      </c>
      <c r="I16" s="1">
        <v>10</v>
      </c>
    </row>
    <row r="17" spans="2:9" x14ac:dyDescent="0.2">
      <c r="C17" t="s">
        <v>11</v>
      </c>
      <c r="H17" t="s">
        <v>33</v>
      </c>
      <c r="I17" s="1">
        <v>25</v>
      </c>
    </row>
    <row r="18" spans="2:9" x14ac:dyDescent="0.2">
      <c r="C18" t="s">
        <v>12</v>
      </c>
      <c r="H18" t="s">
        <v>34</v>
      </c>
      <c r="I18" s="1">
        <v>671</v>
      </c>
    </row>
    <row r="19" spans="2:9" x14ac:dyDescent="0.2">
      <c r="C19" t="s">
        <v>13</v>
      </c>
      <c r="H19" t="s">
        <v>35</v>
      </c>
      <c r="I19" s="1">
        <v>8754</v>
      </c>
    </row>
    <row r="20" spans="2:9" x14ac:dyDescent="0.2">
      <c r="C20" t="s">
        <v>14</v>
      </c>
      <c r="H20" t="s">
        <v>36</v>
      </c>
      <c r="I20" s="1">
        <v>84331</v>
      </c>
    </row>
    <row r="21" spans="2:9" ht="15.75" x14ac:dyDescent="0.25">
      <c r="H21" s="2" t="s">
        <v>37</v>
      </c>
      <c r="I21" s="4">
        <f>+SUM(I16:I20)</f>
        <v>93791</v>
      </c>
    </row>
    <row r="22" spans="2:9" ht="15.75" x14ac:dyDescent="0.25">
      <c r="B22" s="2" t="s">
        <v>15</v>
      </c>
    </row>
    <row r="24" spans="2:9" x14ac:dyDescent="0.2">
      <c r="C24" t="s">
        <v>16</v>
      </c>
    </row>
    <row r="25" spans="2:9" x14ac:dyDescent="0.2">
      <c r="C25" t="s">
        <v>17</v>
      </c>
    </row>
    <row r="26" spans="2:9" x14ac:dyDescent="0.2">
      <c r="C26" t="s">
        <v>18</v>
      </c>
    </row>
    <row r="27" spans="2:9" x14ac:dyDescent="0.2">
      <c r="C27" t="s">
        <v>19</v>
      </c>
    </row>
    <row r="28" spans="2:9" x14ac:dyDescent="0.2">
      <c r="C28" t="s">
        <v>20</v>
      </c>
    </row>
    <row r="29" spans="2:9" x14ac:dyDescent="0.2">
      <c r="C29" t="s">
        <v>21</v>
      </c>
    </row>
    <row r="30" spans="2:9" x14ac:dyDescent="0.2">
      <c r="C30" t="s">
        <v>22</v>
      </c>
    </row>
    <row r="31" spans="2:9" x14ac:dyDescent="0.2">
      <c r="C31" t="s">
        <v>23</v>
      </c>
    </row>
    <row r="32" spans="2:9" x14ac:dyDescent="0.2">
      <c r="C32" t="s">
        <v>24</v>
      </c>
    </row>
    <row r="33" spans="3:3" x14ac:dyDescent="0.2">
      <c r="C33" t="s">
        <v>25</v>
      </c>
    </row>
    <row r="34" spans="3:3" x14ac:dyDescent="0.2">
      <c r="C34" t="s">
        <v>26</v>
      </c>
    </row>
    <row r="35" spans="3:3" x14ac:dyDescent="0.2">
      <c r="C35" t="s">
        <v>27</v>
      </c>
    </row>
    <row r="36" spans="3:3" x14ac:dyDescent="0.2">
      <c r="C36" t="s">
        <v>28</v>
      </c>
    </row>
    <row r="37" spans="3:3" x14ac:dyDescent="0.2">
      <c r="C3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9170-5F55-4A2D-B400-5BD42BA1182D}">
  <dimension ref="B7:BU87"/>
  <sheetViews>
    <sheetView tabSelected="1"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J51" sqref="J51"/>
    </sheetView>
  </sheetViews>
  <sheetFormatPr defaultRowHeight="15" x14ac:dyDescent="0.2"/>
  <cols>
    <col min="2" max="2" width="17.77734375" customWidth="1"/>
  </cols>
  <sheetData>
    <row r="7" spans="2:32" x14ac:dyDescent="0.2">
      <c r="C7" t="s">
        <v>74</v>
      </c>
      <c r="D7" t="s">
        <v>75</v>
      </c>
      <c r="E7" t="s">
        <v>76</v>
      </c>
      <c r="F7" t="s">
        <v>77</v>
      </c>
      <c r="G7" t="s">
        <v>78</v>
      </c>
      <c r="H7" t="s">
        <v>79</v>
      </c>
      <c r="I7" t="s">
        <v>80</v>
      </c>
      <c r="J7" t="s">
        <v>81</v>
      </c>
      <c r="K7" t="s">
        <v>95</v>
      </c>
      <c r="L7" t="s">
        <v>96</v>
      </c>
      <c r="M7" t="s">
        <v>97</v>
      </c>
      <c r="N7" t="s">
        <v>98</v>
      </c>
      <c r="R7">
        <v>2021</v>
      </c>
      <c r="S7">
        <f>+R7+1</f>
        <v>2022</v>
      </c>
      <c r="T7">
        <f t="shared" ref="T7:AF7" si="0">+S7+1</f>
        <v>2023</v>
      </c>
      <c r="U7">
        <f t="shared" si="0"/>
        <v>2024</v>
      </c>
      <c r="V7">
        <f t="shared" si="0"/>
        <v>2025</v>
      </c>
      <c r="W7">
        <f t="shared" si="0"/>
        <v>2026</v>
      </c>
      <c r="X7">
        <f t="shared" si="0"/>
        <v>2027</v>
      </c>
      <c r="Y7">
        <f t="shared" si="0"/>
        <v>2028</v>
      </c>
      <c r="Z7">
        <f t="shared" si="0"/>
        <v>2029</v>
      </c>
      <c r="AA7">
        <f t="shared" si="0"/>
        <v>2030</v>
      </c>
      <c r="AB7">
        <f t="shared" si="0"/>
        <v>2031</v>
      </c>
      <c r="AC7">
        <f t="shared" si="0"/>
        <v>2032</v>
      </c>
      <c r="AD7">
        <f t="shared" si="0"/>
        <v>2033</v>
      </c>
      <c r="AE7">
        <f t="shared" si="0"/>
        <v>2034</v>
      </c>
      <c r="AF7">
        <f t="shared" si="0"/>
        <v>2035</v>
      </c>
    </row>
    <row r="8" spans="2:32" s="1" customFormat="1" x14ac:dyDescent="0.2">
      <c r="B8" s="1" t="s">
        <v>83</v>
      </c>
      <c r="C8" s="1">
        <v>716</v>
      </c>
      <c r="D8" s="1">
        <v>757</v>
      </c>
      <c r="E8" s="1">
        <v>748</v>
      </c>
      <c r="F8" s="1">
        <f>+T8-E8-D8-C8</f>
        <v>728</v>
      </c>
      <c r="G8" s="1">
        <v>733</v>
      </c>
      <c r="H8" s="1">
        <v>745</v>
      </c>
      <c r="I8" s="1">
        <v>794</v>
      </c>
      <c r="J8" s="1">
        <f>+F8*1.06</f>
        <v>771.68000000000006</v>
      </c>
      <c r="R8" s="1">
        <v>2255</v>
      </c>
      <c r="S8" s="1">
        <v>2732</v>
      </c>
      <c r="T8" s="1">
        <v>2949</v>
      </c>
      <c r="U8" s="1">
        <f>+SUM(G8:J8)</f>
        <v>3043.6800000000003</v>
      </c>
      <c r="V8" s="1">
        <f>+U8*1.07</f>
        <v>3256.7376000000004</v>
      </c>
      <c r="W8" s="1">
        <f t="shared" ref="W8:AF8" si="1">+V8*1.07</f>
        <v>3484.7092320000006</v>
      </c>
      <c r="X8" s="1">
        <f t="shared" si="1"/>
        <v>3728.6388782400008</v>
      </c>
      <c r="Y8" s="1">
        <f t="shared" si="1"/>
        <v>3989.643599716801</v>
      </c>
      <c r="Z8" s="1">
        <f t="shared" si="1"/>
        <v>4268.9186516969776</v>
      </c>
      <c r="AA8" s="1">
        <f t="shared" si="1"/>
        <v>4567.742957315766</v>
      </c>
      <c r="AB8" s="1">
        <f t="shared" si="1"/>
        <v>4887.4849643278703</v>
      </c>
      <c r="AC8" s="1">
        <f t="shared" si="1"/>
        <v>5229.6089118308219</v>
      </c>
      <c r="AD8" s="1">
        <f t="shared" si="1"/>
        <v>5595.6815356589796</v>
      </c>
      <c r="AE8" s="1">
        <f t="shared" si="1"/>
        <v>5987.3792431551083</v>
      </c>
      <c r="AF8" s="1">
        <f t="shared" si="1"/>
        <v>6406.4957901759662</v>
      </c>
    </row>
    <row r="9" spans="2:32" s="1" customFormat="1" x14ac:dyDescent="0.2">
      <c r="B9" s="1" t="s">
        <v>84</v>
      </c>
      <c r="C9" s="1">
        <v>1578</v>
      </c>
      <c r="D9" s="1">
        <v>1781</v>
      </c>
      <c r="E9" s="1">
        <v>1846</v>
      </c>
      <c r="F9" s="1">
        <f>+T9-E9-D9-C9</f>
        <v>1944</v>
      </c>
      <c r="G9" s="1">
        <v>1957</v>
      </c>
      <c r="H9" s="1">
        <v>2132</v>
      </c>
      <c r="I9" s="1">
        <v>2169</v>
      </c>
      <c r="J9" s="1">
        <f>+F9*1.17</f>
        <v>2274.48</v>
      </c>
      <c r="R9" s="1">
        <v>4987</v>
      </c>
      <c r="S9" s="1">
        <v>5765</v>
      </c>
      <c r="T9" s="1">
        <v>7149</v>
      </c>
      <c r="U9" s="1">
        <f>+SUM(G9:J9)</f>
        <v>8532.48</v>
      </c>
      <c r="V9" s="1">
        <f>+U9*1.07</f>
        <v>9129.7536</v>
      </c>
      <c r="W9" s="1">
        <f t="shared" ref="W9:AF9" si="2">+V9*1.07</f>
        <v>9768.8363520000003</v>
      </c>
      <c r="X9" s="1">
        <f t="shared" si="2"/>
        <v>10452.654896640001</v>
      </c>
      <c r="Y9" s="1">
        <f t="shared" si="2"/>
        <v>11184.340739404801</v>
      </c>
      <c r="Z9" s="1">
        <f t="shared" si="2"/>
        <v>11967.244591163138</v>
      </c>
      <c r="AA9" s="1">
        <f t="shared" si="2"/>
        <v>12804.951712544558</v>
      </c>
      <c r="AB9" s="1">
        <f t="shared" si="2"/>
        <v>13701.298332422679</v>
      </c>
      <c r="AC9" s="1">
        <f t="shared" si="2"/>
        <v>14660.389215692267</v>
      </c>
      <c r="AD9" s="1">
        <f t="shared" si="2"/>
        <v>15686.616460790727</v>
      </c>
      <c r="AE9" s="1">
        <f t="shared" si="2"/>
        <v>16784.679613046079</v>
      </c>
      <c r="AF9" s="1">
        <f t="shared" si="2"/>
        <v>17959.607185959307</v>
      </c>
    </row>
    <row r="10" spans="2:32" s="4" customFormat="1" ht="15.75" x14ac:dyDescent="0.25">
      <c r="B10" s="4" t="s">
        <v>85</v>
      </c>
      <c r="C10" s="4">
        <f t="shared" ref="C10:J10" si="3">+C8+C9</f>
        <v>2294</v>
      </c>
      <c r="D10" s="4">
        <f t="shared" si="3"/>
        <v>2538</v>
      </c>
      <c r="E10" s="4">
        <f t="shared" si="3"/>
        <v>2594</v>
      </c>
      <c r="F10" s="4">
        <f t="shared" si="3"/>
        <v>2672</v>
      </c>
      <c r="G10" s="4">
        <f t="shared" si="3"/>
        <v>2690</v>
      </c>
      <c r="H10" s="4">
        <f t="shared" si="3"/>
        <v>2877</v>
      </c>
      <c r="I10" s="4">
        <f t="shared" si="3"/>
        <v>2963</v>
      </c>
      <c r="J10" s="4">
        <f t="shared" si="3"/>
        <v>3046.16</v>
      </c>
      <c r="R10" s="4">
        <f>+R8+R9</f>
        <v>7242</v>
      </c>
      <c r="S10" s="4">
        <f>+S8+S9</f>
        <v>8497</v>
      </c>
      <c r="T10" s="4">
        <f>+T8+T9</f>
        <v>10098</v>
      </c>
      <c r="U10" s="4">
        <f>+U8+U9</f>
        <v>11576.16</v>
      </c>
      <c r="V10" s="4">
        <f t="shared" ref="V10:AF10" si="4">+V8+V9</f>
        <v>12386.4912</v>
      </c>
      <c r="W10" s="4">
        <f t="shared" si="4"/>
        <v>13253.545584000001</v>
      </c>
      <c r="X10" s="4">
        <f t="shared" si="4"/>
        <v>14181.293774880001</v>
      </c>
      <c r="Y10" s="4">
        <f t="shared" si="4"/>
        <v>15173.984339121602</v>
      </c>
      <c r="Z10" s="4">
        <f t="shared" si="4"/>
        <v>16236.163242860115</v>
      </c>
      <c r="AA10" s="4">
        <f t="shared" si="4"/>
        <v>17372.694669860324</v>
      </c>
      <c r="AB10" s="4">
        <f t="shared" si="4"/>
        <v>18588.783296750549</v>
      </c>
      <c r="AC10" s="4">
        <f t="shared" si="4"/>
        <v>19889.998127523089</v>
      </c>
      <c r="AD10" s="4">
        <f t="shared" si="4"/>
        <v>21282.297996449706</v>
      </c>
      <c r="AE10" s="4">
        <f t="shared" si="4"/>
        <v>22772.058856201187</v>
      </c>
      <c r="AF10" s="4">
        <f t="shared" si="4"/>
        <v>24366.102976135273</v>
      </c>
    </row>
    <row r="11" spans="2:32" s="3" customFormat="1" x14ac:dyDescent="0.2">
      <c r="C11" s="9"/>
      <c r="F11" s="9"/>
      <c r="G11" s="9">
        <f>+G10/C10-1</f>
        <v>0.17262423714036612</v>
      </c>
      <c r="H11" s="9">
        <f>+H10/D10-1</f>
        <v>0.1335697399527187</v>
      </c>
      <c r="I11" s="9">
        <f>+I10/E10-1</f>
        <v>0.14225134926754057</v>
      </c>
      <c r="J11" s="9">
        <f>+J10/F10-1</f>
        <v>0.14002994011976044</v>
      </c>
      <c r="S11" s="3">
        <f>+S10/R10-1</f>
        <v>0.17329466998066834</v>
      </c>
      <c r="T11" s="3">
        <f>+T10/S10-1</f>
        <v>0.18841944215605499</v>
      </c>
      <c r="U11" s="3">
        <f>+U10/T10-1</f>
        <v>0.14638146167557942</v>
      </c>
      <c r="V11" s="3">
        <f t="shared" ref="V11:AF11" si="5">+V10/U10-1</f>
        <v>7.0000000000000062E-2</v>
      </c>
      <c r="W11" s="3">
        <f t="shared" si="5"/>
        <v>7.0000000000000062E-2</v>
      </c>
      <c r="X11" s="3">
        <f t="shared" si="5"/>
        <v>7.0000000000000062E-2</v>
      </c>
      <c r="Y11" s="3">
        <f t="shared" si="5"/>
        <v>7.0000000000000062E-2</v>
      </c>
      <c r="Z11" s="3">
        <f t="shared" si="5"/>
        <v>7.0000000000000062E-2</v>
      </c>
      <c r="AA11" s="3">
        <f t="shared" si="5"/>
        <v>7.0000000000000062E-2</v>
      </c>
      <c r="AB11" s="3">
        <f t="shared" si="5"/>
        <v>7.0000000000000062E-2</v>
      </c>
      <c r="AC11" s="3">
        <f t="shared" si="5"/>
        <v>7.0000000000000062E-2</v>
      </c>
      <c r="AD11" s="3">
        <f t="shared" si="5"/>
        <v>7.0000000000000062E-2</v>
      </c>
      <c r="AE11" s="3">
        <f t="shared" si="5"/>
        <v>7.0000000000000062E-2</v>
      </c>
      <c r="AF11" s="3">
        <f t="shared" si="5"/>
        <v>7.0000000000000062E-2</v>
      </c>
    </row>
    <row r="12" spans="2:32" s="1" customFormat="1" x14ac:dyDescent="0.2">
      <c r="I12" s="9"/>
    </row>
    <row r="13" spans="2:32" s="1" customFormat="1" x14ac:dyDescent="0.2">
      <c r="B13" s="1" t="s">
        <v>83</v>
      </c>
      <c r="C13" s="1">
        <v>882</v>
      </c>
      <c r="D13" s="1">
        <v>889</v>
      </c>
      <c r="E13" s="1">
        <v>848</v>
      </c>
      <c r="F13" s="1">
        <f>+T13-E13-D13-C13</f>
        <v>843</v>
      </c>
      <c r="G13" s="1">
        <v>844</v>
      </c>
      <c r="H13" s="1">
        <v>882</v>
      </c>
      <c r="I13" s="1">
        <v>879</v>
      </c>
      <c r="J13" s="1">
        <f>+F13*1.06</f>
        <v>893.58</v>
      </c>
      <c r="R13" s="1">
        <v>3283</v>
      </c>
      <c r="S13" s="1">
        <v>3424</v>
      </c>
      <c r="T13" s="1">
        <v>3462</v>
      </c>
      <c r="U13" s="1">
        <f>+SUM(G13:J13)</f>
        <v>3498.58</v>
      </c>
      <c r="V13" s="1">
        <f>+U13*1.02</f>
        <v>3568.5515999999998</v>
      </c>
      <c r="W13" s="1">
        <f t="shared" ref="W13:AF13" si="6">+V13*1.02</f>
        <v>3639.9226319999998</v>
      </c>
      <c r="X13" s="1">
        <f t="shared" si="6"/>
        <v>3712.7210846399998</v>
      </c>
      <c r="Y13" s="1">
        <f t="shared" si="6"/>
        <v>3786.9755063327998</v>
      </c>
      <c r="Z13" s="1">
        <f t="shared" si="6"/>
        <v>3862.7150164594559</v>
      </c>
      <c r="AA13" s="1">
        <f t="shared" si="6"/>
        <v>3939.9693167886453</v>
      </c>
      <c r="AB13" s="1">
        <f t="shared" si="6"/>
        <v>4018.7687031244182</v>
      </c>
      <c r="AC13" s="1">
        <f t="shared" si="6"/>
        <v>4099.1440771869065</v>
      </c>
      <c r="AD13" s="1">
        <f t="shared" si="6"/>
        <v>4181.1269587306451</v>
      </c>
      <c r="AE13" s="1">
        <f t="shared" si="6"/>
        <v>4264.7494979052581</v>
      </c>
      <c r="AF13" s="1">
        <f t="shared" si="6"/>
        <v>4350.0444878633634</v>
      </c>
    </row>
    <row r="14" spans="2:32" s="1" customFormat="1" x14ac:dyDescent="0.2">
      <c r="B14" s="1" t="s">
        <v>84</v>
      </c>
      <c r="C14" s="1">
        <v>618</v>
      </c>
      <c r="D14" s="1">
        <v>680</v>
      </c>
      <c r="E14" s="1">
        <v>655</v>
      </c>
      <c r="F14" s="1">
        <f>+T14-E14-D14-C14</f>
        <v>669</v>
      </c>
      <c r="G14" s="1">
        <v>656</v>
      </c>
      <c r="H14" s="1">
        <v>724</v>
      </c>
      <c r="I14" s="1">
        <v>694</v>
      </c>
      <c r="J14" s="1">
        <f>+F14*1.06</f>
        <v>709.14</v>
      </c>
      <c r="R14" s="1">
        <v>2233</v>
      </c>
      <c r="S14" s="1">
        <v>2424</v>
      </c>
      <c r="T14" s="1">
        <v>2622</v>
      </c>
      <c r="U14" s="1">
        <f>+SUM(G14:J14)</f>
        <v>2783.14</v>
      </c>
      <c r="V14" s="1">
        <f>+U14*1.02</f>
        <v>2838.8027999999999</v>
      </c>
      <c r="W14" s="1">
        <f t="shared" ref="W14:AF14" si="7">+V14*1.02</f>
        <v>2895.5788560000001</v>
      </c>
      <c r="X14" s="1">
        <f t="shared" si="7"/>
        <v>2953.49043312</v>
      </c>
      <c r="Y14" s="1">
        <f t="shared" si="7"/>
        <v>3012.5602417824002</v>
      </c>
      <c r="Z14" s="1">
        <f t="shared" si="7"/>
        <v>3072.8114466180482</v>
      </c>
      <c r="AA14" s="1">
        <f t="shared" si="7"/>
        <v>3134.2676755504094</v>
      </c>
      <c r="AB14" s="1">
        <f t="shared" si="7"/>
        <v>3196.9530290614175</v>
      </c>
      <c r="AC14" s="1">
        <f t="shared" si="7"/>
        <v>3260.8920896426457</v>
      </c>
      <c r="AD14" s="1">
        <f t="shared" si="7"/>
        <v>3326.1099314354988</v>
      </c>
      <c r="AE14" s="1">
        <f t="shared" si="7"/>
        <v>3392.6321300642089</v>
      </c>
      <c r="AF14" s="1">
        <f t="shared" si="7"/>
        <v>3460.484772665493</v>
      </c>
    </row>
    <row r="15" spans="2:32" s="4" customFormat="1" ht="15.75" x14ac:dyDescent="0.25">
      <c r="B15" s="4" t="s">
        <v>86</v>
      </c>
      <c r="C15" s="4">
        <f t="shared" ref="C15:J15" si="8">+C13+C14</f>
        <v>1500</v>
      </c>
      <c r="D15" s="4">
        <f t="shared" si="8"/>
        <v>1569</v>
      </c>
      <c r="E15" s="4">
        <f t="shared" si="8"/>
        <v>1503</v>
      </c>
      <c r="F15" s="4">
        <f t="shared" si="8"/>
        <v>1512</v>
      </c>
      <c r="G15" s="4">
        <f t="shared" si="8"/>
        <v>1500</v>
      </c>
      <c r="H15" s="4">
        <f t="shared" si="8"/>
        <v>1606</v>
      </c>
      <c r="I15" s="4">
        <f t="shared" si="8"/>
        <v>1573</v>
      </c>
      <c r="J15" s="4">
        <f t="shared" si="8"/>
        <v>1602.72</v>
      </c>
      <c r="R15" s="4">
        <f>+R13+R14</f>
        <v>5516</v>
      </c>
      <c r="S15" s="4">
        <f>+S13+S14</f>
        <v>5848</v>
      </c>
      <c r="T15" s="4">
        <f>+T13+T14</f>
        <v>6084</v>
      </c>
      <c r="U15" s="4">
        <f>+U13+U14</f>
        <v>6281.7199999999993</v>
      </c>
      <c r="V15" s="4">
        <f t="shared" ref="V15:AF15" si="9">+V13+V14</f>
        <v>6407.3544000000002</v>
      </c>
      <c r="W15" s="4">
        <f t="shared" si="9"/>
        <v>6535.5014879999999</v>
      </c>
      <c r="X15" s="4">
        <f t="shared" si="9"/>
        <v>6666.2115177599999</v>
      </c>
      <c r="Y15" s="4">
        <f t="shared" si="9"/>
        <v>6799.5357481152005</v>
      </c>
      <c r="Z15" s="4">
        <f t="shared" si="9"/>
        <v>6935.5264630775036</v>
      </c>
      <c r="AA15" s="4">
        <f t="shared" si="9"/>
        <v>7074.2369923390543</v>
      </c>
      <c r="AB15" s="4">
        <f t="shared" si="9"/>
        <v>7215.7217321858352</v>
      </c>
      <c r="AC15" s="4">
        <f t="shared" si="9"/>
        <v>7360.0361668295518</v>
      </c>
      <c r="AD15" s="4">
        <f t="shared" si="9"/>
        <v>7507.2368901661439</v>
      </c>
      <c r="AE15" s="4">
        <f t="shared" si="9"/>
        <v>7657.3816279694674</v>
      </c>
      <c r="AF15" s="4">
        <f t="shared" si="9"/>
        <v>7810.529260528856</v>
      </c>
    </row>
    <row r="16" spans="2:32" s="1" customFormat="1" x14ac:dyDescent="0.2">
      <c r="C16" s="9"/>
      <c r="G16" s="9">
        <f>+G15/C15-1</f>
        <v>0</v>
      </c>
      <c r="H16" s="9">
        <f>+H15/D15-1</f>
        <v>2.358189929891652E-2</v>
      </c>
      <c r="I16" s="9">
        <f>+I15/E15-1</f>
        <v>4.6573519627411741E-2</v>
      </c>
      <c r="J16" s="9">
        <f>+J15/F15-1</f>
        <v>6.0000000000000053E-2</v>
      </c>
      <c r="S16" s="3">
        <f>+S15/R15-1</f>
        <v>6.0188542422044966E-2</v>
      </c>
      <c r="T16" s="3">
        <f>+T15/S15-1</f>
        <v>4.035567715458277E-2</v>
      </c>
      <c r="U16" s="3">
        <f>+U15/T15-1</f>
        <v>3.2498356344510038E-2</v>
      </c>
      <c r="V16" s="3">
        <f t="shared" ref="V16:AF16" si="10">+V15/U15-1</f>
        <v>2.000000000000024E-2</v>
      </c>
      <c r="W16" s="3">
        <f t="shared" si="10"/>
        <v>2.0000000000000018E-2</v>
      </c>
      <c r="X16" s="3">
        <f t="shared" si="10"/>
        <v>2.0000000000000018E-2</v>
      </c>
      <c r="Y16" s="3">
        <f t="shared" si="10"/>
        <v>2.0000000000000018E-2</v>
      </c>
      <c r="Z16" s="3">
        <f t="shared" si="10"/>
        <v>1.9999999999999796E-2</v>
      </c>
      <c r="AA16" s="3">
        <f t="shared" si="10"/>
        <v>2.0000000000000018E-2</v>
      </c>
      <c r="AB16" s="3">
        <f t="shared" si="10"/>
        <v>2.0000000000000018E-2</v>
      </c>
      <c r="AC16" s="3">
        <f t="shared" si="10"/>
        <v>2.0000000000000018E-2</v>
      </c>
      <c r="AD16" s="3">
        <f t="shared" si="10"/>
        <v>2.000000000000024E-2</v>
      </c>
      <c r="AE16" s="3">
        <f t="shared" si="10"/>
        <v>2.0000000000000018E-2</v>
      </c>
      <c r="AF16" s="3">
        <f t="shared" si="10"/>
        <v>1.9999999999999796E-2</v>
      </c>
    </row>
    <row r="17" spans="2:32" s="1" customFormat="1" x14ac:dyDescent="0.2">
      <c r="I17" s="9"/>
    </row>
    <row r="18" spans="2:32" s="1" customFormat="1" x14ac:dyDescent="0.2">
      <c r="B18" s="1" t="s">
        <v>87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R18" s="1">
        <v>534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2:32" s="1" customFormat="1" x14ac:dyDescent="0.2">
      <c r="B19" s="1" t="s">
        <v>88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R19" s="1">
        <v>766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2:32" s="4" customFormat="1" ht="15.75" x14ac:dyDescent="0.25">
      <c r="B20" s="4" t="s">
        <v>14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R20" s="4">
        <f>+R18+R19</f>
        <v>1300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</row>
    <row r="21" spans="2:32" s="1" customFormat="1" x14ac:dyDescent="0.2"/>
    <row r="22" spans="2:32" s="1" customFormat="1" x14ac:dyDescent="0.2">
      <c r="B22" s="1" t="s">
        <v>89</v>
      </c>
      <c r="C22" s="1">
        <v>314</v>
      </c>
      <c r="D22" s="1">
        <v>324</v>
      </c>
      <c r="E22" s="1">
        <v>342</v>
      </c>
      <c r="F22" s="1">
        <f>+T22-E22-D22-C22</f>
        <v>370</v>
      </c>
      <c r="G22" s="1">
        <v>355</v>
      </c>
      <c r="H22" s="1">
        <v>388</v>
      </c>
      <c r="I22" s="1">
        <v>366</v>
      </c>
      <c r="J22" s="1">
        <f>+F22*1.06</f>
        <v>392.20000000000005</v>
      </c>
      <c r="R22" s="1">
        <v>1018</v>
      </c>
      <c r="S22" s="1">
        <v>1209</v>
      </c>
      <c r="T22" s="1">
        <v>1350</v>
      </c>
      <c r="U22" s="1">
        <f>+SUM(G22:J22)</f>
        <v>1501.2</v>
      </c>
      <c r="V22" s="1">
        <f>+U22*1.04</f>
        <v>1561.248</v>
      </c>
      <c r="W22" s="1">
        <f t="shared" ref="W22:AF22" si="11">+V22*1.04</f>
        <v>1623.6979200000001</v>
      </c>
      <c r="X22" s="1">
        <f t="shared" si="11"/>
        <v>1688.6458368000001</v>
      </c>
      <c r="Y22" s="1">
        <f t="shared" si="11"/>
        <v>1756.1916702720002</v>
      </c>
      <c r="Z22" s="1">
        <f t="shared" si="11"/>
        <v>1826.4393370828802</v>
      </c>
      <c r="AA22" s="1">
        <f t="shared" si="11"/>
        <v>1899.4969105661955</v>
      </c>
      <c r="AB22" s="1">
        <f t="shared" si="11"/>
        <v>1975.4767869888435</v>
      </c>
      <c r="AC22" s="1">
        <f t="shared" si="11"/>
        <v>2054.4958584683973</v>
      </c>
      <c r="AD22" s="1">
        <f t="shared" si="11"/>
        <v>2136.6756928071331</v>
      </c>
      <c r="AE22" s="1">
        <f t="shared" si="11"/>
        <v>2222.1427205194186</v>
      </c>
      <c r="AF22" s="1">
        <f t="shared" si="11"/>
        <v>2311.0284293401955</v>
      </c>
    </row>
    <row r="23" spans="2:32" s="1" customFormat="1" x14ac:dyDescent="0.2">
      <c r="B23" s="1" t="s">
        <v>90</v>
      </c>
      <c r="C23" s="1">
        <v>264</v>
      </c>
      <c r="D23" s="1">
        <v>297</v>
      </c>
      <c r="E23" s="1">
        <v>302</v>
      </c>
      <c r="F23" s="1">
        <f>+T23-E23-D23-C23</f>
        <v>320</v>
      </c>
      <c r="G23" s="1">
        <v>291</v>
      </c>
      <c r="H23" s="1">
        <v>329</v>
      </c>
      <c r="I23" s="1">
        <v>341</v>
      </c>
      <c r="J23" s="1">
        <f>+F23*1.06</f>
        <v>339.20000000000005</v>
      </c>
      <c r="R23" s="1">
        <v>823</v>
      </c>
      <c r="S23" s="1">
        <v>977</v>
      </c>
      <c r="T23" s="1">
        <v>1183</v>
      </c>
      <c r="U23" s="1">
        <f>+SUM(G23:J23)</f>
        <v>1300.2</v>
      </c>
      <c r="V23" s="1">
        <f>+U23*1.04</f>
        <v>1352.2080000000001</v>
      </c>
      <c r="W23" s="1">
        <f t="shared" ref="W23:AF23" si="12">+V23*1.04</f>
        <v>1406.2963200000002</v>
      </c>
      <c r="X23" s="1">
        <f t="shared" si="12"/>
        <v>1462.5481728000002</v>
      </c>
      <c r="Y23" s="1">
        <f t="shared" si="12"/>
        <v>1521.0500997120002</v>
      </c>
      <c r="Z23" s="1">
        <f t="shared" si="12"/>
        <v>1581.8921037004802</v>
      </c>
      <c r="AA23" s="1">
        <f t="shared" si="12"/>
        <v>1645.1677878484995</v>
      </c>
      <c r="AB23" s="1">
        <f t="shared" si="12"/>
        <v>1710.9744993624395</v>
      </c>
      <c r="AC23" s="1">
        <f t="shared" si="12"/>
        <v>1779.4134793369371</v>
      </c>
      <c r="AD23" s="1">
        <f t="shared" si="12"/>
        <v>1850.5900185104147</v>
      </c>
      <c r="AE23" s="1">
        <f t="shared" si="12"/>
        <v>1924.6136192508313</v>
      </c>
      <c r="AF23" s="1">
        <f t="shared" si="12"/>
        <v>2001.5981640208647</v>
      </c>
    </row>
    <row r="24" spans="2:32" s="1" customFormat="1" x14ac:dyDescent="0.2">
      <c r="B24" s="1" t="s">
        <v>91</v>
      </c>
      <c r="C24" s="1">
        <v>225</v>
      </c>
      <c r="D24" s="1">
        <v>226</v>
      </c>
      <c r="E24" s="1">
        <v>223</v>
      </c>
      <c r="F24" s="1">
        <f>+T24-E24-D24-C24</f>
        <v>207</v>
      </c>
      <c r="G24" s="1">
        <v>225</v>
      </c>
      <c r="H24" s="1">
        <v>237</v>
      </c>
      <c r="I24" s="1">
        <v>239</v>
      </c>
      <c r="J24" s="1">
        <f>+F24*1.06</f>
        <v>219.42000000000002</v>
      </c>
      <c r="R24" s="1">
        <v>807</v>
      </c>
      <c r="S24" s="1">
        <v>854</v>
      </c>
      <c r="T24" s="1">
        <v>881</v>
      </c>
      <c r="U24" s="1">
        <f>+SUM(G24:J24)</f>
        <v>920.42000000000007</v>
      </c>
      <c r="V24" s="1">
        <f>+U24*1.04</f>
        <v>957.23680000000013</v>
      </c>
      <c r="W24" s="1">
        <f t="shared" ref="W24:AF24" si="13">+V24*1.04</f>
        <v>995.52627200000018</v>
      </c>
      <c r="X24" s="1">
        <f t="shared" si="13"/>
        <v>1035.3473228800003</v>
      </c>
      <c r="Y24" s="1">
        <f t="shared" si="13"/>
        <v>1076.7612157952003</v>
      </c>
      <c r="Z24" s="1">
        <f t="shared" si="13"/>
        <v>1119.8316644270083</v>
      </c>
      <c r="AA24" s="1">
        <f t="shared" si="13"/>
        <v>1164.6249310040887</v>
      </c>
      <c r="AB24" s="1">
        <f t="shared" si="13"/>
        <v>1211.2099282442523</v>
      </c>
      <c r="AC24" s="1">
        <f t="shared" si="13"/>
        <v>1259.6583253740225</v>
      </c>
      <c r="AD24" s="1">
        <f t="shared" si="13"/>
        <v>1310.0446583889834</v>
      </c>
      <c r="AE24" s="1">
        <f t="shared" si="13"/>
        <v>1362.4464447245427</v>
      </c>
      <c r="AF24" s="1">
        <f t="shared" si="13"/>
        <v>1416.9443025135245</v>
      </c>
    </row>
    <row r="25" spans="2:32" s="4" customFormat="1" ht="15.75" x14ac:dyDescent="0.25">
      <c r="B25" s="4" t="s">
        <v>11</v>
      </c>
      <c r="C25" s="4">
        <f t="shared" ref="C25:J25" si="14">+C22+C23+C24</f>
        <v>803</v>
      </c>
      <c r="D25" s="4">
        <f t="shared" si="14"/>
        <v>847</v>
      </c>
      <c r="E25" s="4">
        <f t="shared" si="14"/>
        <v>867</v>
      </c>
      <c r="F25" s="4">
        <f t="shared" si="14"/>
        <v>897</v>
      </c>
      <c r="G25" s="4">
        <f t="shared" si="14"/>
        <v>871</v>
      </c>
      <c r="H25" s="4">
        <f t="shared" si="14"/>
        <v>954</v>
      </c>
      <c r="I25" s="4">
        <f t="shared" si="14"/>
        <v>946</v>
      </c>
      <c r="J25" s="4">
        <f t="shared" si="14"/>
        <v>950.82000000000016</v>
      </c>
      <c r="R25" s="4">
        <f>+R22+R23+R24</f>
        <v>2648</v>
      </c>
      <c r="S25" s="4">
        <f>+S22+S23+S24</f>
        <v>3040</v>
      </c>
      <c r="T25" s="4">
        <f>+T22+T23+T24</f>
        <v>3414</v>
      </c>
      <c r="U25" s="4">
        <f>+U22+U23+U24</f>
        <v>3721.82</v>
      </c>
      <c r="V25" s="4">
        <f>+V22+V23+V24</f>
        <v>3870.6928000000003</v>
      </c>
      <c r="W25" s="4">
        <f t="shared" ref="W25:AF25" si="15">+W22+W23+W24</f>
        <v>4025.5205120000001</v>
      </c>
      <c r="X25" s="4">
        <f t="shared" si="15"/>
        <v>4186.5413324800011</v>
      </c>
      <c r="Y25" s="4">
        <f t="shared" si="15"/>
        <v>4354.0029857792015</v>
      </c>
      <c r="Z25" s="4">
        <f t="shared" si="15"/>
        <v>4528.1631052103685</v>
      </c>
      <c r="AA25" s="4">
        <f t="shared" si="15"/>
        <v>4709.289629418784</v>
      </c>
      <c r="AB25" s="4">
        <f t="shared" si="15"/>
        <v>4897.6612145955351</v>
      </c>
      <c r="AC25" s="4">
        <f t="shared" si="15"/>
        <v>5093.5676631793567</v>
      </c>
      <c r="AD25" s="4">
        <f t="shared" si="15"/>
        <v>5297.3103697065308</v>
      </c>
      <c r="AE25" s="4">
        <f t="shared" si="15"/>
        <v>5509.2027844947925</v>
      </c>
      <c r="AF25" s="4">
        <f t="shared" si="15"/>
        <v>5729.5708958745845</v>
      </c>
    </row>
    <row r="26" spans="2:32" s="4" customFormat="1" ht="15.75" x14ac:dyDescent="0.25">
      <c r="C26" s="9"/>
      <c r="G26" s="9">
        <f>+G25/C25-1</f>
        <v>8.4682440846824303E-2</v>
      </c>
      <c r="H26" s="9">
        <f>+H25/D25-1</f>
        <v>0.12632821723730814</v>
      </c>
      <c r="I26" s="9">
        <f>+I25/E25-1</f>
        <v>9.1118800461361005E-2</v>
      </c>
      <c r="J26" s="9">
        <f>+J25/F25-1</f>
        <v>6.0000000000000275E-2</v>
      </c>
      <c r="S26" s="3">
        <f>+S25/R25-1</f>
        <v>0.14803625377643503</v>
      </c>
      <c r="T26" s="3">
        <f>+T25/S25-1</f>
        <v>0.12302631578947376</v>
      </c>
      <c r="U26" s="3">
        <f>+U25/T25-1</f>
        <v>9.0164030462800193E-2</v>
      </c>
      <c r="V26" s="3">
        <f t="shared" ref="V26:AF26" si="16">+V25/U25-1</f>
        <v>4.0000000000000036E-2</v>
      </c>
      <c r="W26" s="3">
        <f t="shared" si="16"/>
        <v>4.0000000000000036E-2</v>
      </c>
      <c r="X26" s="3">
        <f t="shared" si="16"/>
        <v>4.0000000000000258E-2</v>
      </c>
      <c r="Y26" s="3">
        <f t="shared" si="16"/>
        <v>4.0000000000000036E-2</v>
      </c>
      <c r="Z26" s="3">
        <f t="shared" si="16"/>
        <v>3.9999999999999813E-2</v>
      </c>
      <c r="AA26" s="3">
        <f t="shared" si="16"/>
        <v>4.0000000000000258E-2</v>
      </c>
      <c r="AB26" s="3">
        <f t="shared" si="16"/>
        <v>4.0000000000000036E-2</v>
      </c>
      <c r="AC26" s="3">
        <f t="shared" si="16"/>
        <v>4.0000000000000036E-2</v>
      </c>
      <c r="AD26" s="3">
        <f t="shared" si="16"/>
        <v>4.0000000000000036E-2</v>
      </c>
      <c r="AE26" s="3">
        <f t="shared" si="16"/>
        <v>4.0000000000000036E-2</v>
      </c>
      <c r="AF26" s="3">
        <f t="shared" si="16"/>
        <v>4.0000000000000036E-2</v>
      </c>
    </row>
    <row r="27" spans="2:32" s="4" customFormat="1" ht="15.75" x14ac:dyDescent="0.25">
      <c r="I27" s="9"/>
    </row>
    <row r="28" spans="2:32" s="1" customFormat="1" x14ac:dyDescent="0.2">
      <c r="B28" s="1" t="s">
        <v>92</v>
      </c>
      <c r="C28" s="1">
        <v>448</v>
      </c>
      <c r="D28" s="1">
        <v>459</v>
      </c>
      <c r="E28" s="1">
        <v>452</v>
      </c>
      <c r="F28" s="1">
        <f>+T28-E28-D28-C28</f>
        <v>425</v>
      </c>
      <c r="G28" s="1">
        <v>435</v>
      </c>
      <c r="H28" s="1">
        <v>454</v>
      </c>
      <c r="I28" s="1">
        <v>426</v>
      </c>
      <c r="J28" s="1">
        <f>+F28*1.05</f>
        <v>446.25</v>
      </c>
      <c r="R28" s="1">
        <v>1438</v>
      </c>
      <c r="S28" s="1">
        <v>1736</v>
      </c>
      <c r="T28" s="1">
        <v>1784</v>
      </c>
      <c r="U28" s="1">
        <f>+SUM(G28:J28)</f>
        <v>1761.25</v>
      </c>
      <c r="V28" s="1">
        <f>+U28*1.04</f>
        <v>1831.7</v>
      </c>
      <c r="W28" s="1">
        <f t="shared" ref="W28:AF28" si="17">+V28*1.04</f>
        <v>1904.9680000000001</v>
      </c>
      <c r="X28" s="1">
        <f t="shared" si="17"/>
        <v>1981.1667200000002</v>
      </c>
      <c r="Y28" s="1">
        <f t="shared" si="17"/>
        <v>2060.4133888000001</v>
      </c>
      <c r="Z28" s="1">
        <f t="shared" si="17"/>
        <v>2142.829924352</v>
      </c>
      <c r="AA28" s="1">
        <f t="shared" si="17"/>
        <v>2228.5431213260799</v>
      </c>
      <c r="AB28" s="1">
        <f t="shared" si="17"/>
        <v>2317.6848461791233</v>
      </c>
      <c r="AC28" s="1">
        <f t="shared" si="17"/>
        <v>2410.3922400262882</v>
      </c>
      <c r="AD28" s="1">
        <f t="shared" si="17"/>
        <v>2506.8079296273399</v>
      </c>
      <c r="AE28" s="1">
        <f t="shared" si="17"/>
        <v>2607.0802468124334</v>
      </c>
      <c r="AF28" s="1">
        <f t="shared" si="17"/>
        <v>2711.363456684931</v>
      </c>
    </row>
    <row r="29" spans="2:32" s="1" customFormat="1" x14ac:dyDescent="0.2">
      <c r="B29" s="1" t="s">
        <v>93</v>
      </c>
      <c r="C29" s="1">
        <v>291</v>
      </c>
      <c r="D29" s="1">
        <v>292</v>
      </c>
      <c r="E29" s="1">
        <v>301</v>
      </c>
      <c r="F29" s="1">
        <f>+T29-E29-D29-C29</f>
        <v>296</v>
      </c>
      <c r="G29" s="1">
        <v>290</v>
      </c>
      <c r="H29" s="1">
        <v>269</v>
      </c>
      <c r="I29" s="1">
        <v>270</v>
      </c>
      <c r="J29" s="1">
        <f>+F29*1.05</f>
        <v>310.8</v>
      </c>
      <c r="R29" s="1">
        <v>1141</v>
      </c>
      <c r="S29" s="1">
        <v>1094</v>
      </c>
      <c r="T29" s="1">
        <v>1180</v>
      </c>
      <c r="U29" s="1">
        <f>+SUM(G29:J29)</f>
        <v>1139.8</v>
      </c>
      <c r="V29" s="1">
        <f>+U29*1.04</f>
        <v>1185.3920000000001</v>
      </c>
      <c r="W29" s="1">
        <f t="shared" ref="W29:AF29" si="18">+V29*1.04</f>
        <v>1232.8076800000001</v>
      </c>
      <c r="X29" s="1">
        <f t="shared" si="18"/>
        <v>1282.1199872000002</v>
      </c>
      <c r="Y29" s="1">
        <f t="shared" si="18"/>
        <v>1333.4047866880003</v>
      </c>
      <c r="Z29" s="1">
        <f t="shared" si="18"/>
        <v>1386.7409781555205</v>
      </c>
      <c r="AA29" s="1">
        <f t="shared" si="18"/>
        <v>1442.2106172817414</v>
      </c>
      <c r="AB29" s="1">
        <f t="shared" si="18"/>
        <v>1499.8990419730112</v>
      </c>
      <c r="AC29" s="1">
        <f t="shared" si="18"/>
        <v>1559.8950036519318</v>
      </c>
      <c r="AD29" s="1">
        <f t="shared" si="18"/>
        <v>1622.2908037980092</v>
      </c>
      <c r="AE29" s="1">
        <f t="shared" si="18"/>
        <v>1687.1824359499296</v>
      </c>
      <c r="AF29" s="1">
        <f t="shared" si="18"/>
        <v>1754.669733387927</v>
      </c>
    </row>
    <row r="30" spans="2:32" s="4" customFormat="1" ht="15.75" x14ac:dyDescent="0.25">
      <c r="B30" s="4" t="s">
        <v>12</v>
      </c>
      <c r="C30" s="4">
        <v>739</v>
      </c>
      <c r="D30" s="4">
        <f t="shared" ref="D30:J30" si="19">+D28+D29</f>
        <v>751</v>
      </c>
      <c r="E30" s="4">
        <f t="shared" si="19"/>
        <v>753</v>
      </c>
      <c r="F30" s="4">
        <f t="shared" si="19"/>
        <v>721</v>
      </c>
      <c r="G30" s="4">
        <f t="shared" si="19"/>
        <v>725</v>
      </c>
      <c r="H30" s="4">
        <f t="shared" si="19"/>
        <v>723</v>
      </c>
      <c r="I30" s="4">
        <f t="shared" si="19"/>
        <v>696</v>
      </c>
      <c r="J30" s="4">
        <f t="shared" si="19"/>
        <v>757.05</v>
      </c>
      <c r="R30" s="4">
        <f>+R29+R28</f>
        <v>2579</v>
      </c>
      <c r="S30" s="4">
        <f>+S29+S28</f>
        <v>2830</v>
      </c>
      <c r="T30" s="4">
        <f>+T29+T28</f>
        <v>2964</v>
      </c>
      <c r="U30" s="4">
        <f>+U29+U28</f>
        <v>2901.05</v>
      </c>
      <c r="V30" s="4">
        <f>+V29+V28</f>
        <v>3017.0920000000001</v>
      </c>
      <c r="W30" s="4">
        <f t="shared" ref="W30:AF30" si="20">+W29+W28</f>
        <v>3137.7756800000002</v>
      </c>
      <c r="X30" s="4">
        <f t="shared" si="20"/>
        <v>3263.2867072000004</v>
      </c>
      <c r="Y30" s="4">
        <f t="shared" si="20"/>
        <v>3393.8181754880006</v>
      </c>
      <c r="Z30" s="4">
        <f t="shared" si="20"/>
        <v>3529.5709025075203</v>
      </c>
      <c r="AA30" s="4">
        <f t="shared" si="20"/>
        <v>3670.7537386078211</v>
      </c>
      <c r="AB30" s="4">
        <f t="shared" si="20"/>
        <v>3817.5838881521345</v>
      </c>
      <c r="AC30" s="4">
        <f t="shared" si="20"/>
        <v>3970.28724367822</v>
      </c>
      <c r="AD30" s="4">
        <f t="shared" si="20"/>
        <v>4129.0987334253496</v>
      </c>
      <c r="AE30" s="4">
        <f t="shared" si="20"/>
        <v>4294.2626827623626</v>
      </c>
      <c r="AF30" s="4">
        <f t="shared" si="20"/>
        <v>4466.0331900728579</v>
      </c>
    </row>
    <row r="31" spans="2:32" s="1" customFormat="1" ht="15.75" x14ac:dyDescent="0.25">
      <c r="B31" s="4"/>
      <c r="C31" s="9"/>
      <c r="G31" s="9">
        <f>+G30/C30-1</f>
        <v>-1.8944519621109657E-2</v>
      </c>
      <c r="H31" s="9">
        <f>+H30/D30-1</f>
        <v>-3.7283621837549963E-2</v>
      </c>
      <c r="I31" s="9">
        <f>+I30/E30-1</f>
        <v>-7.569721115537853E-2</v>
      </c>
      <c r="J31" s="9">
        <f>+J30/F30-1</f>
        <v>5.0000000000000044E-2</v>
      </c>
      <c r="S31" s="3">
        <f>+S30/R30-1</f>
        <v>9.7324544397053181E-2</v>
      </c>
      <c r="T31" s="3">
        <f>+T30/S30-1</f>
        <v>4.7349823321554796E-2</v>
      </c>
      <c r="U31" s="3">
        <f>+U30/T30-1</f>
        <v>-2.1238191632928394E-2</v>
      </c>
      <c r="V31" s="3">
        <f>+V30/U30-1</f>
        <v>4.0000000000000036E-2</v>
      </c>
      <c r="W31" s="3">
        <f t="shared" ref="W31:AF31" si="21">+W30/V30-1</f>
        <v>4.0000000000000036E-2</v>
      </c>
      <c r="X31" s="3">
        <f t="shared" si="21"/>
        <v>4.0000000000000036E-2</v>
      </c>
      <c r="Y31" s="3">
        <f t="shared" si="21"/>
        <v>4.0000000000000036E-2</v>
      </c>
      <c r="Z31" s="3">
        <f t="shared" si="21"/>
        <v>3.9999999999999813E-2</v>
      </c>
      <c r="AA31" s="3">
        <f t="shared" si="21"/>
        <v>4.0000000000000036E-2</v>
      </c>
      <c r="AB31" s="3">
        <f t="shared" si="21"/>
        <v>4.0000000000000036E-2</v>
      </c>
      <c r="AC31" s="3">
        <f t="shared" si="21"/>
        <v>4.0000000000000036E-2</v>
      </c>
      <c r="AD31" s="3">
        <f t="shared" si="21"/>
        <v>4.0000000000000258E-2</v>
      </c>
      <c r="AE31" s="3">
        <f t="shared" si="21"/>
        <v>3.9999999999999813E-2</v>
      </c>
      <c r="AF31" s="3">
        <f t="shared" si="21"/>
        <v>4.0000000000000258E-2</v>
      </c>
    </row>
    <row r="32" spans="2:32" s="1" customFormat="1" ht="15.75" x14ac:dyDescent="0.25">
      <c r="B32" s="4"/>
      <c r="I32" s="9"/>
    </row>
    <row r="33" spans="2:73" s="4" customFormat="1" ht="15.75" x14ac:dyDescent="0.25">
      <c r="B33" s="4" t="s">
        <v>13</v>
      </c>
      <c r="C33" s="4">
        <v>147</v>
      </c>
      <c r="D33" s="4">
        <v>161</v>
      </c>
      <c r="E33" s="4">
        <v>163</v>
      </c>
      <c r="F33" s="4">
        <f>+T33-E33-D33-C33</f>
        <v>165</v>
      </c>
      <c r="G33" s="4">
        <v>158</v>
      </c>
      <c r="H33" s="4">
        <v>189</v>
      </c>
      <c r="I33" s="4">
        <v>167</v>
      </c>
      <c r="J33" s="4">
        <f>+F33*1.07</f>
        <v>176.55</v>
      </c>
      <c r="R33" s="4">
        <v>343</v>
      </c>
      <c r="S33" s="4">
        <v>538</v>
      </c>
      <c r="T33" s="4">
        <v>636</v>
      </c>
      <c r="U33" s="4">
        <f>+SUM(G33:J33)</f>
        <v>690.55</v>
      </c>
      <c r="V33" s="4">
        <f>+U33*1.07</f>
        <v>738.88850000000002</v>
      </c>
      <c r="W33" s="4">
        <f t="shared" ref="W33:AF33" si="22">+V33*1.07</f>
        <v>790.61069500000008</v>
      </c>
      <c r="X33" s="4">
        <f t="shared" si="22"/>
        <v>845.95344365000017</v>
      </c>
      <c r="Y33" s="4">
        <f t="shared" si="22"/>
        <v>905.17018470550022</v>
      </c>
      <c r="Z33" s="4">
        <f t="shared" si="22"/>
        <v>968.5320976348853</v>
      </c>
      <c r="AA33" s="4">
        <f t="shared" si="22"/>
        <v>1036.3293444693272</v>
      </c>
      <c r="AB33" s="4">
        <f t="shared" si="22"/>
        <v>1108.8723985821803</v>
      </c>
      <c r="AC33" s="4">
        <f t="shared" si="22"/>
        <v>1186.4934664829329</v>
      </c>
      <c r="AD33" s="4">
        <f t="shared" si="22"/>
        <v>1269.5480091367383</v>
      </c>
      <c r="AE33" s="4">
        <f t="shared" si="22"/>
        <v>1358.4163697763101</v>
      </c>
      <c r="AF33" s="4">
        <f t="shared" si="22"/>
        <v>1453.505515660652</v>
      </c>
    </row>
    <row r="34" spans="2:73" s="1" customFormat="1" x14ac:dyDescent="0.2">
      <c r="C34" s="9"/>
      <c r="G34" s="9">
        <f>+G33/C33-1</f>
        <v>7.4829931972789199E-2</v>
      </c>
      <c r="H34" s="9">
        <f>+H33/D33-1</f>
        <v>0.17391304347826098</v>
      </c>
      <c r="I34" s="9">
        <f>+I33/E33-1</f>
        <v>2.4539877300613577E-2</v>
      </c>
      <c r="J34" s="9">
        <f>+J33/F33-1</f>
        <v>7.0000000000000062E-2</v>
      </c>
      <c r="S34" s="3">
        <f>+S33/R33-1</f>
        <v>0.56851311953352779</v>
      </c>
      <c r="T34" s="3">
        <f>+T33/S33-1</f>
        <v>0.18215613382899631</v>
      </c>
      <c r="U34" s="3">
        <f>+U33/T33-1</f>
        <v>8.5770440251572211E-2</v>
      </c>
      <c r="V34" s="3">
        <f>+V33/U33-1</f>
        <v>7.0000000000000062E-2</v>
      </c>
      <c r="W34" s="3">
        <f t="shared" ref="W34:AF34" si="23">+W33/V33-1</f>
        <v>7.0000000000000062E-2</v>
      </c>
      <c r="X34" s="3">
        <f t="shared" si="23"/>
        <v>7.0000000000000062E-2</v>
      </c>
      <c r="Y34" s="3">
        <f t="shared" si="23"/>
        <v>7.0000000000000062E-2</v>
      </c>
      <c r="Z34" s="3">
        <f t="shared" si="23"/>
        <v>7.0000000000000062E-2</v>
      </c>
      <c r="AA34" s="3">
        <f t="shared" si="23"/>
        <v>6.999999999999984E-2</v>
      </c>
      <c r="AB34" s="3">
        <f t="shared" si="23"/>
        <v>7.0000000000000062E-2</v>
      </c>
      <c r="AC34" s="3">
        <f t="shared" si="23"/>
        <v>7.0000000000000062E-2</v>
      </c>
      <c r="AD34" s="3">
        <f t="shared" si="23"/>
        <v>7.0000000000000062E-2</v>
      </c>
      <c r="AE34" s="3">
        <f t="shared" si="23"/>
        <v>7.0000000000000062E-2</v>
      </c>
      <c r="AF34" s="3">
        <f t="shared" si="23"/>
        <v>7.0000000000000062E-2</v>
      </c>
    </row>
    <row r="35" spans="2:73" s="1" customFormat="1" x14ac:dyDescent="0.2">
      <c r="I35" s="9"/>
    </row>
    <row r="36" spans="2:73" s="1" customFormat="1" x14ac:dyDescent="0.2">
      <c r="B36" s="1" t="s">
        <v>38</v>
      </c>
      <c r="C36" s="1">
        <f t="shared" ref="C36:J36" si="24">+C33+C30+C25+C20+C15+C10</f>
        <v>5483</v>
      </c>
      <c r="D36" s="1">
        <f t="shared" si="24"/>
        <v>5866</v>
      </c>
      <c r="E36" s="1">
        <f t="shared" si="24"/>
        <v>5880</v>
      </c>
      <c r="F36" s="1">
        <f t="shared" si="24"/>
        <v>5967</v>
      </c>
      <c r="G36" s="1">
        <f t="shared" si="24"/>
        <v>5944</v>
      </c>
      <c r="H36" s="1">
        <f t="shared" si="24"/>
        <v>6349</v>
      </c>
      <c r="I36" s="1">
        <f t="shared" si="24"/>
        <v>6345</v>
      </c>
      <c r="J36" s="1">
        <f t="shared" si="24"/>
        <v>6533.3</v>
      </c>
      <c r="R36" s="1">
        <f>+R10+R15+R20+R25+R30+R33</f>
        <v>19628</v>
      </c>
      <c r="S36" s="1">
        <f>+S33+S30+S25+S15+S10</f>
        <v>20753</v>
      </c>
      <c r="T36" s="1">
        <f>+T33+T30+T25+T15+T10</f>
        <v>23196</v>
      </c>
      <c r="U36" s="1">
        <f>+SUM(G36:J36)</f>
        <v>25171.3</v>
      </c>
      <c r="V36" s="1">
        <f>+V33+V30+V25+V15+V10</f>
        <v>26420.518900000003</v>
      </c>
      <c r="W36" s="1">
        <f t="shared" ref="W36:AF36" si="25">+W33+W30+W25+W15+W10</f>
        <v>27742.953958999999</v>
      </c>
      <c r="X36" s="1">
        <f t="shared" si="25"/>
        <v>29143.286775970002</v>
      </c>
      <c r="Y36" s="1">
        <f t="shared" si="25"/>
        <v>30626.511433209504</v>
      </c>
      <c r="Z36" s="1">
        <f t="shared" si="25"/>
        <v>32197.955811290391</v>
      </c>
      <c r="AA36" s="1">
        <f t="shared" si="25"/>
        <v>33863.304374695312</v>
      </c>
      <c r="AB36" s="1">
        <f t="shared" si="25"/>
        <v>35628.622530266235</v>
      </c>
      <c r="AC36" s="1">
        <f t="shared" si="25"/>
        <v>37500.382667693149</v>
      </c>
      <c r="AD36" s="1">
        <f t="shared" si="25"/>
        <v>39485.491998884463</v>
      </c>
      <c r="AE36" s="1">
        <f t="shared" si="25"/>
        <v>41591.322321204119</v>
      </c>
      <c r="AF36" s="1">
        <f t="shared" si="25"/>
        <v>43825.741838272224</v>
      </c>
    </row>
    <row r="37" spans="2:73" s="1" customFormat="1" x14ac:dyDescent="0.2">
      <c r="B37" s="1" t="s">
        <v>39</v>
      </c>
      <c r="C37" s="1">
        <v>3599</v>
      </c>
      <c r="D37" s="1">
        <v>3747</v>
      </c>
      <c r="E37" s="1">
        <v>3684</v>
      </c>
      <c r="F37" s="1">
        <f>+T37-E37-D37-C37</f>
        <v>3732</v>
      </c>
      <c r="G37" s="1">
        <v>3725</v>
      </c>
      <c r="H37" s="1">
        <v>3940</v>
      </c>
      <c r="I37" s="1">
        <v>3899</v>
      </c>
      <c r="J37" s="1">
        <f>+J36*0.63</f>
        <v>4115.9790000000003</v>
      </c>
      <c r="R37" s="1">
        <v>13293</v>
      </c>
      <c r="S37" s="1">
        <v>13865</v>
      </c>
      <c r="T37" s="1">
        <v>14762</v>
      </c>
      <c r="U37" s="1">
        <f>+SUM(G37:J37)</f>
        <v>15679.978999999999</v>
      </c>
      <c r="V37" s="1">
        <f>+V36*0.63</f>
        <v>16644.926907000001</v>
      </c>
      <c r="W37" s="1">
        <f t="shared" ref="W37:AF37" si="26">+W36*0.63</f>
        <v>17478.060994169999</v>
      </c>
      <c r="X37" s="1">
        <f t="shared" si="26"/>
        <v>18360.2706688611</v>
      </c>
      <c r="Y37" s="1">
        <f t="shared" si="26"/>
        <v>19294.702202921988</v>
      </c>
      <c r="Z37" s="1">
        <f t="shared" si="26"/>
        <v>20284.712161112948</v>
      </c>
      <c r="AA37" s="1">
        <f t="shared" si="26"/>
        <v>21333.881756058046</v>
      </c>
      <c r="AB37" s="1">
        <f t="shared" si="26"/>
        <v>22446.032194067728</v>
      </c>
      <c r="AC37" s="1">
        <f t="shared" si="26"/>
        <v>23625.241080646683</v>
      </c>
      <c r="AD37" s="1">
        <f t="shared" si="26"/>
        <v>24875.859959297213</v>
      </c>
      <c r="AE37" s="1">
        <f t="shared" si="26"/>
        <v>26202.533062358594</v>
      </c>
      <c r="AF37" s="1">
        <f t="shared" si="26"/>
        <v>27610.217358111502</v>
      </c>
    </row>
    <row r="38" spans="2:73" s="1" customFormat="1" x14ac:dyDescent="0.2">
      <c r="B38" s="1" t="s">
        <v>40</v>
      </c>
      <c r="C38" s="1">
        <f t="shared" ref="C38:J38" si="27">+C36-C37</f>
        <v>1884</v>
      </c>
      <c r="D38" s="1">
        <f t="shared" si="27"/>
        <v>2119</v>
      </c>
      <c r="E38" s="1">
        <f t="shared" si="27"/>
        <v>2196</v>
      </c>
      <c r="F38" s="1">
        <f t="shared" si="27"/>
        <v>2235</v>
      </c>
      <c r="G38" s="1">
        <f t="shared" si="27"/>
        <v>2219</v>
      </c>
      <c r="H38" s="1">
        <f t="shared" si="27"/>
        <v>2409</v>
      </c>
      <c r="I38" s="1">
        <f t="shared" si="27"/>
        <v>2446</v>
      </c>
      <c r="J38" s="1">
        <f t="shared" si="27"/>
        <v>2417.3209999999999</v>
      </c>
      <c r="R38" s="1">
        <f>+R36-R37</f>
        <v>6335</v>
      </c>
      <c r="S38" s="1">
        <f>+S36-S37</f>
        <v>6888</v>
      </c>
      <c r="T38" s="1">
        <f>+T36-T37</f>
        <v>8434</v>
      </c>
      <c r="U38" s="1">
        <f>+U36-U37</f>
        <v>9491.3209999999999</v>
      </c>
      <c r="V38" s="1">
        <f t="shared" ref="V38:AF38" si="28">+V36-V37</f>
        <v>9775.5919930000018</v>
      </c>
      <c r="W38" s="1">
        <f t="shared" si="28"/>
        <v>10264.89296483</v>
      </c>
      <c r="X38" s="1">
        <f t="shared" si="28"/>
        <v>10783.016107108902</v>
      </c>
      <c r="Y38" s="1">
        <f t="shared" si="28"/>
        <v>11331.809230287516</v>
      </c>
      <c r="Z38" s="1">
        <f t="shared" si="28"/>
        <v>11913.243650177443</v>
      </c>
      <c r="AA38" s="1">
        <f t="shared" si="28"/>
        <v>12529.422618637265</v>
      </c>
      <c r="AB38" s="1">
        <f t="shared" si="28"/>
        <v>13182.590336198507</v>
      </c>
      <c r="AC38" s="1">
        <f t="shared" si="28"/>
        <v>13875.141587046466</v>
      </c>
      <c r="AD38" s="1">
        <f t="shared" si="28"/>
        <v>14609.63203958725</v>
      </c>
      <c r="AE38" s="1">
        <f t="shared" si="28"/>
        <v>15388.789258845525</v>
      </c>
      <c r="AF38" s="1">
        <f t="shared" si="28"/>
        <v>16215.524480160722</v>
      </c>
      <c r="AH38" s="1" t="s">
        <v>99</v>
      </c>
      <c r="AI38" s="3">
        <v>0.01</v>
      </c>
    </row>
    <row r="39" spans="2:73" s="1" customFormat="1" x14ac:dyDescent="0.2">
      <c r="B39" s="1" t="s">
        <v>42</v>
      </c>
      <c r="C39" s="1">
        <v>904</v>
      </c>
      <c r="D39" s="1">
        <v>986</v>
      </c>
      <c r="E39" s="1">
        <v>949</v>
      </c>
      <c r="F39" s="1">
        <f>+T39-E39-D39-C39</f>
        <v>956</v>
      </c>
      <c r="G39" s="1">
        <v>1025</v>
      </c>
      <c r="H39" s="1">
        <v>1021</v>
      </c>
      <c r="I39" s="1">
        <v>1028</v>
      </c>
      <c r="J39" s="1">
        <f>+I39+15</f>
        <v>1043</v>
      </c>
      <c r="R39" s="1">
        <v>3256</v>
      </c>
      <c r="S39" s="1">
        <v>3227</v>
      </c>
      <c r="T39" s="1">
        <v>3795</v>
      </c>
      <c r="U39" s="1">
        <f>+SUM(G39:J39)</f>
        <v>4117</v>
      </c>
      <c r="V39" s="1">
        <f>+V36*0.16</f>
        <v>4227.2830240000003</v>
      </c>
      <c r="W39" s="1">
        <f t="shared" ref="W39:AF39" si="29">+W36*0.16</f>
        <v>4438.8726334399998</v>
      </c>
      <c r="X39" s="1">
        <f t="shared" si="29"/>
        <v>4662.9258841552</v>
      </c>
      <c r="Y39" s="1">
        <f t="shared" si="29"/>
        <v>4900.2418293135206</v>
      </c>
      <c r="Z39" s="1">
        <f t="shared" si="29"/>
        <v>5151.6729298064629</v>
      </c>
      <c r="AA39" s="1">
        <f t="shared" si="29"/>
        <v>5418.1286999512504</v>
      </c>
      <c r="AB39" s="1">
        <f t="shared" si="29"/>
        <v>5700.5796048425973</v>
      </c>
      <c r="AC39" s="1">
        <f t="shared" si="29"/>
        <v>6000.0612268309042</v>
      </c>
      <c r="AD39" s="1">
        <f t="shared" si="29"/>
        <v>6317.6787198215143</v>
      </c>
      <c r="AE39" s="1">
        <f t="shared" si="29"/>
        <v>6654.6115713926592</v>
      </c>
      <c r="AF39" s="1">
        <f t="shared" si="29"/>
        <v>7012.1186941235565</v>
      </c>
      <c r="AH39" s="1" t="s">
        <v>100</v>
      </c>
      <c r="AI39" s="3">
        <v>0.08</v>
      </c>
    </row>
    <row r="40" spans="2:73" s="1" customFormat="1" x14ac:dyDescent="0.2">
      <c r="B40" s="1" t="s">
        <v>41</v>
      </c>
      <c r="C40" s="1">
        <v>179</v>
      </c>
      <c r="D40" s="1">
        <v>187</v>
      </c>
      <c r="E40" s="1">
        <v>187</v>
      </c>
      <c r="F40" s="1">
        <f>+T40-E40-D40-C40</f>
        <v>201</v>
      </c>
      <c r="G40" s="1">
        <v>189</v>
      </c>
      <c r="H40" s="1">
        <v>196</v>
      </c>
      <c r="I40" s="1">
        <v>207</v>
      </c>
      <c r="J40" s="1">
        <f>+I40+20</f>
        <v>227</v>
      </c>
      <c r="R40" s="1">
        <v>616</v>
      </c>
      <c r="S40" s="1">
        <v>665</v>
      </c>
      <c r="T40" s="1">
        <v>754</v>
      </c>
      <c r="U40" s="1">
        <f>+SUM(G40:J40)</f>
        <v>819</v>
      </c>
      <c r="V40" s="1">
        <f>+V36*0.03</f>
        <v>792.61556700000006</v>
      </c>
      <c r="W40" s="1">
        <f t="shared" ref="W40:AF40" si="30">+W36*0.03</f>
        <v>832.28861876999997</v>
      </c>
      <c r="X40" s="1">
        <f t="shared" si="30"/>
        <v>874.29860327910001</v>
      </c>
      <c r="Y40" s="1">
        <f t="shared" si="30"/>
        <v>918.79534299628506</v>
      </c>
      <c r="Z40" s="1">
        <f t="shared" si="30"/>
        <v>965.93867433871173</v>
      </c>
      <c r="AA40" s="1">
        <f t="shared" si="30"/>
        <v>1015.8991312408593</v>
      </c>
      <c r="AB40" s="1">
        <f t="shared" si="30"/>
        <v>1068.8586759079869</v>
      </c>
      <c r="AC40" s="1">
        <f t="shared" si="30"/>
        <v>1125.0114800307945</v>
      </c>
      <c r="AD40" s="1">
        <f t="shared" si="30"/>
        <v>1184.5647599665338</v>
      </c>
      <c r="AE40" s="1">
        <f t="shared" si="30"/>
        <v>1247.7396696361236</v>
      </c>
      <c r="AF40" s="1">
        <f t="shared" si="30"/>
        <v>1314.7722551481668</v>
      </c>
      <c r="AH40" s="1" t="s">
        <v>101</v>
      </c>
      <c r="AI40" s="1">
        <f>+NPV(AI39,U47:BU47)</f>
        <v>72741.646740443422</v>
      </c>
    </row>
    <row r="41" spans="2:73" s="1" customFormat="1" x14ac:dyDescent="0.2">
      <c r="B41" s="1" t="s">
        <v>45</v>
      </c>
      <c r="C41" s="1">
        <f t="shared" ref="C41:J41" si="31">+C39+C40</f>
        <v>1083</v>
      </c>
      <c r="D41" s="1">
        <f t="shared" si="31"/>
        <v>1173</v>
      </c>
      <c r="E41" s="1">
        <f t="shared" si="31"/>
        <v>1136</v>
      </c>
      <c r="F41" s="1">
        <f t="shared" si="31"/>
        <v>1157</v>
      </c>
      <c r="G41" s="1">
        <f t="shared" si="31"/>
        <v>1214</v>
      </c>
      <c r="H41" s="1">
        <f t="shared" si="31"/>
        <v>1217</v>
      </c>
      <c r="I41" s="1">
        <f t="shared" si="31"/>
        <v>1235</v>
      </c>
      <c r="J41" s="1">
        <f t="shared" si="31"/>
        <v>1270</v>
      </c>
      <c r="R41" s="1">
        <f>+R39+R40</f>
        <v>3872</v>
      </c>
      <c r="S41" s="1">
        <f>+S39+S40</f>
        <v>3892</v>
      </c>
      <c r="T41" s="1">
        <f>+T39+T40</f>
        <v>4549</v>
      </c>
      <c r="U41" s="1">
        <f>+U39+U40</f>
        <v>4936</v>
      </c>
      <c r="V41" s="1">
        <f t="shared" ref="V41:AF41" si="32">+V39+V40</f>
        <v>5019.8985910000001</v>
      </c>
      <c r="W41" s="1">
        <f t="shared" si="32"/>
        <v>5271.1612522099995</v>
      </c>
      <c r="X41" s="1">
        <f t="shared" si="32"/>
        <v>5537.2244874342996</v>
      </c>
      <c r="Y41" s="1">
        <f t="shared" si="32"/>
        <v>5819.037172309806</v>
      </c>
      <c r="Z41" s="1">
        <f t="shared" si="32"/>
        <v>6117.6116041451751</v>
      </c>
      <c r="AA41" s="1">
        <f t="shared" si="32"/>
        <v>6434.0278311921102</v>
      </c>
      <c r="AB41" s="1">
        <f t="shared" si="32"/>
        <v>6769.4382807505845</v>
      </c>
      <c r="AC41" s="1">
        <f t="shared" si="32"/>
        <v>7125.0727068616989</v>
      </c>
      <c r="AD41" s="1">
        <f t="shared" si="32"/>
        <v>7502.2434797880478</v>
      </c>
      <c r="AE41" s="1">
        <f t="shared" si="32"/>
        <v>7902.3512410287831</v>
      </c>
      <c r="AF41" s="1">
        <f t="shared" si="32"/>
        <v>8326.890949271723</v>
      </c>
      <c r="AH41" s="1" t="s">
        <v>102</v>
      </c>
      <c r="AI41" s="1">
        <f>+AI40/main!H6</f>
        <v>184.06287130679004</v>
      </c>
    </row>
    <row r="42" spans="2:73" s="1" customFormat="1" x14ac:dyDescent="0.2">
      <c r="B42" s="1" t="s">
        <v>44</v>
      </c>
      <c r="C42" s="1">
        <f t="shared" ref="C42:J42" si="33">+C38-C41</f>
        <v>801</v>
      </c>
      <c r="D42" s="1">
        <f t="shared" si="33"/>
        <v>946</v>
      </c>
      <c r="E42" s="1">
        <f t="shared" si="33"/>
        <v>1060</v>
      </c>
      <c r="F42" s="1">
        <f t="shared" si="33"/>
        <v>1078</v>
      </c>
      <c r="G42" s="1">
        <f t="shared" si="33"/>
        <v>1005</v>
      </c>
      <c r="H42" s="1">
        <f t="shared" si="33"/>
        <v>1192</v>
      </c>
      <c r="I42" s="1">
        <f t="shared" si="33"/>
        <v>1211</v>
      </c>
      <c r="J42" s="1">
        <f t="shared" si="33"/>
        <v>1147.3209999999999</v>
      </c>
      <c r="R42" s="1">
        <f>+R38-R41</f>
        <v>2463</v>
      </c>
      <c r="S42" s="1">
        <f>+S38-S41</f>
        <v>2996</v>
      </c>
      <c r="T42" s="1">
        <f>+T38-T41</f>
        <v>3885</v>
      </c>
      <c r="U42" s="1">
        <f>+U38-U41</f>
        <v>4555.3209999999999</v>
      </c>
      <c r="V42" s="1">
        <f t="shared" ref="V42:AF42" si="34">+V38-V41</f>
        <v>4755.6934020000017</v>
      </c>
      <c r="W42" s="1">
        <f t="shared" si="34"/>
        <v>4993.7317126200005</v>
      </c>
      <c r="X42" s="1">
        <f t="shared" si="34"/>
        <v>5245.7916196746028</v>
      </c>
      <c r="Y42" s="1">
        <f t="shared" si="34"/>
        <v>5512.7720579777097</v>
      </c>
      <c r="Z42" s="1">
        <f t="shared" si="34"/>
        <v>5795.6320460322677</v>
      </c>
      <c r="AA42" s="1">
        <f t="shared" si="34"/>
        <v>6095.3947874451551</v>
      </c>
      <c r="AB42" s="1">
        <f t="shared" si="34"/>
        <v>6413.152055447923</v>
      </c>
      <c r="AC42" s="1">
        <f t="shared" si="34"/>
        <v>6750.0688801847673</v>
      </c>
      <c r="AD42" s="1">
        <f t="shared" si="34"/>
        <v>7107.3885597992021</v>
      </c>
      <c r="AE42" s="1">
        <f t="shared" si="34"/>
        <v>7486.4380178167421</v>
      </c>
      <c r="AF42" s="1">
        <f t="shared" si="34"/>
        <v>7888.6335308889993</v>
      </c>
      <c r="AH42" s="1" t="s">
        <v>103</v>
      </c>
      <c r="AI42" s="1">
        <f>+main!H5</f>
        <v>316</v>
      </c>
    </row>
    <row r="43" spans="2:73" s="1" customFormat="1" x14ac:dyDescent="0.2">
      <c r="B43" s="1" t="s">
        <v>43</v>
      </c>
      <c r="C43" s="1">
        <v>50</v>
      </c>
      <c r="D43" s="1">
        <v>42</v>
      </c>
      <c r="E43" s="1">
        <v>33</v>
      </c>
      <c r="F43" s="1">
        <f>+T43-E43-D43-C43</f>
        <v>26</v>
      </c>
      <c r="G43" s="1">
        <v>30</v>
      </c>
      <c r="H43" s="1">
        <v>29</v>
      </c>
      <c r="I43" s="1">
        <v>29</v>
      </c>
      <c r="J43" s="1">
        <v>31</v>
      </c>
      <c r="R43" s="1">
        <v>144</v>
      </c>
      <c r="S43" s="1">
        <v>144</v>
      </c>
      <c r="T43" s="1">
        <v>151</v>
      </c>
      <c r="U43" s="1">
        <f>+SUM(G43:J43)</f>
        <v>119</v>
      </c>
      <c r="V43" s="1">
        <f>+U43*1.02</f>
        <v>121.38</v>
      </c>
      <c r="W43" s="1">
        <f t="shared" ref="W43:AF43" si="35">+V43*1.02</f>
        <v>123.80759999999999</v>
      </c>
      <c r="X43" s="1">
        <f t="shared" si="35"/>
        <v>126.28375199999999</v>
      </c>
      <c r="Y43" s="1">
        <f t="shared" si="35"/>
        <v>128.80942704</v>
      </c>
      <c r="Z43" s="1">
        <f t="shared" si="35"/>
        <v>131.38561558079999</v>
      </c>
      <c r="AA43" s="1">
        <f t="shared" si="35"/>
        <v>134.01332789241599</v>
      </c>
      <c r="AB43" s="1">
        <f t="shared" si="35"/>
        <v>136.6935944502643</v>
      </c>
      <c r="AC43" s="1">
        <f t="shared" si="35"/>
        <v>139.42746633926959</v>
      </c>
      <c r="AD43" s="1">
        <f t="shared" si="35"/>
        <v>142.21601566605497</v>
      </c>
      <c r="AE43" s="1">
        <f t="shared" si="35"/>
        <v>145.06033597937608</v>
      </c>
      <c r="AF43" s="1">
        <f t="shared" si="35"/>
        <v>147.9615426989636</v>
      </c>
      <c r="AH43" s="1" t="s">
        <v>104</v>
      </c>
      <c r="AI43" s="3">
        <f>+AI41/AI42-1</f>
        <v>-0.41752255915572767</v>
      </c>
    </row>
    <row r="44" spans="2:73" s="1" customFormat="1" x14ac:dyDescent="0.2">
      <c r="B44" s="1" t="s">
        <v>36</v>
      </c>
      <c r="C44" s="1">
        <v>-11</v>
      </c>
      <c r="D44" s="1">
        <v>7</v>
      </c>
      <c r="E44" s="1">
        <v>-52</v>
      </c>
      <c r="F44" s="1">
        <f>+T44-E44-D44-C44</f>
        <v>-37</v>
      </c>
      <c r="G44" s="1">
        <v>-26</v>
      </c>
      <c r="H44" s="1">
        <v>-32</v>
      </c>
      <c r="I44" s="1">
        <v>-22</v>
      </c>
      <c r="J44" s="1">
        <v>-25</v>
      </c>
      <c r="R44" s="1">
        <f>-617+40</f>
        <v>-577</v>
      </c>
      <c r="S44" s="1">
        <f>-24-36</f>
        <v>-60</v>
      </c>
      <c r="T44" s="1">
        <v>-93</v>
      </c>
      <c r="U44" s="1">
        <f>+SUM(G44:J44)</f>
        <v>-105</v>
      </c>
      <c r="V44" s="1">
        <f>+U44*1.02</f>
        <v>-107.10000000000001</v>
      </c>
      <c r="W44" s="1">
        <f t="shared" ref="W44:AF44" si="36">+V44*1.02</f>
        <v>-109.242</v>
      </c>
      <c r="X44" s="1">
        <f t="shared" si="36"/>
        <v>-111.42684000000001</v>
      </c>
      <c r="Y44" s="1">
        <f t="shared" si="36"/>
        <v>-113.65537680000001</v>
      </c>
      <c r="Z44" s="1">
        <f t="shared" si="36"/>
        <v>-115.92848433600001</v>
      </c>
      <c r="AA44" s="1">
        <f t="shared" si="36"/>
        <v>-118.24705402272001</v>
      </c>
      <c r="AB44" s="1">
        <f t="shared" si="36"/>
        <v>-120.61199510317441</v>
      </c>
      <c r="AC44" s="1">
        <f t="shared" si="36"/>
        <v>-123.0242350052379</v>
      </c>
      <c r="AD44" s="1">
        <f t="shared" si="36"/>
        <v>-125.48471970534266</v>
      </c>
      <c r="AE44" s="1">
        <f t="shared" si="36"/>
        <v>-127.99441409944951</v>
      </c>
      <c r="AF44" s="1">
        <f t="shared" si="36"/>
        <v>-130.5543023814385</v>
      </c>
    </row>
    <row r="45" spans="2:73" s="1" customFormat="1" x14ac:dyDescent="0.2">
      <c r="B45" s="1" t="s">
        <v>46</v>
      </c>
      <c r="C45" s="1">
        <f t="shared" ref="C45:J45" si="37">+C42-C43-C44</f>
        <v>762</v>
      </c>
      <c r="D45" s="1">
        <f t="shared" si="37"/>
        <v>897</v>
      </c>
      <c r="E45" s="1">
        <f t="shared" si="37"/>
        <v>1079</v>
      </c>
      <c r="F45" s="1">
        <f t="shared" si="37"/>
        <v>1089</v>
      </c>
      <c r="G45" s="1">
        <f t="shared" si="37"/>
        <v>1001</v>
      </c>
      <c r="H45" s="1">
        <f t="shared" si="37"/>
        <v>1195</v>
      </c>
      <c r="I45" s="1">
        <f t="shared" si="37"/>
        <v>1204</v>
      </c>
      <c r="J45" s="1">
        <f t="shared" si="37"/>
        <v>1141.3209999999999</v>
      </c>
      <c r="R45" s="1">
        <f>+R42-R43-R44</f>
        <v>2896</v>
      </c>
      <c r="S45" s="1">
        <f>+S42-S43-S44</f>
        <v>2912</v>
      </c>
      <c r="T45" s="1">
        <f>+T42-T43-T44</f>
        <v>3827</v>
      </c>
      <c r="U45" s="1">
        <f>+U42-U43-U44</f>
        <v>4541.3209999999999</v>
      </c>
      <c r="V45" s="1">
        <f>+V42-V43-V44</f>
        <v>4741.413402000002</v>
      </c>
      <c r="W45" s="1">
        <f t="shared" ref="W45:AF45" si="38">+W42-W43-W44</f>
        <v>4979.1661126200006</v>
      </c>
      <c r="X45" s="1">
        <f t="shared" si="38"/>
        <v>5230.9347076746026</v>
      </c>
      <c r="Y45" s="1">
        <f t="shared" si="38"/>
        <v>5497.6180077377103</v>
      </c>
      <c r="Z45" s="1">
        <f t="shared" si="38"/>
        <v>5780.174914787468</v>
      </c>
      <c r="AA45" s="1">
        <f t="shared" si="38"/>
        <v>6079.6285135754588</v>
      </c>
      <c r="AB45" s="1">
        <f t="shared" si="38"/>
        <v>6397.0704561008333</v>
      </c>
      <c r="AC45" s="1">
        <f t="shared" si="38"/>
        <v>6733.6656488507351</v>
      </c>
      <c r="AD45" s="1">
        <f t="shared" si="38"/>
        <v>7090.6572638384896</v>
      </c>
      <c r="AE45" s="1">
        <f t="shared" si="38"/>
        <v>7469.3720959368156</v>
      </c>
      <c r="AF45" s="1">
        <f t="shared" si="38"/>
        <v>7871.2262905714742</v>
      </c>
    </row>
    <row r="46" spans="2:73" s="1" customFormat="1" x14ac:dyDescent="0.2">
      <c r="B46" s="1" t="s">
        <v>47</v>
      </c>
      <c r="C46" s="1">
        <v>123</v>
      </c>
      <c r="D46" s="1">
        <v>153</v>
      </c>
      <c r="E46" s="1">
        <v>187</v>
      </c>
      <c r="F46" s="1">
        <f>+T46-E46-D46-C46</f>
        <v>141</v>
      </c>
      <c r="G46" s="1">
        <v>179</v>
      </c>
      <c r="H46" s="1">
        <v>201</v>
      </c>
      <c r="I46" s="1">
        <v>193</v>
      </c>
      <c r="J46" s="1">
        <f>+J45*0.15</f>
        <v>171.19814999999997</v>
      </c>
      <c r="R46" s="1">
        <v>750</v>
      </c>
      <c r="S46" s="1">
        <v>445</v>
      </c>
      <c r="T46" s="1">
        <v>604</v>
      </c>
      <c r="U46" s="1">
        <f>+SUM(G46:J46)</f>
        <v>744.19814999999994</v>
      </c>
      <c r="V46" s="1">
        <f>+V45*0.15</f>
        <v>711.21201030000032</v>
      </c>
      <c r="W46" s="1">
        <f t="shared" ref="W46:AF46" si="39">+W45*0.15</f>
        <v>746.87491689300009</v>
      </c>
      <c r="X46" s="1">
        <f t="shared" si="39"/>
        <v>784.64020615119034</v>
      </c>
      <c r="Y46" s="1">
        <f t="shared" si="39"/>
        <v>824.64270116065654</v>
      </c>
      <c r="Z46" s="1">
        <f t="shared" si="39"/>
        <v>867.02623721812017</v>
      </c>
      <c r="AA46" s="1">
        <f t="shared" si="39"/>
        <v>911.94427703631879</v>
      </c>
      <c r="AB46" s="1">
        <f t="shared" si="39"/>
        <v>959.56056841512498</v>
      </c>
      <c r="AC46" s="1">
        <f t="shared" si="39"/>
        <v>1010.0498473276102</v>
      </c>
      <c r="AD46" s="1">
        <f t="shared" si="39"/>
        <v>1063.5985895757733</v>
      </c>
      <c r="AE46" s="1">
        <f t="shared" si="39"/>
        <v>1120.4058143905222</v>
      </c>
      <c r="AF46" s="1">
        <f t="shared" si="39"/>
        <v>1180.6839435857212</v>
      </c>
    </row>
    <row r="47" spans="2:73" s="4" customFormat="1" ht="15.75" x14ac:dyDescent="0.25">
      <c r="B47" s="4" t="s">
        <v>48</v>
      </c>
      <c r="C47" s="4">
        <f t="shared" ref="C47:J47" si="40">+C45-C46</f>
        <v>639</v>
      </c>
      <c r="D47" s="4">
        <f t="shared" si="40"/>
        <v>744</v>
      </c>
      <c r="E47" s="4">
        <f t="shared" si="40"/>
        <v>892</v>
      </c>
      <c r="F47" s="4">
        <f t="shared" si="40"/>
        <v>948</v>
      </c>
      <c r="G47" s="4">
        <f t="shared" si="40"/>
        <v>822</v>
      </c>
      <c r="H47" s="4">
        <f t="shared" si="40"/>
        <v>994</v>
      </c>
      <c r="I47" s="4">
        <f t="shared" si="40"/>
        <v>1011</v>
      </c>
      <c r="J47" s="4">
        <f t="shared" si="40"/>
        <v>970.12284999999997</v>
      </c>
      <c r="R47" s="4">
        <f>+R45-R46</f>
        <v>2146</v>
      </c>
      <c r="S47" s="4">
        <f>+S45-S46</f>
        <v>2467</v>
      </c>
      <c r="T47" s="4">
        <f>+T45-T46</f>
        <v>3223</v>
      </c>
      <c r="U47" s="4">
        <f>+U45-U46</f>
        <v>3797.1228499999997</v>
      </c>
      <c r="V47" s="4">
        <f t="shared" ref="V47:AF47" si="41">+V45-V46</f>
        <v>4030.2013917000017</v>
      </c>
      <c r="W47" s="4">
        <f t="shared" si="41"/>
        <v>4232.2911957270007</v>
      </c>
      <c r="X47" s="4">
        <f t="shared" si="41"/>
        <v>4446.2945015234127</v>
      </c>
      <c r="Y47" s="4">
        <f t="shared" si="41"/>
        <v>4672.9753065770537</v>
      </c>
      <c r="Z47" s="4">
        <f t="shared" si="41"/>
        <v>4913.1486775693475</v>
      </c>
      <c r="AA47" s="4">
        <f t="shared" si="41"/>
        <v>5167.6842365391403</v>
      </c>
      <c r="AB47" s="4">
        <f t="shared" si="41"/>
        <v>5437.5098876857082</v>
      </c>
      <c r="AC47" s="4">
        <f t="shared" si="41"/>
        <v>5723.6158015231249</v>
      </c>
      <c r="AD47" s="4">
        <f t="shared" si="41"/>
        <v>6027.0586742627165</v>
      </c>
      <c r="AE47" s="4">
        <f t="shared" si="41"/>
        <v>6348.9662815462934</v>
      </c>
      <c r="AF47" s="4">
        <f t="shared" si="41"/>
        <v>6690.5423469857533</v>
      </c>
      <c r="AG47" s="4">
        <f>+AF47*(1+$AI$38)</f>
        <v>6757.4477704556111</v>
      </c>
      <c r="AH47" s="4">
        <f>+AG47*(1+$AI$38)</f>
        <v>6825.0222481601677</v>
      </c>
      <c r="AI47" s="4">
        <f>+AH47*(1+$AI$38)</f>
        <v>6893.2724706417694</v>
      </c>
      <c r="AJ47" s="4">
        <f>+AI47*(1+$AI$38)</f>
        <v>6962.2051953481869</v>
      </c>
      <c r="AK47" s="4">
        <f>+AJ47*(1+$AI$38)</f>
        <v>7031.8272473016686</v>
      </c>
      <c r="AL47" s="4">
        <f>+AK47*(1+$AI$38)</f>
        <v>7102.1455197746855</v>
      </c>
      <c r="AM47" s="4">
        <f>+AL47*(1+$AI$38)</f>
        <v>7173.1669749724324</v>
      </c>
      <c r="AN47" s="4">
        <f>+AM47*(1+$AI$38)</f>
        <v>7244.8986447221569</v>
      </c>
      <c r="AO47" s="4">
        <f>+AN47*(1+$AI$38)</f>
        <v>7317.3476311693785</v>
      </c>
      <c r="AP47" s="4">
        <f>+AO47*(1+$AI$38)</f>
        <v>7390.5211074810722</v>
      </c>
      <c r="AQ47" s="4">
        <f>+AP47*(1+$AI$38)</f>
        <v>7464.426318555883</v>
      </c>
      <c r="AR47" s="4">
        <f>+AQ47*(1+$AI$38)</f>
        <v>7539.0705817414419</v>
      </c>
      <c r="AS47" s="4">
        <f>+AR47*(1+$AI$38)</f>
        <v>7614.4612875588564</v>
      </c>
      <c r="AT47" s="4">
        <f>+AS47*(1+$AI$38)</f>
        <v>7690.6059004344452</v>
      </c>
      <c r="AU47" s="4">
        <f>+AT47*(1+$AI$38)</f>
        <v>7767.5119594387897</v>
      </c>
      <c r="AV47" s="4">
        <f>+AU47*(1+$AI$38)</f>
        <v>7845.1870790331777</v>
      </c>
      <c r="AW47" s="4">
        <f>+AV47*(1+$AI$38)</f>
        <v>7923.6389498235094</v>
      </c>
      <c r="AX47" s="4">
        <f>+AW47*(1+$AI$38)</f>
        <v>8002.8753393217448</v>
      </c>
      <c r="AY47" s="4">
        <f>+AX47*(1+$AI$38)</f>
        <v>8082.9040927149626</v>
      </c>
      <c r="AZ47" s="4">
        <f>+AY47*(1+$AI$38)</f>
        <v>8163.7331336421121</v>
      </c>
      <c r="BA47" s="4">
        <f>+AZ47*(1+$AI$38)</f>
        <v>8245.3704649785341</v>
      </c>
      <c r="BB47" s="4">
        <f>+BA47*(1+$AI$38)</f>
        <v>8327.8241696283203</v>
      </c>
      <c r="BC47" s="4">
        <f>+BB47*(1+$AI$38)</f>
        <v>8411.102411324604</v>
      </c>
      <c r="BD47" s="4">
        <f>+BC47*(1+$AI$38)</f>
        <v>8495.2134354378504</v>
      </c>
      <c r="BE47" s="4">
        <f>+BD47*(1+$AI$38)</f>
        <v>8580.1655697922288</v>
      </c>
      <c r="BF47" s="4">
        <f>+BE47*(1+$AI$38)</f>
        <v>8665.9672254901507</v>
      </c>
      <c r="BG47" s="4">
        <f>+BF47*(1+$AI$38)</f>
        <v>8752.6268977450527</v>
      </c>
      <c r="BH47" s="4">
        <f>+BG47*(1+$AI$38)</f>
        <v>8840.1531667225026</v>
      </c>
      <c r="BI47" s="4">
        <f>+BH47*(1+$AI$38)</f>
        <v>8928.5546983897275</v>
      </c>
      <c r="BJ47" s="4">
        <f>+BI47*(1+$AI$38)</f>
        <v>9017.8402453736253</v>
      </c>
      <c r="BK47" s="4">
        <f>+BJ47*(1+$AI$38)</f>
        <v>9108.0186478273608</v>
      </c>
      <c r="BL47" s="4">
        <f>+BK47*(1+$AI$38)</f>
        <v>9199.0988343056342</v>
      </c>
      <c r="BM47" s="4">
        <f>+BL47*(1+$AI$38)</f>
        <v>9291.0898226486916</v>
      </c>
      <c r="BN47" s="4">
        <f>+BM47*(1+$AI$38)</f>
        <v>9384.0007208751776</v>
      </c>
      <c r="BO47" s="4">
        <f>+BN47*(1+$AI$38)</f>
        <v>9477.8407280839292</v>
      </c>
      <c r="BP47" s="4">
        <f>+BO47*(1+$AI$38)</f>
        <v>9572.6191353647682</v>
      </c>
      <c r="BQ47" s="4">
        <f>+BP47*(1+$AI$38)</f>
        <v>9668.3453267184159</v>
      </c>
      <c r="BR47" s="4">
        <f>+BQ47*(1+$AI$38)</f>
        <v>9765.0287799855996</v>
      </c>
      <c r="BS47" s="4">
        <f>+BR47*(1+$AI$38)</f>
        <v>9862.6790677854551</v>
      </c>
      <c r="BT47" s="4">
        <f>+BS47*(1+$AI$38)</f>
        <v>9961.3058584633091</v>
      </c>
      <c r="BU47" s="4">
        <f>+BT47*(1+$AI$38)</f>
        <v>10060.918917047942</v>
      </c>
    </row>
    <row r="48" spans="2:73" s="10" customFormat="1" x14ac:dyDescent="0.2">
      <c r="B48" s="10" t="s">
        <v>94</v>
      </c>
      <c r="C48" s="10">
        <f>+C47/C49</f>
        <v>1.5974999999999999</v>
      </c>
      <c r="G48" s="10">
        <f>+G47/G49</f>
        <v>2.0498753117206983</v>
      </c>
      <c r="H48" s="10">
        <f>+H47/H49</f>
        <v>2.4912280701754388</v>
      </c>
      <c r="I48" s="10">
        <f>+I47/I49</f>
        <v>2.5338345864661656</v>
      </c>
      <c r="J48" s="10">
        <f>+J47/J49</f>
        <v>2.4253071249999998</v>
      </c>
    </row>
    <row r="49" spans="2:32" s="1" customFormat="1" x14ac:dyDescent="0.2">
      <c r="B49" s="1" t="s">
        <v>1</v>
      </c>
      <c r="C49" s="1">
        <v>400</v>
      </c>
      <c r="G49" s="1">
        <v>401</v>
      </c>
      <c r="H49" s="1">
        <v>399</v>
      </c>
      <c r="I49" s="1">
        <v>399</v>
      </c>
      <c r="J49" s="1">
        <v>400</v>
      </c>
    </row>
    <row r="50" spans="2:32" s="1" customFormat="1" x14ac:dyDescent="0.2"/>
    <row r="51" spans="2:32" s="3" customFormat="1" x14ac:dyDescent="0.2">
      <c r="B51" s="3" t="s">
        <v>68</v>
      </c>
      <c r="G51" s="3">
        <f>+G36/C36-1</f>
        <v>8.4078059456501819E-2</v>
      </c>
      <c r="H51" s="3">
        <f>+H36/D36-1</f>
        <v>8.233890214797146E-2</v>
      </c>
      <c r="I51" s="3">
        <f>+I36/E36-1</f>
        <v>7.9081632653061229E-2</v>
      </c>
      <c r="J51" s="3">
        <f>+J36/F36-1</f>
        <v>9.4905312552371335E-2</v>
      </c>
      <c r="S51" s="3">
        <f>+S36/R36-1</f>
        <v>5.7316079070715231E-2</v>
      </c>
      <c r="T51" s="3">
        <f>+T36/S36-1</f>
        <v>0.11771792030067951</v>
      </c>
      <c r="U51" s="3">
        <f t="shared" ref="U51:AF51" si="42">+U36/T36-1</f>
        <v>8.5156923607518475E-2</v>
      </c>
      <c r="V51" s="3">
        <f t="shared" si="42"/>
        <v>4.9628700146595595E-2</v>
      </c>
      <c r="W51" s="3">
        <f t="shared" si="42"/>
        <v>5.0053334077401423E-2</v>
      </c>
      <c r="X51" s="3">
        <f t="shared" si="42"/>
        <v>5.0475260098095109E-2</v>
      </c>
      <c r="Y51" s="3">
        <f t="shared" si="42"/>
        <v>5.0894213430397572E-2</v>
      </c>
      <c r="Z51" s="3">
        <f t="shared" si="42"/>
        <v>5.1309937193072086E-2</v>
      </c>
      <c r="AA51" s="3">
        <f t="shared" si="42"/>
        <v>5.1722183021971846E-2</v>
      </c>
      <c r="AB51" s="3">
        <f t="shared" si="42"/>
        <v>5.2130711641066974E-2</v>
      </c>
      <c r="AC51" s="3">
        <f t="shared" si="42"/>
        <v>5.253529338207974E-2</v>
      </c>
      <c r="AD51" s="3">
        <f t="shared" si="42"/>
        <v>5.2935708650821311E-2</v>
      </c>
      <c r="AE51" s="3">
        <f t="shared" si="42"/>
        <v>5.3331748338836693E-2</v>
      </c>
      <c r="AF51" s="3">
        <f t="shared" si="42"/>
        <v>5.3723214179438372E-2</v>
      </c>
    </row>
    <row r="52" spans="2:32" s="3" customFormat="1" x14ac:dyDescent="0.2">
      <c r="B52" s="3" t="s">
        <v>69</v>
      </c>
      <c r="C52" s="3">
        <f t="shared" ref="C52:J52" si="43">+C38/C36</f>
        <v>0.34360751413459784</v>
      </c>
      <c r="D52" s="3">
        <f t="shared" si="43"/>
        <v>0.36123423116263209</v>
      </c>
      <c r="E52" s="3">
        <f t="shared" si="43"/>
        <v>0.37346938775510202</v>
      </c>
      <c r="F52" s="3">
        <f t="shared" si="43"/>
        <v>0.37456008044243339</v>
      </c>
      <c r="G52" s="3">
        <f t="shared" si="43"/>
        <v>0.37331763122476447</v>
      </c>
      <c r="H52" s="3">
        <f t="shared" si="43"/>
        <v>0.37942983146952275</v>
      </c>
      <c r="I52" s="3">
        <f t="shared" si="43"/>
        <v>0.38550039401103231</v>
      </c>
      <c r="J52" s="3">
        <f t="shared" si="43"/>
        <v>0.37</v>
      </c>
      <c r="R52" s="3">
        <f>+R38/R36</f>
        <v>0.32275320970042798</v>
      </c>
      <c r="S52" s="3">
        <f>+S38/S36</f>
        <v>0.33190382113429384</v>
      </c>
      <c r="T52" s="3">
        <f>+T38/T36</f>
        <v>0.36359717192619417</v>
      </c>
      <c r="U52" s="3">
        <f t="shared" ref="U52:AF52" si="44">+U38/U36</f>
        <v>0.377069162101282</v>
      </c>
      <c r="V52" s="3">
        <f t="shared" si="44"/>
        <v>0.37000000000000005</v>
      </c>
      <c r="W52" s="3">
        <f t="shared" si="44"/>
        <v>0.37</v>
      </c>
      <c r="X52" s="3">
        <f t="shared" si="44"/>
        <v>0.37000000000000005</v>
      </c>
      <c r="Y52" s="3">
        <f t="shared" si="44"/>
        <v>0.37</v>
      </c>
      <c r="Z52" s="3">
        <f t="shared" si="44"/>
        <v>0.36999999999999994</v>
      </c>
      <c r="AA52" s="3">
        <f t="shared" si="44"/>
        <v>0.37</v>
      </c>
      <c r="AB52" s="3">
        <f t="shared" si="44"/>
        <v>0.37</v>
      </c>
      <c r="AC52" s="3">
        <f t="shared" si="44"/>
        <v>0.37</v>
      </c>
      <c r="AD52" s="3">
        <f t="shared" si="44"/>
        <v>0.36999999999999994</v>
      </c>
      <c r="AE52" s="3">
        <f t="shared" si="44"/>
        <v>0.37000000000000005</v>
      </c>
      <c r="AF52" s="3">
        <f t="shared" si="44"/>
        <v>0.37</v>
      </c>
    </row>
    <row r="53" spans="2:32" s="3" customFormat="1" x14ac:dyDescent="0.2">
      <c r="B53" s="3" t="s">
        <v>70</v>
      </c>
      <c r="G53" s="3">
        <f>+G47/C47-1</f>
        <v>0.28638497652582151</v>
      </c>
      <c r="H53" s="3">
        <f>+H47/D47-1</f>
        <v>0.33602150537634401</v>
      </c>
      <c r="I53" s="3">
        <f>+I47/E47-1</f>
        <v>0.13340807174887903</v>
      </c>
      <c r="J53" s="3">
        <f>+J47/F47-1</f>
        <v>2.3336339662447303E-2</v>
      </c>
      <c r="S53" s="3">
        <f>+S47/R47-1</f>
        <v>0.14958061509785647</v>
      </c>
      <c r="T53" s="3">
        <f>+T47/S47-1</f>
        <v>0.30644507498986617</v>
      </c>
      <c r="U53" s="3">
        <f t="shared" ref="U53:AF53" si="45">+U47/T47-1</f>
        <v>0.17813305926155754</v>
      </c>
      <c r="V53" s="3">
        <f t="shared" si="45"/>
        <v>6.138293410759732E-2</v>
      </c>
      <c r="W53" s="3">
        <f t="shared" si="45"/>
        <v>5.0143847511737949E-2</v>
      </c>
      <c r="X53" s="3">
        <f t="shared" si="45"/>
        <v>5.0564409654154652E-2</v>
      </c>
      <c r="Y53" s="3">
        <f t="shared" si="45"/>
        <v>5.098195924178528E-2</v>
      </c>
      <c r="Z53" s="3">
        <f t="shared" si="45"/>
        <v>5.1396242272938597E-2</v>
      </c>
      <c r="AA53" s="3">
        <f t="shared" si="45"/>
        <v>5.1807013317520356E-2</v>
      </c>
      <c r="AB53" s="3">
        <f t="shared" si="45"/>
        <v>5.2214036074168746E-2</v>
      </c>
      <c r="AC53" s="3">
        <f t="shared" si="45"/>
        <v>5.2617083876087989E-2</v>
      </c>
      <c r="AD53" s="3">
        <f t="shared" si="45"/>
        <v>5.3015940143788409E-2</v>
      </c>
      <c r="AE53" s="3">
        <f t="shared" si="45"/>
        <v>5.3410398783442226E-2</v>
      </c>
      <c r="AF53" s="3">
        <f t="shared" si="45"/>
        <v>5.3800264530034392E-2</v>
      </c>
    </row>
    <row r="54" spans="2:32" s="3" customFormat="1" x14ac:dyDescent="0.2"/>
    <row r="55" spans="2:32" s="2" customFormat="1" ht="15.75" x14ac:dyDescent="0.25">
      <c r="B55" s="2" t="s">
        <v>56</v>
      </c>
      <c r="S55" s="4">
        <f>+S56-S67</f>
        <v>-8100</v>
      </c>
      <c r="T55" s="4">
        <f>+T56-T67</f>
        <v>-6660</v>
      </c>
    </row>
    <row r="56" spans="2:32" x14ac:dyDescent="0.2">
      <c r="B56" t="s">
        <v>3</v>
      </c>
      <c r="S56">
        <f>294+261</f>
        <v>555</v>
      </c>
      <c r="T56" s="1">
        <f>488+2121</f>
        <v>2609</v>
      </c>
    </row>
    <row r="57" spans="2:32" x14ac:dyDescent="0.2">
      <c r="B57" t="s">
        <v>49</v>
      </c>
      <c r="S57">
        <v>4076</v>
      </c>
      <c r="T57" s="1">
        <v>4475</v>
      </c>
    </row>
    <row r="58" spans="2:32" x14ac:dyDescent="0.2">
      <c r="B58" t="s">
        <v>50</v>
      </c>
      <c r="S58">
        <v>3430</v>
      </c>
      <c r="T58" s="1">
        <v>3739</v>
      </c>
    </row>
    <row r="59" spans="2:32" x14ac:dyDescent="0.2">
      <c r="B59" t="s">
        <v>51</v>
      </c>
      <c r="S59">
        <v>685</v>
      </c>
      <c r="T59" s="1">
        <v>851</v>
      </c>
    </row>
    <row r="60" spans="2:32" x14ac:dyDescent="0.2">
      <c r="B60" t="s">
        <v>52</v>
      </c>
      <c r="S60">
        <v>3146</v>
      </c>
      <c r="T60" s="1">
        <v>3530</v>
      </c>
    </row>
    <row r="61" spans="2:32" x14ac:dyDescent="0.2">
      <c r="B61" t="s">
        <v>53</v>
      </c>
      <c r="S61">
        <f>14796+5485</f>
        <v>20281</v>
      </c>
      <c r="T61" s="1">
        <f>14977+5091</f>
        <v>20068</v>
      </c>
    </row>
    <row r="62" spans="2:32" x14ac:dyDescent="0.2">
      <c r="B62" t="s">
        <v>54</v>
      </c>
      <c r="S62">
        <v>570</v>
      </c>
      <c r="T62" s="1">
        <v>648</v>
      </c>
    </row>
    <row r="63" spans="2:32" x14ac:dyDescent="0.2">
      <c r="B63" t="s">
        <v>47</v>
      </c>
      <c r="S63">
        <v>330</v>
      </c>
      <c r="T63" s="1">
        <v>458</v>
      </c>
    </row>
    <row r="64" spans="2:32" x14ac:dyDescent="0.2">
      <c r="B64" t="s">
        <v>36</v>
      </c>
      <c r="S64">
        <v>1940</v>
      </c>
      <c r="T64" s="1">
        <v>2052</v>
      </c>
    </row>
    <row r="65" spans="2:20" x14ac:dyDescent="0.2">
      <c r="B65" t="s">
        <v>55</v>
      </c>
      <c r="S65" s="1">
        <f>+SUM(S56:S64)</f>
        <v>35013</v>
      </c>
      <c r="T65" s="1">
        <f>+SUM(T56:T64)</f>
        <v>38430</v>
      </c>
    </row>
    <row r="66" spans="2:20" x14ac:dyDescent="0.2">
      <c r="T66" s="1"/>
    </row>
    <row r="67" spans="2:20" x14ac:dyDescent="0.2">
      <c r="B67" t="s">
        <v>4</v>
      </c>
      <c r="S67">
        <f>324+10+8321</f>
        <v>8655</v>
      </c>
      <c r="T67" s="1">
        <f>8+1017+8244</f>
        <v>9269</v>
      </c>
    </row>
    <row r="68" spans="2:20" x14ac:dyDescent="0.2">
      <c r="B68" t="s">
        <v>57</v>
      </c>
      <c r="S68">
        <v>3072</v>
      </c>
      <c r="T68" s="1">
        <v>3365</v>
      </c>
    </row>
    <row r="69" spans="2:20" x14ac:dyDescent="0.2">
      <c r="B69" t="s">
        <v>58</v>
      </c>
      <c r="S69">
        <v>467</v>
      </c>
      <c r="T69" s="1">
        <v>676</v>
      </c>
    </row>
    <row r="70" spans="2:20" x14ac:dyDescent="0.2">
      <c r="B70" t="s">
        <v>59</v>
      </c>
      <c r="S70">
        <v>2488</v>
      </c>
      <c r="T70" s="1">
        <v>2680</v>
      </c>
    </row>
    <row r="71" spans="2:20" x14ac:dyDescent="0.2">
      <c r="B71" t="s">
        <v>60</v>
      </c>
      <c r="S71">
        <f>649+177</f>
        <v>826</v>
      </c>
      <c r="T71" s="1">
        <f>768+180</f>
        <v>948</v>
      </c>
    </row>
    <row r="72" spans="2:20" x14ac:dyDescent="0.2">
      <c r="B72" t="s">
        <v>54</v>
      </c>
      <c r="S72">
        <v>459</v>
      </c>
      <c r="T72" s="1">
        <v>533</v>
      </c>
    </row>
    <row r="73" spans="2:20" x14ac:dyDescent="0.2">
      <c r="B73" t="s">
        <v>47</v>
      </c>
      <c r="S73">
        <v>530</v>
      </c>
      <c r="T73" s="1">
        <v>402</v>
      </c>
    </row>
    <row r="74" spans="2:20" x14ac:dyDescent="0.2">
      <c r="B74" t="s">
        <v>61</v>
      </c>
      <c r="S74">
        <v>1444</v>
      </c>
      <c r="T74" s="1">
        <v>1489</v>
      </c>
    </row>
    <row r="75" spans="2:20" x14ac:dyDescent="0.2">
      <c r="B75" t="s">
        <v>62</v>
      </c>
      <c r="S75" s="1">
        <f>+SUM(S67:S74)</f>
        <v>17941</v>
      </c>
      <c r="T75" s="1">
        <f>+SUM(T67:T74)</f>
        <v>19362</v>
      </c>
    </row>
    <row r="76" spans="2:20" x14ac:dyDescent="0.2">
      <c r="B76" t="s">
        <v>71</v>
      </c>
      <c r="S76">
        <v>17072</v>
      </c>
      <c r="T76" s="1">
        <v>19069</v>
      </c>
    </row>
    <row r="77" spans="2:20" x14ac:dyDescent="0.2">
      <c r="B77" t="s">
        <v>72</v>
      </c>
      <c r="S77" s="1">
        <f>+S76+S75</f>
        <v>35013</v>
      </c>
      <c r="T77" s="1">
        <f>+T76+T75</f>
        <v>38431</v>
      </c>
    </row>
    <row r="78" spans="2:20" x14ac:dyDescent="0.2">
      <c r="T78" s="1"/>
    </row>
    <row r="79" spans="2:20" x14ac:dyDescent="0.2">
      <c r="B79" t="s">
        <v>48</v>
      </c>
      <c r="R79" s="1">
        <f>+R47</f>
        <v>2146</v>
      </c>
      <c r="S79" s="1">
        <f>+S47</f>
        <v>2467</v>
      </c>
      <c r="T79" s="1">
        <f>+T47</f>
        <v>3223</v>
      </c>
    </row>
    <row r="80" spans="2:20" x14ac:dyDescent="0.2">
      <c r="B80" t="s">
        <v>63</v>
      </c>
      <c r="R80">
        <v>2163</v>
      </c>
      <c r="S80">
        <v>2533</v>
      </c>
      <c r="T80" s="1">
        <v>3624</v>
      </c>
    </row>
    <row r="81" spans="2:20" x14ac:dyDescent="0.2">
      <c r="B81" t="s">
        <v>64</v>
      </c>
      <c r="R81">
        <v>-1764</v>
      </c>
      <c r="S81">
        <v>-1200</v>
      </c>
      <c r="T81" s="1">
        <v>-2575</v>
      </c>
    </row>
    <row r="82" spans="2:20" s="7" customFormat="1" ht="15.75" x14ac:dyDescent="0.25">
      <c r="B82" s="7" t="s">
        <v>65</v>
      </c>
      <c r="R82" s="8">
        <f>+R80+R81</f>
        <v>399</v>
      </c>
      <c r="S82" s="8">
        <f>+S80+S81</f>
        <v>1333</v>
      </c>
      <c r="T82" s="8">
        <f>+T80+T81</f>
        <v>1049</v>
      </c>
    </row>
    <row r="83" spans="2:20" x14ac:dyDescent="0.2">
      <c r="B83" t="s">
        <v>66</v>
      </c>
      <c r="R83">
        <v>-535</v>
      </c>
      <c r="S83">
        <v>-1340</v>
      </c>
      <c r="T83" s="1">
        <v>-871</v>
      </c>
    </row>
    <row r="84" spans="2:20" x14ac:dyDescent="0.2">
      <c r="B84" t="s">
        <v>82</v>
      </c>
      <c r="R84">
        <v>-5</v>
      </c>
      <c r="S84">
        <v>4</v>
      </c>
      <c r="T84" s="1">
        <v>16</v>
      </c>
    </row>
    <row r="85" spans="2:20" x14ac:dyDescent="0.2">
      <c r="B85" t="s">
        <v>67</v>
      </c>
      <c r="R85" s="1">
        <f>+R80+R81+R83+R84</f>
        <v>-141</v>
      </c>
      <c r="S85" s="1">
        <f>+S80+S81+S83+S84</f>
        <v>-3</v>
      </c>
      <c r="T85" s="1">
        <f>+T80+T81+T83+T84</f>
        <v>194</v>
      </c>
    </row>
    <row r="86" spans="2:20" x14ac:dyDescent="0.2">
      <c r="T86" s="1"/>
    </row>
    <row r="87" spans="2:20" s="5" customFormat="1" x14ac:dyDescent="0.2">
      <c r="B87" s="5" t="s">
        <v>73</v>
      </c>
      <c r="T87" s="6">
        <v>-1000</v>
      </c>
    </row>
  </sheetData>
  <pageMargins left="0.7" right="0.7" top="0.75" bottom="0.75" header="0.3" footer="0.3"/>
  <ignoredErrors>
    <ignoredError sqref="F38 F45 U38 U45 U3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 Braholli</dc:creator>
  <cp:lastModifiedBy>Geli Braholli</cp:lastModifiedBy>
  <dcterms:created xsi:type="dcterms:W3CDTF">2025-01-26T19:56:27Z</dcterms:created>
  <dcterms:modified xsi:type="dcterms:W3CDTF">2025-01-29T19:47:01Z</dcterms:modified>
</cp:coreProperties>
</file>