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993A60F9-5A20-4F58-BACB-E2789A09ADFD}" xr6:coauthVersionLast="47" xr6:coauthVersionMax="47" xr10:uidLastSave="{00000000-0000-0000-0000-000000000000}"/>
  <bookViews>
    <workbookView xWindow="-120" yWindow="-120" windowWidth="29040" windowHeight="15840" activeTab="1" xr2:uid="{88358A6C-00BC-49B3-85EA-65BA78B7A0E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" i="2" l="1"/>
  <c r="G60" i="2"/>
  <c r="H60" i="2"/>
  <c r="I60" i="2"/>
  <c r="F52" i="2"/>
  <c r="N52" i="2" s="1"/>
  <c r="F49" i="2"/>
  <c r="F47" i="2"/>
  <c r="F46" i="2"/>
  <c r="F43" i="2"/>
  <c r="F42" i="2"/>
  <c r="F44" i="2" s="1"/>
  <c r="F41" i="2"/>
  <c r="F39" i="2"/>
  <c r="J52" i="2"/>
  <c r="J49" i="2"/>
  <c r="J47" i="2"/>
  <c r="J46" i="2"/>
  <c r="J43" i="2"/>
  <c r="J42" i="2"/>
  <c r="J41" i="2"/>
  <c r="J44" i="2" s="1"/>
  <c r="J39" i="2"/>
  <c r="C40" i="2"/>
  <c r="C44" i="2"/>
  <c r="G44" i="2"/>
  <c r="G40" i="2"/>
  <c r="D44" i="2"/>
  <c r="D40" i="2"/>
  <c r="H44" i="2"/>
  <c r="H40" i="2"/>
  <c r="E44" i="2"/>
  <c r="E40" i="2"/>
  <c r="I44" i="2"/>
  <c r="I40" i="2"/>
  <c r="N27" i="2"/>
  <c r="O27" i="2"/>
  <c r="N28" i="2"/>
  <c r="O28" i="2"/>
  <c r="N29" i="2"/>
  <c r="O29" i="2"/>
  <c r="N30" i="2"/>
  <c r="O30" i="2"/>
  <c r="N32" i="2"/>
  <c r="O32" i="2"/>
  <c r="N33" i="2"/>
  <c r="O33" i="2"/>
  <c r="N35" i="2"/>
  <c r="O35" i="2"/>
  <c r="P15" i="2"/>
  <c r="P13" i="2"/>
  <c r="Q13" i="2" s="1"/>
  <c r="P12" i="2"/>
  <c r="Q12" i="2" s="1"/>
  <c r="R12" i="2" s="1"/>
  <c r="S12" i="2" s="1"/>
  <c r="T12" i="2" s="1"/>
  <c r="P10" i="2"/>
  <c r="Q10" i="2" s="1"/>
  <c r="P9" i="2"/>
  <c r="Q9" i="2" s="1"/>
  <c r="P8" i="2"/>
  <c r="P7" i="2"/>
  <c r="P27" i="2" s="1"/>
  <c r="M14" i="2"/>
  <c r="M11" i="2"/>
  <c r="N14" i="2"/>
  <c r="N11" i="2"/>
  <c r="O14" i="2"/>
  <c r="O11" i="2"/>
  <c r="P92" i="2"/>
  <c r="Q92" i="2" s="1"/>
  <c r="R92" i="2" s="1"/>
  <c r="S92" i="2" s="1"/>
  <c r="T92" i="2" s="1"/>
  <c r="U92" i="2" s="1"/>
  <c r="V92" i="2" s="1"/>
  <c r="W92" i="2" s="1"/>
  <c r="X92" i="2" s="1"/>
  <c r="Y92" i="2" s="1"/>
  <c r="Z92" i="2" s="1"/>
  <c r="Q91" i="2"/>
  <c r="R91" i="2" s="1"/>
  <c r="S91" i="2" s="1"/>
  <c r="T91" i="2" s="1"/>
  <c r="U91" i="2" s="1"/>
  <c r="V91" i="2" s="1"/>
  <c r="W91" i="2" s="1"/>
  <c r="X91" i="2" s="1"/>
  <c r="Y91" i="2" s="1"/>
  <c r="R46" i="2"/>
  <c r="S46" i="2" s="1"/>
  <c r="T46" i="2" s="1"/>
  <c r="U46" i="2" s="1"/>
  <c r="V46" i="2" s="1"/>
  <c r="W46" i="2" s="1"/>
  <c r="P6" i="2"/>
  <c r="Q6" i="2" s="1"/>
  <c r="R6" i="2" s="1"/>
  <c r="S6" i="2" s="1"/>
  <c r="T6" i="2" s="1"/>
  <c r="U6" i="2" s="1"/>
  <c r="V6" i="2" s="1"/>
  <c r="W6" i="2" s="1"/>
  <c r="X6" i="2" s="1"/>
  <c r="Y6" i="2" s="1"/>
  <c r="Z6" i="2" s="1"/>
  <c r="P42" i="2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O102" i="2"/>
  <c r="O104" i="2" s="1"/>
  <c r="O105" i="2" s="1"/>
  <c r="N102" i="2"/>
  <c r="N104" i="2" s="1"/>
  <c r="N105" i="2" s="1"/>
  <c r="M102" i="2"/>
  <c r="M104" i="2" s="1"/>
  <c r="M105" i="2" s="1"/>
  <c r="O94" i="2"/>
  <c r="N94" i="2"/>
  <c r="M94" i="2"/>
  <c r="M44" i="2"/>
  <c r="N44" i="2"/>
  <c r="O44" i="2"/>
  <c r="N70" i="2"/>
  <c r="N82" i="2"/>
  <c r="N84" i="2" s="1"/>
  <c r="N65" i="2"/>
  <c r="O82" i="2"/>
  <c r="O84" i="2" s="1"/>
  <c r="N10" i="1"/>
  <c r="O70" i="2"/>
  <c r="O65" i="2"/>
  <c r="O64" i="2"/>
  <c r="N9" i="1"/>
  <c r="D45" i="2" l="1"/>
  <c r="D48" i="2" s="1"/>
  <c r="D50" i="2" s="1"/>
  <c r="D51" i="2" s="1"/>
  <c r="C45" i="2"/>
  <c r="C48" i="2" s="1"/>
  <c r="C50" i="2" s="1"/>
  <c r="C51" i="2" s="1"/>
  <c r="M38" i="2"/>
  <c r="M40" i="2" s="1"/>
  <c r="M54" i="2" s="1"/>
  <c r="I45" i="2"/>
  <c r="I48" i="2" s="1"/>
  <c r="I50" i="2" s="1"/>
  <c r="I51" i="2" s="1"/>
  <c r="G45" i="2"/>
  <c r="G48" i="2" s="1"/>
  <c r="G50" i="2" s="1"/>
  <c r="G51" i="2" s="1"/>
  <c r="H45" i="2"/>
  <c r="H48" i="2" s="1"/>
  <c r="H50" i="2" s="1"/>
  <c r="H51" i="2" s="1"/>
  <c r="E45" i="2"/>
  <c r="E48" i="2" s="1"/>
  <c r="E50" i="2" s="1"/>
  <c r="E51" i="2" s="1"/>
  <c r="P11" i="2"/>
  <c r="O34" i="2"/>
  <c r="Q7" i="2"/>
  <c r="Q27" i="2" s="1"/>
  <c r="P33" i="2"/>
  <c r="U12" i="2"/>
  <c r="T32" i="2"/>
  <c r="P32" i="2"/>
  <c r="P30" i="2"/>
  <c r="P28" i="2"/>
  <c r="N34" i="2"/>
  <c r="Q8" i="2"/>
  <c r="R10" i="2"/>
  <c r="Q30" i="2"/>
  <c r="P31" i="2"/>
  <c r="Q29" i="2"/>
  <c r="P14" i="2"/>
  <c r="O31" i="2"/>
  <c r="Q15" i="2"/>
  <c r="N31" i="2"/>
  <c r="Q33" i="2"/>
  <c r="P35" i="2"/>
  <c r="P29" i="2"/>
  <c r="R13" i="2"/>
  <c r="S32" i="2"/>
  <c r="R32" i="2"/>
  <c r="Q32" i="2"/>
  <c r="N12" i="1"/>
  <c r="R9" i="2"/>
  <c r="M20" i="2"/>
  <c r="M21" i="2"/>
  <c r="M22" i="2"/>
  <c r="M25" i="2"/>
  <c r="M23" i="2"/>
  <c r="M17" i="2"/>
  <c r="M18" i="2"/>
  <c r="M19" i="2"/>
  <c r="N38" i="2"/>
  <c r="F38" i="2" s="1"/>
  <c r="F40" i="2" s="1"/>
  <c r="F45" i="2" s="1"/>
  <c r="F48" i="2" s="1"/>
  <c r="F50" i="2" s="1"/>
  <c r="F51" i="2" s="1"/>
  <c r="O38" i="2"/>
  <c r="O74" i="2"/>
  <c r="O109" i="2" s="1"/>
  <c r="N74" i="2"/>
  <c r="N109" i="2" s="1"/>
  <c r="O63" i="2"/>
  <c r="M45" i="2" l="1"/>
  <c r="M24" i="2"/>
  <c r="O24" i="2"/>
  <c r="J38" i="2"/>
  <c r="R7" i="2"/>
  <c r="R8" i="2"/>
  <c r="R11" i="2" s="1"/>
  <c r="U32" i="2"/>
  <c r="Q28" i="2"/>
  <c r="Q11" i="2"/>
  <c r="V12" i="2"/>
  <c r="Q31" i="2"/>
  <c r="S9" i="2"/>
  <c r="R29" i="2"/>
  <c r="N22" i="2"/>
  <c r="N17" i="2"/>
  <c r="N23" i="2"/>
  <c r="N20" i="2"/>
  <c r="N18" i="2"/>
  <c r="N19" i="2"/>
  <c r="N25" i="2"/>
  <c r="P34" i="2"/>
  <c r="Q14" i="2"/>
  <c r="N24" i="2"/>
  <c r="Q35" i="2"/>
  <c r="R15" i="2"/>
  <c r="O20" i="2"/>
  <c r="O21" i="2"/>
  <c r="O22" i="2"/>
  <c r="O17" i="2"/>
  <c r="O23" i="2"/>
  <c r="O18" i="2"/>
  <c r="O19" i="2"/>
  <c r="O25" i="2"/>
  <c r="S13" i="2"/>
  <c r="R33" i="2"/>
  <c r="N21" i="2"/>
  <c r="P38" i="2"/>
  <c r="P24" i="2" s="1"/>
  <c r="S10" i="2"/>
  <c r="R30" i="2"/>
  <c r="O60" i="2"/>
  <c r="O40" i="2"/>
  <c r="O54" i="2" s="1"/>
  <c r="N40" i="2"/>
  <c r="N60" i="2"/>
  <c r="P47" i="2"/>
  <c r="P63" i="2" s="1"/>
  <c r="Q47" i="2" s="1"/>
  <c r="Q63" i="2" s="1"/>
  <c r="M48" i="2"/>
  <c r="M55" i="2"/>
  <c r="J40" i="2" l="1"/>
  <c r="J45" i="2" s="1"/>
  <c r="J48" i="2" s="1"/>
  <c r="J50" i="2" s="1"/>
  <c r="J51" i="2" s="1"/>
  <c r="J60" i="2"/>
  <c r="S8" i="2"/>
  <c r="O45" i="2"/>
  <c r="O55" i="2" s="1"/>
  <c r="R28" i="2"/>
  <c r="T8" i="2"/>
  <c r="Q38" i="2"/>
  <c r="Q21" i="2" s="1"/>
  <c r="W12" i="2"/>
  <c r="X12" i="2" s="1"/>
  <c r="S28" i="2"/>
  <c r="S7" i="2"/>
  <c r="R27" i="2"/>
  <c r="T10" i="2"/>
  <c r="S30" i="2"/>
  <c r="R14" i="2"/>
  <c r="Q34" i="2"/>
  <c r="P41" i="2"/>
  <c r="P44" i="2" s="1"/>
  <c r="S15" i="2"/>
  <c r="R35" i="2"/>
  <c r="R31" i="2"/>
  <c r="T9" i="2"/>
  <c r="S29" i="2"/>
  <c r="P23" i="2"/>
  <c r="P22" i="2"/>
  <c r="P17" i="2"/>
  <c r="P19" i="2"/>
  <c r="P25" i="2"/>
  <c r="P21" i="2"/>
  <c r="P18" i="2"/>
  <c r="P20" i="2"/>
  <c r="P60" i="2"/>
  <c r="T13" i="2"/>
  <c r="S33" i="2"/>
  <c r="S11" i="2"/>
  <c r="U8" i="2"/>
  <c r="P39" i="2"/>
  <c r="P40" i="2" s="1"/>
  <c r="P54" i="2" s="1"/>
  <c r="O48" i="2"/>
  <c r="O56" i="2" s="1"/>
  <c r="N54" i="2"/>
  <c r="N45" i="2"/>
  <c r="R47" i="2"/>
  <c r="R63" i="2" s="1"/>
  <c r="M50" i="2"/>
  <c r="M56" i="2"/>
  <c r="Q41" i="2" l="1"/>
  <c r="Q44" i="2" s="1"/>
  <c r="Q39" i="2"/>
  <c r="Q40" i="2" s="1"/>
  <c r="Q54" i="2" s="1"/>
  <c r="Q24" i="2"/>
  <c r="P45" i="2"/>
  <c r="P55" i="2" s="1"/>
  <c r="U28" i="2"/>
  <c r="Q60" i="2"/>
  <c r="Y12" i="2"/>
  <c r="T11" i="2"/>
  <c r="R38" i="2"/>
  <c r="R39" i="2" s="1"/>
  <c r="R40" i="2" s="1"/>
  <c r="R54" i="2" s="1"/>
  <c r="T7" i="2"/>
  <c r="S27" i="2"/>
  <c r="O50" i="2"/>
  <c r="Q20" i="2"/>
  <c r="Q19" i="2"/>
  <c r="Q23" i="2"/>
  <c r="Q22" i="2"/>
  <c r="Q17" i="2"/>
  <c r="Q25" i="2"/>
  <c r="Q18" i="2"/>
  <c r="T28" i="2"/>
  <c r="S31" i="2"/>
  <c r="U13" i="2"/>
  <c r="T33" i="2"/>
  <c r="T15" i="2"/>
  <c r="S35" i="2"/>
  <c r="U9" i="2"/>
  <c r="T29" i="2"/>
  <c r="S14" i="2"/>
  <c r="R34" i="2"/>
  <c r="V8" i="2"/>
  <c r="U10" i="2"/>
  <c r="T30" i="2"/>
  <c r="P48" i="2"/>
  <c r="P49" i="2" s="1"/>
  <c r="P56" i="2" s="1"/>
  <c r="N48" i="2"/>
  <c r="N55" i="2"/>
  <c r="S47" i="2"/>
  <c r="S63" i="2" s="1"/>
  <c r="M88" i="2"/>
  <c r="M57" i="2"/>
  <c r="O57" i="2" l="1"/>
  <c r="O51" i="2"/>
  <c r="Q45" i="2"/>
  <c r="O88" i="2"/>
  <c r="U29" i="2"/>
  <c r="R22" i="2"/>
  <c r="R20" i="2"/>
  <c r="R23" i="2"/>
  <c r="R19" i="2"/>
  <c r="R21" i="2"/>
  <c r="R41" i="2"/>
  <c r="R44" i="2" s="1"/>
  <c r="R45" i="2" s="1"/>
  <c r="R48" i="2" s="1"/>
  <c r="R17" i="2"/>
  <c r="R18" i="2"/>
  <c r="R25" i="2"/>
  <c r="R60" i="2"/>
  <c r="R24" i="2"/>
  <c r="S38" i="2"/>
  <c r="S24" i="2" s="1"/>
  <c r="Z12" i="2"/>
  <c r="U33" i="2"/>
  <c r="W8" i="2"/>
  <c r="X8" i="2" s="1"/>
  <c r="U30" i="2"/>
  <c r="T31" i="2"/>
  <c r="U7" i="2"/>
  <c r="T27" i="2"/>
  <c r="V9" i="2"/>
  <c r="U15" i="2"/>
  <c r="T35" i="2"/>
  <c r="V13" i="2"/>
  <c r="V10" i="2"/>
  <c r="U11" i="2"/>
  <c r="S60" i="2"/>
  <c r="T14" i="2"/>
  <c r="S34" i="2"/>
  <c r="S39" i="2"/>
  <c r="S40" i="2" s="1"/>
  <c r="S54" i="2" s="1"/>
  <c r="S41" i="2"/>
  <c r="S44" i="2" s="1"/>
  <c r="S45" i="2" s="1"/>
  <c r="N50" i="2"/>
  <c r="N51" i="2" s="1"/>
  <c r="N56" i="2"/>
  <c r="T47" i="2"/>
  <c r="T63" i="2" s="1"/>
  <c r="P50" i="2"/>
  <c r="Q55" i="2" l="1"/>
  <c r="Q48" i="2"/>
  <c r="Q49" i="2" s="1"/>
  <c r="Q56" i="2" s="1"/>
  <c r="W10" i="2"/>
  <c r="X10" i="2" s="1"/>
  <c r="U31" i="2"/>
  <c r="U35" i="2"/>
  <c r="Y8" i="2"/>
  <c r="W13" i="2"/>
  <c r="X13" i="2" s="1"/>
  <c r="W9" i="2"/>
  <c r="X9" i="2" s="1"/>
  <c r="S22" i="2"/>
  <c r="S20" i="2"/>
  <c r="S18" i="2"/>
  <c r="S19" i="2"/>
  <c r="S23" i="2"/>
  <c r="S17" i="2"/>
  <c r="S21" i="2"/>
  <c r="S25" i="2"/>
  <c r="V7" i="2"/>
  <c r="U27" i="2"/>
  <c r="V15" i="2"/>
  <c r="R55" i="2"/>
  <c r="U14" i="2"/>
  <c r="U38" i="2" s="1"/>
  <c r="U21" i="2" s="1"/>
  <c r="T34" i="2"/>
  <c r="T38" i="2"/>
  <c r="V11" i="2"/>
  <c r="S55" i="2"/>
  <c r="S48" i="2"/>
  <c r="S49" i="2" s="1"/>
  <c r="S56" i="2" s="1"/>
  <c r="N88" i="2"/>
  <c r="N57" i="2"/>
  <c r="U47" i="2"/>
  <c r="U63" i="2" s="1"/>
  <c r="R49" i="2"/>
  <c r="R56" i="2" s="1"/>
  <c r="P57" i="2"/>
  <c r="P88" i="2"/>
  <c r="P89" i="2" s="1"/>
  <c r="P94" i="2" s="1"/>
  <c r="Q50" i="2"/>
  <c r="U17" i="2" l="1"/>
  <c r="Y13" i="2"/>
  <c r="U25" i="2"/>
  <c r="Y9" i="2"/>
  <c r="U22" i="2"/>
  <c r="U18" i="2"/>
  <c r="U19" i="2"/>
  <c r="U20" i="2"/>
  <c r="U23" i="2"/>
  <c r="Z8" i="2"/>
  <c r="W15" i="2"/>
  <c r="V27" i="2"/>
  <c r="W7" i="2"/>
  <c r="T22" i="2"/>
  <c r="T23" i="2"/>
  <c r="T20" i="2"/>
  <c r="T18" i="2"/>
  <c r="T19" i="2"/>
  <c r="T21" i="2"/>
  <c r="T25" i="2"/>
  <c r="T17" i="2"/>
  <c r="U34" i="2"/>
  <c r="U24" i="2"/>
  <c r="T24" i="2"/>
  <c r="Y10" i="2"/>
  <c r="U60" i="2"/>
  <c r="W11" i="2"/>
  <c r="U41" i="2"/>
  <c r="U44" i="2" s="1"/>
  <c r="T60" i="2"/>
  <c r="T41" i="2"/>
  <c r="T44" i="2" s="1"/>
  <c r="T39" i="2"/>
  <c r="T40" i="2" s="1"/>
  <c r="U39" i="2"/>
  <c r="U40" i="2" s="1"/>
  <c r="U54" i="2" s="1"/>
  <c r="V14" i="2"/>
  <c r="R50" i="2"/>
  <c r="R57" i="2" s="1"/>
  <c r="S50" i="2"/>
  <c r="V47" i="2"/>
  <c r="V63" i="2" s="1"/>
  <c r="Q57" i="2"/>
  <c r="Q88" i="2"/>
  <c r="Q89" i="2" s="1"/>
  <c r="Q94" i="2" s="1"/>
  <c r="Z10" i="2" l="1"/>
  <c r="Z9" i="2"/>
  <c r="W14" i="2"/>
  <c r="X15" i="2"/>
  <c r="X7" i="2"/>
  <c r="W27" i="2"/>
  <c r="W38" i="2"/>
  <c r="W25" i="2" s="1"/>
  <c r="Z13" i="2"/>
  <c r="R88" i="2"/>
  <c r="R89" i="2" s="1"/>
  <c r="R94" i="2" s="1"/>
  <c r="T54" i="2"/>
  <c r="T45" i="2"/>
  <c r="U45" i="2"/>
  <c r="U48" i="2" s="1"/>
  <c r="V38" i="2"/>
  <c r="V24" i="2" s="1"/>
  <c r="X11" i="2"/>
  <c r="W47" i="2"/>
  <c r="W63" i="2" s="1"/>
  <c r="S57" i="2"/>
  <c r="S88" i="2"/>
  <c r="S89" i="2" s="1"/>
  <c r="S94" i="2" s="1"/>
  <c r="Y15" i="2" l="1"/>
  <c r="X14" i="2"/>
  <c r="X38" i="2" s="1"/>
  <c r="W24" i="2"/>
  <c r="Y7" i="2"/>
  <c r="X27" i="2"/>
  <c r="V22" i="2"/>
  <c r="V18" i="2"/>
  <c r="V20" i="2"/>
  <c r="V19" i="2"/>
  <c r="V23" i="2"/>
  <c r="V17" i="2"/>
  <c r="V25" i="2"/>
  <c r="V21" i="2"/>
  <c r="U55" i="2"/>
  <c r="V60" i="2"/>
  <c r="V41" i="2"/>
  <c r="V44" i="2" s="1"/>
  <c r="V39" i="2"/>
  <c r="V40" i="2" s="1"/>
  <c r="T48" i="2"/>
  <c r="T49" i="2" s="1"/>
  <c r="T56" i="2" s="1"/>
  <c r="T55" i="2"/>
  <c r="Y11" i="2"/>
  <c r="U49" i="2"/>
  <c r="U56" i="2" s="1"/>
  <c r="X47" i="2"/>
  <c r="X63" i="2" s="1"/>
  <c r="X22" i="2" l="1"/>
  <c r="X18" i="2"/>
  <c r="X23" i="2"/>
  <c r="X20" i="2"/>
  <c r="X19" i="2"/>
  <c r="X21" i="2"/>
  <c r="X25" i="2"/>
  <c r="X17" i="2"/>
  <c r="T50" i="2"/>
  <c r="T57" i="2" s="1"/>
  <c r="Z15" i="2"/>
  <c r="Z7" i="2"/>
  <c r="Y27" i="2"/>
  <c r="Y14" i="2"/>
  <c r="X24" i="2"/>
  <c r="X39" i="2"/>
  <c r="X40" i="2" s="1"/>
  <c r="X54" i="2" s="1"/>
  <c r="V54" i="2"/>
  <c r="V45" i="2"/>
  <c r="X41" i="2"/>
  <c r="X44" i="2" s="1"/>
  <c r="Z11" i="2"/>
  <c r="Y38" i="2"/>
  <c r="Y25" i="2" s="1"/>
  <c r="U50" i="2"/>
  <c r="U57" i="2" s="1"/>
  <c r="Y47" i="2"/>
  <c r="Y63" i="2" s="1"/>
  <c r="X45" i="2" l="1"/>
  <c r="Y60" i="2"/>
  <c r="Y22" i="2"/>
  <c r="Y18" i="2"/>
  <c r="Y23" i="2"/>
  <c r="Y19" i="2"/>
  <c r="Y20" i="2"/>
  <c r="Y21" i="2"/>
  <c r="Z14" i="2"/>
  <c r="Y24" i="2"/>
  <c r="Y17" i="2"/>
  <c r="Z27" i="2"/>
  <c r="T88" i="2"/>
  <c r="T89" i="2" s="1"/>
  <c r="T94" i="2" s="1"/>
  <c r="Y39" i="2"/>
  <c r="V48" i="2"/>
  <c r="V49" i="2" s="1"/>
  <c r="V56" i="2" s="1"/>
  <c r="V55" i="2"/>
  <c r="U88" i="2"/>
  <c r="U89" i="2" s="1"/>
  <c r="U94" i="2" s="1"/>
  <c r="Y40" i="2"/>
  <c r="Y54" i="2" s="1"/>
  <c r="Y41" i="2"/>
  <c r="Y44" i="2" s="1"/>
  <c r="V50" i="2"/>
  <c r="V57" i="2" s="1"/>
  <c r="Z47" i="2"/>
  <c r="Z63" i="2" s="1"/>
  <c r="X48" i="2"/>
  <c r="X55" i="2"/>
  <c r="Z38" i="2" l="1"/>
  <c r="Y45" i="2"/>
  <c r="V88" i="2"/>
  <c r="V89" i="2" s="1"/>
  <c r="V94" i="2" s="1"/>
  <c r="Y55" i="2"/>
  <c r="Y48" i="2"/>
  <c r="X49" i="2"/>
  <c r="X56" i="2" s="1"/>
  <c r="Z22" i="2" l="1"/>
  <c r="Z18" i="2"/>
  <c r="Z23" i="2"/>
  <c r="Z19" i="2"/>
  <c r="Z20" i="2"/>
  <c r="Z25" i="2"/>
  <c r="Z39" i="2"/>
  <c r="Z40" i="2" s="1"/>
  <c r="Z41" i="2"/>
  <c r="Z44" i="2" s="1"/>
  <c r="Z17" i="2"/>
  <c r="Z60" i="2"/>
  <c r="Z21" i="2"/>
  <c r="Z24" i="2"/>
  <c r="X50" i="2"/>
  <c r="X57" i="2" s="1"/>
  <c r="X88" i="2"/>
  <c r="X89" i="2" s="1"/>
  <c r="X94" i="2" s="1"/>
  <c r="Y56" i="2"/>
  <c r="Z54" i="2" l="1"/>
  <c r="Z45" i="2"/>
  <c r="Y50" i="2"/>
  <c r="Y57" i="2" s="1"/>
  <c r="Z48" i="2" l="1"/>
  <c r="Z55" i="2"/>
  <c r="Y88" i="2"/>
  <c r="Y89" i="2" s="1"/>
  <c r="Y94" i="2" s="1"/>
  <c r="Z49" i="2" l="1"/>
  <c r="Z56" i="2" s="1"/>
  <c r="Z50" i="2" l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BJ50" i="2" s="1"/>
  <c r="BK50" i="2" s="1"/>
  <c r="BL50" i="2" s="1"/>
  <c r="BM50" i="2" s="1"/>
  <c r="BN50" i="2" s="1"/>
  <c r="BO50" i="2" s="1"/>
  <c r="BP50" i="2" s="1"/>
  <c r="BQ50" i="2" s="1"/>
  <c r="BR50" i="2" s="1"/>
  <c r="BS50" i="2" s="1"/>
  <c r="BT50" i="2" s="1"/>
  <c r="BU50" i="2" s="1"/>
  <c r="BV50" i="2" s="1"/>
  <c r="Z88" i="2"/>
  <c r="Z89" i="2" s="1"/>
  <c r="Z94" i="2" s="1"/>
  <c r="Z57" i="2"/>
  <c r="X60" i="2" l="1"/>
  <c r="W41" i="2"/>
  <c r="W44" i="2" s="1"/>
  <c r="W39" i="2"/>
  <c r="W40" i="2" s="1"/>
  <c r="W60" i="2"/>
  <c r="W17" i="2"/>
  <c r="W18" i="2"/>
  <c r="W19" i="2"/>
  <c r="W20" i="2"/>
  <c r="W21" i="2"/>
  <c r="W22" i="2"/>
  <c r="W23" i="2"/>
  <c r="W45" i="2" l="1"/>
  <c r="W54" i="2"/>
  <c r="W48" i="2" l="1"/>
  <c r="W55" i="2"/>
  <c r="W49" i="2" l="1"/>
  <c r="W56" i="2" s="1"/>
  <c r="W50" i="2" l="1"/>
  <c r="W57" i="2" s="1"/>
  <c r="AC57" i="2"/>
  <c r="W88" i="2"/>
  <c r="W89" i="2" s="1"/>
  <c r="W94" i="2" s="1"/>
  <c r="AC58" i="2" l="1"/>
  <c r="AC60" i="2" l="1"/>
</calcChain>
</file>

<file path=xl/sharedStrings.xml><?xml version="1.0" encoding="utf-8"?>
<sst xmlns="http://schemas.openxmlformats.org/spreadsheetml/2006/main" count="133" uniqueCount="125">
  <si>
    <t xml:space="preserve">Price </t>
  </si>
  <si>
    <t>Shares</t>
  </si>
  <si>
    <t xml:space="preserve">MC </t>
  </si>
  <si>
    <t xml:space="preserve">Cash </t>
  </si>
  <si>
    <t xml:space="preserve">Debt </t>
  </si>
  <si>
    <t xml:space="preserve">EV </t>
  </si>
  <si>
    <t>Founded</t>
  </si>
  <si>
    <t xml:space="preserve">CEO </t>
  </si>
  <si>
    <t xml:space="preserve">IES Holdings Inc </t>
  </si>
  <si>
    <t>IES Holdings, Inc. designs and installs integrated electrical and technology systems</t>
  </si>
  <si>
    <t xml:space="preserve">provides infrastructure products and services to a variety of end markets including : </t>
  </si>
  <si>
    <t xml:space="preserve">data centers , residential housing , commercial , and industrial facilities </t>
  </si>
  <si>
    <t xml:space="preserve">meaning = product based + service based </t>
  </si>
  <si>
    <t xml:space="preserve">Business segments : </t>
  </si>
  <si>
    <t xml:space="preserve">Communications </t>
  </si>
  <si>
    <t xml:space="preserve">Communications = nationwide provider of technology infrastructure services </t>
  </si>
  <si>
    <t xml:space="preserve">Residential = regional provider of eletrical installation services for housing and multi family apartment complexes </t>
  </si>
  <si>
    <t xml:space="preserve">Infrastructure solutions = mostly used in data centers </t>
  </si>
  <si>
    <t xml:space="preserve">Commercial &amp; Industrial </t>
  </si>
  <si>
    <t xml:space="preserve">Traditionally small competitors have faced barriers to entry  ? </t>
  </si>
  <si>
    <t xml:space="preserve">Primary advantages vary by location and market , mostly are based upon local individual relationships </t>
  </si>
  <si>
    <t xml:space="preserve">with key customers or a demonstrated industry expertise </t>
  </si>
  <si>
    <t>As of Sep 30 , 2024 IESC has 131 domestic locations.</t>
  </si>
  <si>
    <t xml:space="preserve">24 locations Communication Services </t>
  </si>
  <si>
    <t xml:space="preserve">75 locations Residential business </t>
  </si>
  <si>
    <t xml:space="preserve">13 locations Infrastructure solutions </t>
  </si>
  <si>
    <t xml:space="preserve">17 locations Commercial &amp; Industry business </t>
  </si>
  <si>
    <t xml:space="preserve">2 corporate offices </t>
  </si>
  <si>
    <t xml:space="preserve">IESC can be considered part of Construction industry and due to the nature of business is relied </t>
  </si>
  <si>
    <t xml:space="preserve">in housing markets and other industries which customers operate </t>
  </si>
  <si>
    <t xml:space="preserve">Depended on weather trends </t>
  </si>
  <si>
    <t>Seasonal - generates more revenue during spring and summer and lower revenues Q3,Q4</t>
  </si>
  <si>
    <t xml:space="preserve">Trends of the construction industry </t>
  </si>
  <si>
    <t>Jeffrey Lund Gendell</t>
  </si>
  <si>
    <t xml:space="preserve">AR </t>
  </si>
  <si>
    <t xml:space="preserve">Inventories </t>
  </si>
  <si>
    <t xml:space="preserve">Costs </t>
  </si>
  <si>
    <t xml:space="preserve">Prepaids </t>
  </si>
  <si>
    <t xml:space="preserve">PPE </t>
  </si>
  <si>
    <t xml:space="preserve">Goodwill </t>
  </si>
  <si>
    <t xml:space="preserve">Deferred Tax </t>
  </si>
  <si>
    <t xml:space="preserve">RoU </t>
  </si>
  <si>
    <t xml:space="preserve">ONCA </t>
  </si>
  <si>
    <t xml:space="preserve">ASSETS </t>
  </si>
  <si>
    <t xml:space="preserve">AP </t>
  </si>
  <si>
    <t xml:space="preserve">Lease </t>
  </si>
  <si>
    <t xml:space="preserve">Tax </t>
  </si>
  <si>
    <t xml:space="preserve">ONCL </t>
  </si>
  <si>
    <t xml:space="preserve">Liabilities </t>
  </si>
  <si>
    <t xml:space="preserve">Billings </t>
  </si>
  <si>
    <t xml:space="preserve">SE </t>
  </si>
  <si>
    <t>L + SE</t>
  </si>
  <si>
    <t xml:space="preserve">Liquidation value </t>
  </si>
  <si>
    <t xml:space="preserve">Book Value </t>
  </si>
  <si>
    <t xml:space="preserve">Net cash </t>
  </si>
  <si>
    <t xml:space="preserve">Revenue </t>
  </si>
  <si>
    <t xml:space="preserve">COGS </t>
  </si>
  <si>
    <t xml:space="preserve">Gross </t>
  </si>
  <si>
    <t xml:space="preserve">SGA </t>
  </si>
  <si>
    <t xml:space="preserve">Contigent </t>
  </si>
  <si>
    <t xml:space="preserve">Other </t>
  </si>
  <si>
    <t xml:space="preserve">Operating expense </t>
  </si>
  <si>
    <t xml:space="preserve">Operating income </t>
  </si>
  <si>
    <t xml:space="preserve">Interest </t>
  </si>
  <si>
    <t xml:space="preserve">Pretax </t>
  </si>
  <si>
    <t xml:space="preserve">Net income </t>
  </si>
  <si>
    <t xml:space="preserve">CFFO </t>
  </si>
  <si>
    <t xml:space="preserve">CapEx </t>
  </si>
  <si>
    <t xml:space="preserve">FCF </t>
  </si>
  <si>
    <t xml:space="preserve">CFFI </t>
  </si>
  <si>
    <t xml:space="preserve">CFFF </t>
  </si>
  <si>
    <t xml:space="preserve">Borrowing of debt </t>
  </si>
  <si>
    <t xml:space="preserve">Repayment of debt </t>
  </si>
  <si>
    <t xml:space="preserve">Cash paid leases </t>
  </si>
  <si>
    <t xml:space="preserve">NC interest purchase </t>
  </si>
  <si>
    <t xml:space="preserve">Settlement </t>
  </si>
  <si>
    <t xml:space="preserve">Distribution NC interest </t>
  </si>
  <si>
    <t xml:space="preserve">Purchase treasury stock </t>
  </si>
  <si>
    <t xml:space="preserve">Net change </t>
  </si>
  <si>
    <t xml:space="preserve">Revenue y.y </t>
  </si>
  <si>
    <t xml:space="preserve">Gross margin </t>
  </si>
  <si>
    <t xml:space="preserve">Op Inc </t>
  </si>
  <si>
    <t xml:space="preserve">Tax rate </t>
  </si>
  <si>
    <t>terminal</t>
  </si>
  <si>
    <t xml:space="preserve">discount </t>
  </si>
  <si>
    <t xml:space="preserve">ROIC </t>
  </si>
  <si>
    <t xml:space="preserve">NPV </t>
  </si>
  <si>
    <t xml:space="preserve">Share </t>
  </si>
  <si>
    <t xml:space="preserve">Current </t>
  </si>
  <si>
    <t xml:space="preserve">Change </t>
  </si>
  <si>
    <t xml:space="preserve">Single Family Eletrical </t>
  </si>
  <si>
    <t xml:space="preserve">Single Family Plumbing HVAC </t>
  </si>
  <si>
    <t xml:space="preserve">Multifamily and other </t>
  </si>
  <si>
    <t xml:space="preserve">Total Residential </t>
  </si>
  <si>
    <t xml:space="preserve">Industrial Services </t>
  </si>
  <si>
    <t xml:space="preserve">Custom Engineered Solutions </t>
  </si>
  <si>
    <t xml:space="preserve">Total Infrastructure Solutions </t>
  </si>
  <si>
    <t>SFE %</t>
  </si>
  <si>
    <t>SFP HVAC %</t>
  </si>
  <si>
    <t xml:space="preserve">MF &amp; O % </t>
  </si>
  <si>
    <t>Total Residential %</t>
  </si>
  <si>
    <t xml:space="preserve">IS % </t>
  </si>
  <si>
    <t>CES %</t>
  </si>
  <si>
    <t xml:space="preserve">C&amp;I % </t>
  </si>
  <si>
    <t>Communications %</t>
  </si>
  <si>
    <t>Communications y/y</t>
  </si>
  <si>
    <t>SFE y/y</t>
  </si>
  <si>
    <t>SFP HVAC y/y</t>
  </si>
  <si>
    <t>MF &amp; O y/y</t>
  </si>
  <si>
    <t>Total Residential y/y</t>
  </si>
  <si>
    <t>IS y/y</t>
  </si>
  <si>
    <t>CES y/y</t>
  </si>
  <si>
    <t>Total infrastructure solutions %</t>
  </si>
  <si>
    <t xml:space="preserve">Total infrastructure solutions y/y </t>
  </si>
  <si>
    <t xml:space="preserve">C&amp;I y/y </t>
  </si>
  <si>
    <t xml:space="preserve">Announcment $300m facility </t>
  </si>
  <si>
    <t>Q123</t>
  </si>
  <si>
    <t>Q223</t>
  </si>
  <si>
    <t>Q323</t>
  </si>
  <si>
    <t>Q423</t>
  </si>
  <si>
    <t>Q124</t>
  </si>
  <si>
    <t>Q224</t>
  </si>
  <si>
    <t>Q324</t>
  </si>
  <si>
    <t>Q424</t>
  </si>
  <si>
    <t xml:space="preserve">EPS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</si>
</sst>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9" fontId="0" fillId="0" borderId="0" xfId="1" applyFont="1"/>
    <xf numFmtId="9" fontId="2" fillId="0" borderId="0" xfId="1" applyFont="1"/>
    <xf numFmtId="8" fontId="2" fillId="0" borderId="0" xfId="0" applyNumberFormat="1" applyFont="1"/>
    <xf numFmtId="9" fontId="1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22412</xdr:colOff>
      <xdr:row>3</xdr:row>
      <xdr:rowOff>8404</xdr:rowOff>
    </xdr:from>
    <xdr:to>
      <xdr:col>15</xdr:col>
      <xdr:colOff>50987</xdr:colOff>
      <xdr:row>117</xdr:row>
      <xdr:rowOff>179854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6EC9626-CF1C-2BEA-8DE8-2C28C9918C25}"/>
            </a:ext>
          </a:extLst>
        </xdr:cNvPr>
        <xdr:cNvCxnSpPr/>
      </xdr:nvCxnSpPr>
      <xdr:spPr>
        <a:xfrm>
          <a:off x="6028765" y="579904"/>
          <a:ext cx="28575" cy="2211256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3</xdr:row>
      <xdr:rowOff>0</xdr:rowOff>
    </xdr:from>
    <xdr:to>
      <xdr:col>21</xdr:col>
      <xdr:colOff>57150</xdr:colOff>
      <xdr:row>117</xdr:row>
      <xdr:rowOff>171450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005676F-A99E-4EBD-AB7B-EF482EBEE1AF}"/>
            </a:ext>
          </a:extLst>
        </xdr:cNvPr>
        <xdr:cNvCxnSpPr/>
      </xdr:nvCxnSpPr>
      <xdr:spPr>
        <a:xfrm>
          <a:off x="9544050" y="571500"/>
          <a:ext cx="28575" cy="14325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BF05-77E1-47CC-AC97-1535E3FE48EC}">
  <dimension ref="A5:N52"/>
  <sheetViews>
    <sheetView workbookViewId="0">
      <selection activeCell="C23" sqref="C23"/>
    </sheetView>
  </sheetViews>
  <sheetFormatPr defaultRowHeight="15.75" x14ac:dyDescent="0.25"/>
  <cols>
    <col min="1" max="1" width="8.88671875" style="1"/>
  </cols>
  <sheetData>
    <row r="5" spans="1:14" x14ac:dyDescent="0.25">
      <c r="B5" t="s">
        <v>6</v>
      </c>
      <c r="C5">
        <v>1984</v>
      </c>
      <c r="M5" s="14" t="s">
        <v>8</v>
      </c>
      <c r="N5" s="14"/>
    </row>
    <row r="6" spans="1:14" x14ac:dyDescent="0.25">
      <c r="B6" t="s">
        <v>7</v>
      </c>
      <c r="C6" s="9" t="s">
        <v>33</v>
      </c>
    </row>
    <row r="7" spans="1:14" x14ac:dyDescent="0.25">
      <c r="M7" t="s">
        <v>0</v>
      </c>
      <c r="N7">
        <v>316</v>
      </c>
    </row>
    <row r="8" spans="1:14" x14ac:dyDescent="0.25">
      <c r="M8" t="s">
        <v>1</v>
      </c>
      <c r="N8">
        <v>19</v>
      </c>
    </row>
    <row r="9" spans="1:14" x14ac:dyDescent="0.25">
      <c r="M9" t="s">
        <v>2</v>
      </c>
      <c r="N9">
        <f>+N7*N8</f>
        <v>6004</v>
      </c>
    </row>
    <row r="10" spans="1:14" x14ac:dyDescent="0.25">
      <c r="A10" s="1">
        <v>1</v>
      </c>
      <c r="B10" t="s">
        <v>9</v>
      </c>
      <c r="M10" t="s">
        <v>3</v>
      </c>
      <c r="N10" s="2">
        <f>100.832+35.003</f>
        <v>135.83499999999998</v>
      </c>
    </row>
    <row r="11" spans="1:14" x14ac:dyDescent="0.25">
      <c r="B11" t="s">
        <v>10</v>
      </c>
      <c r="M11" t="s">
        <v>4</v>
      </c>
      <c r="N11">
        <v>0</v>
      </c>
    </row>
    <row r="12" spans="1:14" x14ac:dyDescent="0.25">
      <c r="B12" t="s">
        <v>11</v>
      </c>
      <c r="M12" t="s">
        <v>5</v>
      </c>
      <c r="N12" s="2">
        <f>+N9-N10+N11</f>
        <v>5868.165</v>
      </c>
    </row>
    <row r="13" spans="1:14" x14ac:dyDescent="0.25">
      <c r="B13" t="s">
        <v>12</v>
      </c>
    </row>
    <row r="16" spans="1:14" x14ac:dyDescent="0.25">
      <c r="M16" s="8">
        <v>45679</v>
      </c>
      <c r="N16" t="s">
        <v>115</v>
      </c>
    </row>
    <row r="17" spans="1:2" x14ac:dyDescent="0.25">
      <c r="A17" s="1">
        <v>2</v>
      </c>
      <c r="B17" t="s">
        <v>13</v>
      </c>
    </row>
    <row r="19" spans="1:2" x14ac:dyDescent="0.25">
      <c r="B19" t="s">
        <v>15</v>
      </c>
    </row>
    <row r="21" spans="1:2" x14ac:dyDescent="0.25">
      <c r="B21" t="s">
        <v>16</v>
      </c>
    </row>
    <row r="23" spans="1:2" x14ac:dyDescent="0.25">
      <c r="B23" t="s">
        <v>17</v>
      </c>
    </row>
    <row r="25" spans="1:2" x14ac:dyDescent="0.25">
      <c r="B25" t="s">
        <v>18</v>
      </c>
    </row>
    <row r="29" spans="1:2" x14ac:dyDescent="0.25">
      <c r="A29" s="1">
        <v>3</v>
      </c>
      <c r="B29" t="s">
        <v>19</v>
      </c>
    </row>
    <row r="30" spans="1:2" x14ac:dyDescent="0.25">
      <c r="B30" t="s">
        <v>20</v>
      </c>
    </row>
    <row r="31" spans="1:2" x14ac:dyDescent="0.25">
      <c r="B31" t="s">
        <v>21</v>
      </c>
    </row>
    <row r="35" spans="1:2" x14ac:dyDescent="0.25">
      <c r="A35" s="1">
        <v>4</v>
      </c>
      <c r="B35" t="s">
        <v>22</v>
      </c>
    </row>
    <row r="37" spans="1:2" x14ac:dyDescent="0.25">
      <c r="B37" t="s">
        <v>27</v>
      </c>
    </row>
    <row r="38" spans="1:2" x14ac:dyDescent="0.25">
      <c r="B38" t="s">
        <v>23</v>
      </c>
    </row>
    <row r="39" spans="1:2" x14ac:dyDescent="0.25">
      <c r="B39" t="s">
        <v>24</v>
      </c>
    </row>
    <row r="40" spans="1:2" x14ac:dyDescent="0.25">
      <c r="B40" t="s">
        <v>25</v>
      </c>
    </row>
    <row r="41" spans="1:2" x14ac:dyDescent="0.25">
      <c r="B41" t="s">
        <v>26</v>
      </c>
    </row>
    <row r="45" spans="1:2" x14ac:dyDescent="0.25">
      <c r="A45" s="1">
        <v>5</v>
      </c>
      <c r="B45" t="s">
        <v>28</v>
      </c>
    </row>
    <row r="46" spans="1:2" x14ac:dyDescent="0.25">
      <c r="B46" t="s">
        <v>29</v>
      </c>
    </row>
    <row r="50" spans="1:2" x14ac:dyDescent="0.25">
      <c r="A50" s="1">
        <v>6</v>
      </c>
      <c r="B50" t="s">
        <v>30</v>
      </c>
    </row>
    <row r="51" spans="1:2" x14ac:dyDescent="0.25">
      <c r="B51" t="s">
        <v>31</v>
      </c>
    </row>
    <row r="52" spans="1:2" x14ac:dyDescent="0.25">
      <c r="B52" t="s">
        <v>32</v>
      </c>
    </row>
  </sheetData>
  <mergeCells count="1">
    <mergeCell ref="M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8155-71CD-4367-A902-BDD161DD02F0}">
  <dimension ref="B5:BV110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17" sqref="J17"/>
    </sheetView>
  </sheetViews>
  <sheetFormatPr defaultRowHeight="15" x14ac:dyDescent="0.2"/>
  <cols>
    <col min="2" max="2" width="30.6640625" customWidth="1"/>
    <col min="6" max="6" width="10.33203125" bestFit="1" customWidth="1"/>
    <col min="9" max="9" width="9.88671875" customWidth="1"/>
    <col min="10" max="10" width="10.33203125" bestFit="1" customWidth="1"/>
    <col min="14" max="14" width="9.21875" bestFit="1" customWidth="1"/>
    <col min="15" max="15" width="10.33203125" customWidth="1"/>
    <col min="16" max="16" width="10.33203125" bestFit="1" customWidth="1"/>
    <col min="27" max="27" width="9.44140625" bestFit="1" customWidth="1"/>
    <col min="29" max="29" width="9.77734375" customWidth="1"/>
  </cols>
  <sheetData>
    <row r="5" spans="2:26" x14ac:dyDescent="0.2">
      <c r="C5" s="12">
        <v>44959</v>
      </c>
      <c r="D5" s="12">
        <v>45049</v>
      </c>
      <c r="E5" s="12">
        <v>45140</v>
      </c>
      <c r="F5" s="12">
        <v>45267</v>
      </c>
      <c r="G5" s="12">
        <v>45324</v>
      </c>
      <c r="H5" s="12">
        <v>45415</v>
      </c>
      <c r="I5" s="12">
        <v>45506</v>
      </c>
      <c r="J5" s="12">
        <v>45618</v>
      </c>
      <c r="N5" s="8">
        <v>45267</v>
      </c>
      <c r="O5" s="8">
        <v>45618</v>
      </c>
      <c r="P5" s="8"/>
    </row>
    <row r="6" spans="2:26" s="11" customFormat="1" x14ac:dyDescent="0.2">
      <c r="C6" s="11" t="s">
        <v>116</v>
      </c>
      <c r="D6" s="11" t="s">
        <v>117</v>
      </c>
      <c r="E6" s="11" t="s">
        <v>118</v>
      </c>
      <c r="F6" s="11" t="s">
        <v>119</v>
      </c>
      <c r="G6" s="11" t="s">
        <v>120</v>
      </c>
      <c r="H6" s="11" t="s">
        <v>121</v>
      </c>
      <c r="I6" s="11" t="s">
        <v>122</v>
      </c>
      <c r="J6" s="11" t="s">
        <v>123</v>
      </c>
      <c r="M6" s="9">
        <v>2022</v>
      </c>
      <c r="N6" s="9">
        <v>2023</v>
      </c>
      <c r="O6" s="9">
        <v>2024</v>
      </c>
      <c r="P6" s="9">
        <f>+O6+1</f>
        <v>2025</v>
      </c>
      <c r="Q6" s="9">
        <f t="shared" ref="Q6:Z6" si="0">+P6+1</f>
        <v>2026</v>
      </c>
      <c r="R6" s="9">
        <f t="shared" si="0"/>
        <v>2027</v>
      </c>
      <c r="S6" s="9">
        <f t="shared" si="0"/>
        <v>2028</v>
      </c>
      <c r="T6" s="9">
        <f t="shared" si="0"/>
        <v>2029</v>
      </c>
      <c r="U6" s="9">
        <f t="shared" si="0"/>
        <v>2030</v>
      </c>
      <c r="V6" s="9">
        <f t="shared" si="0"/>
        <v>2031</v>
      </c>
      <c r="W6" s="9">
        <f t="shared" si="0"/>
        <v>2032</v>
      </c>
      <c r="X6" s="9">
        <f t="shared" si="0"/>
        <v>2033</v>
      </c>
      <c r="Y6" s="9">
        <f t="shared" si="0"/>
        <v>2034</v>
      </c>
      <c r="Z6" s="9">
        <f t="shared" si="0"/>
        <v>2035</v>
      </c>
    </row>
    <row r="7" spans="2:26" s="1" customFormat="1" ht="15.75" x14ac:dyDescent="0.25">
      <c r="B7" s="3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v>559.77700000000004</v>
      </c>
      <c r="N7" s="3">
        <v>600.77599999999995</v>
      </c>
      <c r="O7" s="3">
        <v>776.47400000000005</v>
      </c>
      <c r="P7" s="3">
        <f>+O7*1.15</f>
        <v>892.94510000000002</v>
      </c>
      <c r="Q7" s="3">
        <f t="shared" ref="Q7:U7" si="1">+P7*1.15</f>
        <v>1026.8868649999999</v>
      </c>
      <c r="R7" s="3">
        <f t="shared" si="1"/>
        <v>1180.9198947499999</v>
      </c>
      <c r="S7" s="3">
        <f t="shared" si="1"/>
        <v>1358.0578789624999</v>
      </c>
      <c r="T7" s="3">
        <f t="shared" si="1"/>
        <v>1561.7665608068748</v>
      </c>
      <c r="U7" s="3">
        <f t="shared" si="1"/>
        <v>1796.031544927906</v>
      </c>
      <c r="V7" s="3">
        <f t="shared" ref="V7:V15" si="2">+U7*0.97</f>
        <v>1742.1505985800688</v>
      </c>
      <c r="W7" s="3">
        <f t="shared" ref="W7:Z7" si="3">+V7*0.97</f>
        <v>1689.8860806226667</v>
      </c>
      <c r="X7" s="3">
        <f t="shared" si="3"/>
        <v>1639.1894982039867</v>
      </c>
      <c r="Y7" s="3">
        <f t="shared" si="3"/>
        <v>1590.013813257867</v>
      </c>
      <c r="Z7" s="3">
        <f t="shared" si="3"/>
        <v>1542.313398860131</v>
      </c>
    </row>
    <row r="8" spans="2:26" x14ac:dyDescent="0.2">
      <c r="B8" s="2" t="s">
        <v>90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660.60199999999998</v>
      </c>
      <c r="N8" s="2">
        <v>717.38599999999997</v>
      </c>
      <c r="O8" s="2">
        <v>732.33399999999995</v>
      </c>
      <c r="P8" s="2">
        <f>+O8*1.02</f>
        <v>746.98068000000001</v>
      </c>
      <c r="Q8" s="2">
        <f t="shared" ref="Q8:U8" si="4">+P8*1.02</f>
        <v>761.92029360000004</v>
      </c>
      <c r="R8" s="2">
        <f t="shared" si="4"/>
        <v>777.15869947200008</v>
      </c>
      <c r="S8" s="2">
        <f t="shared" si="4"/>
        <v>792.70187346144007</v>
      </c>
      <c r="T8" s="2">
        <f t="shared" si="4"/>
        <v>808.55591093066892</v>
      </c>
      <c r="U8" s="2">
        <f t="shared" si="4"/>
        <v>824.72702914928232</v>
      </c>
      <c r="V8" s="2">
        <f t="shared" si="2"/>
        <v>799.98521827480386</v>
      </c>
      <c r="W8" s="2">
        <f t="shared" ref="W8:Z8" si="5">+V8*0.97</f>
        <v>775.98566172655967</v>
      </c>
      <c r="X8" s="2">
        <f t="shared" si="5"/>
        <v>752.70609187476282</v>
      </c>
      <c r="Y8" s="2">
        <f t="shared" si="5"/>
        <v>730.12490911851989</v>
      </c>
      <c r="Z8" s="2">
        <f t="shared" si="5"/>
        <v>708.22116184496429</v>
      </c>
    </row>
    <row r="9" spans="2:26" x14ac:dyDescent="0.2">
      <c r="B9" s="2" t="s">
        <v>91</v>
      </c>
      <c r="C9" s="2"/>
      <c r="D9" s="2"/>
      <c r="E9" s="2"/>
      <c r="F9" s="2"/>
      <c r="G9" s="2"/>
      <c r="H9" s="2"/>
      <c r="I9" s="2"/>
      <c r="J9" s="2"/>
      <c r="K9" s="2"/>
      <c r="L9" s="2"/>
      <c r="M9" s="2">
        <v>164.90299999999999</v>
      </c>
      <c r="N9" s="2">
        <v>243.88499999999999</v>
      </c>
      <c r="O9" s="2">
        <v>324.911</v>
      </c>
      <c r="P9" s="2">
        <f>+O9*1.02</f>
        <v>331.40922</v>
      </c>
      <c r="Q9" s="2">
        <f t="shared" ref="Q9:U9" si="6">+P9*1.02</f>
        <v>338.03740440000001</v>
      </c>
      <c r="R9" s="2">
        <f t="shared" si="6"/>
        <v>344.79815248800003</v>
      </c>
      <c r="S9" s="2">
        <f t="shared" si="6"/>
        <v>351.69411553776001</v>
      </c>
      <c r="T9" s="2">
        <f t="shared" si="6"/>
        <v>358.7279978485152</v>
      </c>
      <c r="U9" s="2">
        <f t="shared" si="6"/>
        <v>365.90255780548551</v>
      </c>
      <c r="V9" s="2">
        <f t="shared" si="2"/>
        <v>354.92548107132092</v>
      </c>
      <c r="W9" s="2">
        <f t="shared" ref="W9:Z9" si="7">+V9*0.97</f>
        <v>344.27771663918128</v>
      </c>
      <c r="X9" s="2">
        <f t="shared" si="7"/>
        <v>333.94938514000586</v>
      </c>
      <c r="Y9" s="2">
        <f t="shared" si="7"/>
        <v>323.93090358580565</v>
      </c>
      <c r="Z9" s="2">
        <f t="shared" si="7"/>
        <v>314.2129764782315</v>
      </c>
    </row>
    <row r="10" spans="2:26" x14ac:dyDescent="0.2">
      <c r="B10" s="2" t="s">
        <v>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305.90899999999999</v>
      </c>
      <c r="N10" s="2">
        <v>318.233</v>
      </c>
      <c r="O10" s="2">
        <v>331.59500000000003</v>
      </c>
      <c r="P10" s="2">
        <f>+O10*1.04</f>
        <v>344.85880000000003</v>
      </c>
      <c r="Q10" s="2">
        <f t="shared" ref="Q10:U10" si="8">+P10*1.04</f>
        <v>358.65315200000003</v>
      </c>
      <c r="R10" s="2">
        <f t="shared" si="8"/>
        <v>372.99927808000007</v>
      </c>
      <c r="S10" s="2">
        <f t="shared" si="8"/>
        <v>387.91924920320008</v>
      </c>
      <c r="T10" s="2">
        <f t="shared" si="8"/>
        <v>403.4360191713281</v>
      </c>
      <c r="U10" s="2">
        <f t="shared" si="8"/>
        <v>419.57345993818126</v>
      </c>
      <c r="V10" s="2">
        <f t="shared" si="2"/>
        <v>406.98625614003583</v>
      </c>
      <c r="W10" s="2">
        <f t="shared" ref="W10:Z10" si="9">+V10*0.97</f>
        <v>394.77666845583474</v>
      </c>
      <c r="X10" s="2">
        <f t="shared" si="9"/>
        <v>382.93336840215966</v>
      </c>
      <c r="Y10" s="2">
        <f t="shared" si="9"/>
        <v>371.44536735009484</v>
      </c>
      <c r="Z10" s="2">
        <f t="shared" si="9"/>
        <v>360.30200632959196</v>
      </c>
    </row>
    <row r="11" spans="2:26" s="1" customFormat="1" ht="15.75" x14ac:dyDescent="0.25">
      <c r="B11" s="3" t="s">
        <v>93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f>+M8+M9+M10</f>
        <v>1131.414</v>
      </c>
      <c r="N11" s="3">
        <f>+N8+N9+N10</f>
        <v>1279.5039999999999</v>
      </c>
      <c r="O11" s="3">
        <f>+O8+O9+O10</f>
        <v>1388.84</v>
      </c>
      <c r="P11" s="3">
        <f>+P8+P9+P10</f>
        <v>1423.2487000000001</v>
      </c>
      <c r="Q11" s="3">
        <f t="shared" ref="Q11:U11" si="10">+Q8+Q9+Q10</f>
        <v>1458.6108500000003</v>
      </c>
      <c r="R11" s="3">
        <f t="shared" si="10"/>
        <v>1494.9561300400003</v>
      </c>
      <c r="S11" s="3">
        <f t="shared" si="10"/>
        <v>1532.3152382024002</v>
      </c>
      <c r="T11" s="3">
        <f t="shared" si="10"/>
        <v>1570.7199279505121</v>
      </c>
      <c r="U11" s="3">
        <f t="shared" si="10"/>
        <v>1610.203046892949</v>
      </c>
      <c r="V11" s="3">
        <f t="shared" si="2"/>
        <v>1561.8969554861606</v>
      </c>
      <c r="W11" s="3">
        <f t="shared" ref="W11:Z11" si="11">+V11*0.97</f>
        <v>1515.0400468215757</v>
      </c>
      <c r="X11" s="3">
        <f t="shared" si="11"/>
        <v>1469.5888454169285</v>
      </c>
      <c r="Y11" s="3">
        <f t="shared" si="11"/>
        <v>1425.5011800544205</v>
      </c>
      <c r="Z11" s="3">
        <f t="shared" si="11"/>
        <v>1382.7361446527877</v>
      </c>
    </row>
    <row r="12" spans="2:26" x14ac:dyDescent="0.2">
      <c r="B12" s="2" t="s">
        <v>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65.686000000000007</v>
      </c>
      <c r="N12" s="2">
        <v>46.091000000000001</v>
      </c>
      <c r="O12" s="2">
        <v>53.290999999999997</v>
      </c>
      <c r="P12" s="2">
        <f>+O12*1.15</f>
        <v>61.284649999999992</v>
      </c>
      <c r="Q12" s="2">
        <f t="shared" ref="Q12:U12" si="12">+P12*1.15</f>
        <v>70.477347499999979</v>
      </c>
      <c r="R12" s="2">
        <f t="shared" si="12"/>
        <v>81.048949624999963</v>
      </c>
      <c r="S12" s="2">
        <f t="shared" si="12"/>
        <v>93.206292068749946</v>
      </c>
      <c r="T12" s="2">
        <f t="shared" si="12"/>
        <v>107.18723587906243</v>
      </c>
      <c r="U12" s="2">
        <f t="shared" si="12"/>
        <v>123.26532126092178</v>
      </c>
      <c r="V12" s="2">
        <f t="shared" si="2"/>
        <v>119.56736162309413</v>
      </c>
      <c r="W12" s="2">
        <f t="shared" ref="W12:Z12" si="13">+V12*0.97</f>
        <v>115.9803407744013</v>
      </c>
      <c r="X12" s="2">
        <f t="shared" si="13"/>
        <v>112.50093055116926</v>
      </c>
      <c r="Y12" s="2">
        <f t="shared" si="13"/>
        <v>109.12590263463419</v>
      </c>
      <c r="Z12" s="2">
        <f t="shared" si="13"/>
        <v>105.85212555559517</v>
      </c>
    </row>
    <row r="13" spans="2:26" x14ac:dyDescent="0.2">
      <c r="B13" s="2" t="s">
        <v>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101.42700000000001</v>
      </c>
      <c r="N13" s="2">
        <v>171.262</v>
      </c>
      <c r="O13" s="2">
        <v>297.80500000000001</v>
      </c>
      <c r="P13" s="2">
        <f>+O13*1.5</f>
        <v>446.70749999999998</v>
      </c>
      <c r="Q13" s="2">
        <f t="shared" ref="Q13:U13" si="14">+P13*1.5</f>
        <v>670.06124999999997</v>
      </c>
      <c r="R13" s="2">
        <f t="shared" si="14"/>
        <v>1005.091875</v>
      </c>
      <c r="S13" s="2">
        <f t="shared" si="14"/>
        <v>1507.6378124999999</v>
      </c>
      <c r="T13" s="2">
        <f t="shared" si="14"/>
        <v>2261.4567187499997</v>
      </c>
      <c r="U13" s="2">
        <f t="shared" si="14"/>
        <v>3392.1850781249996</v>
      </c>
      <c r="V13" s="2">
        <f t="shared" si="2"/>
        <v>3290.4195257812494</v>
      </c>
      <c r="W13" s="2">
        <f t="shared" ref="W13:Z13" si="15">+V13*0.97</f>
        <v>3191.7069400078117</v>
      </c>
      <c r="X13" s="2">
        <f t="shared" si="15"/>
        <v>3095.9557318075772</v>
      </c>
      <c r="Y13" s="2">
        <f t="shared" si="15"/>
        <v>3003.07705985335</v>
      </c>
      <c r="Z13" s="2">
        <f t="shared" si="15"/>
        <v>2912.9847480577496</v>
      </c>
    </row>
    <row r="14" spans="2:26" s="1" customFormat="1" ht="15.75" x14ac:dyDescent="0.25">
      <c r="B14" s="3" t="s">
        <v>96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>+M12+M13</f>
        <v>167.113</v>
      </c>
      <c r="N14" s="3">
        <f>+N12+N13</f>
        <v>217.35300000000001</v>
      </c>
      <c r="O14" s="3">
        <f>+O12+O13</f>
        <v>351.096</v>
      </c>
      <c r="P14" s="3">
        <f>+O14*1.4</f>
        <v>491.53439999999995</v>
      </c>
      <c r="Q14" s="3">
        <f t="shared" ref="Q14:U14" si="16">+P14*1.4</f>
        <v>688.14815999999985</v>
      </c>
      <c r="R14" s="3">
        <f t="shared" si="16"/>
        <v>963.40742399999976</v>
      </c>
      <c r="S14" s="3">
        <f t="shared" si="16"/>
        <v>1348.7703935999996</v>
      </c>
      <c r="T14" s="3">
        <f t="shared" si="16"/>
        <v>1888.2785510399992</v>
      </c>
      <c r="U14" s="3">
        <f t="shared" si="16"/>
        <v>2643.5899714559987</v>
      </c>
      <c r="V14" s="3">
        <f t="shared" si="2"/>
        <v>2564.2822723123186</v>
      </c>
      <c r="W14" s="3">
        <f t="shared" ref="W14:Z14" si="17">+V14*0.97</f>
        <v>2487.3538041429488</v>
      </c>
      <c r="X14" s="3">
        <f t="shared" si="17"/>
        <v>2412.73319001866</v>
      </c>
      <c r="Y14" s="3">
        <f t="shared" si="17"/>
        <v>2340.3511943181002</v>
      </c>
      <c r="Z14" s="3">
        <f t="shared" si="17"/>
        <v>2270.1406584885572</v>
      </c>
    </row>
    <row r="15" spans="2:26" s="1" customFormat="1" ht="15.75" x14ac:dyDescent="0.25">
      <c r="B15" s="3" t="s">
        <v>18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308.50400000000002</v>
      </c>
      <c r="N15" s="3">
        <v>279.59399999999999</v>
      </c>
      <c r="O15" s="3">
        <v>367.94799999999998</v>
      </c>
      <c r="P15" s="3">
        <f>+O15*1.2</f>
        <v>441.53759999999994</v>
      </c>
      <c r="Q15" s="3">
        <f t="shared" ref="Q15:U15" si="18">+P15*1.2</f>
        <v>529.84511999999995</v>
      </c>
      <c r="R15" s="3">
        <f t="shared" si="18"/>
        <v>635.81414399999994</v>
      </c>
      <c r="S15" s="3">
        <f t="shared" si="18"/>
        <v>762.97697279999988</v>
      </c>
      <c r="T15" s="3">
        <f t="shared" si="18"/>
        <v>915.57236735999982</v>
      </c>
      <c r="U15" s="3">
        <f t="shared" si="18"/>
        <v>1098.6868408319997</v>
      </c>
      <c r="V15" s="3">
        <f t="shared" si="2"/>
        <v>1065.7262356070396</v>
      </c>
      <c r="W15" s="3">
        <f t="shared" ref="W15:Z15" si="19">+V15*0.97</f>
        <v>1033.7544485388285</v>
      </c>
      <c r="X15" s="3">
        <f t="shared" si="19"/>
        <v>1002.7418150826636</v>
      </c>
      <c r="Y15" s="3">
        <f t="shared" si="19"/>
        <v>972.65956063018371</v>
      </c>
      <c r="Z15" s="3">
        <f t="shared" si="19"/>
        <v>943.47977381127816</v>
      </c>
    </row>
    <row r="17" spans="2:26" s="1" customFormat="1" ht="15.75" x14ac:dyDescent="0.25">
      <c r="B17" s="1" t="s">
        <v>104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>
        <f t="shared" ref="M17:M25" si="20">+M7/$M$38</f>
        <v>0.25834176355265442</v>
      </c>
      <c r="N17" s="5">
        <f t="shared" ref="N17:N25" si="21">+N7/$N$38</f>
        <v>0.25272134297650162</v>
      </c>
      <c r="O17" s="5">
        <f t="shared" ref="O17:O25" si="22">+O7/$O$38</f>
        <v>0.26920167330130312</v>
      </c>
      <c r="P17" s="5">
        <f t="shared" ref="P17:P25" si="23">+P7/$P$38</f>
        <v>0.27481442115323407</v>
      </c>
      <c r="Q17" s="5">
        <f t="shared" ref="Q17:Q25" si="24">+Q7/$Q$38</f>
        <v>0.27727537784927164</v>
      </c>
      <c r="R17" s="5">
        <f t="shared" ref="R17:R25" si="25">+R7/$R$38</f>
        <v>0.27623226584151778</v>
      </c>
      <c r="S17" s="5">
        <f t="shared" ref="S17:S25" si="26">+S7/$S$38</f>
        <v>0.27149643504681087</v>
      </c>
      <c r="T17" s="5">
        <f t="shared" ref="T17:T25" si="27">+T7/$T$38</f>
        <v>0.26308588169598779</v>
      </c>
      <c r="U17" s="5">
        <f t="shared" ref="U17:U25" si="28">+U7/$U$38</f>
        <v>0.25124553118787429</v>
      </c>
      <c r="V17" s="5">
        <f t="shared" ref="V17:V25" si="29">+V7/$V$38</f>
        <v>0.25124553118787435</v>
      </c>
      <c r="W17" s="5">
        <f t="shared" ref="W17:W25" si="30">+W7/$W$38</f>
        <v>0.25124553118787435</v>
      </c>
      <c r="X17" s="5">
        <f t="shared" ref="X17:X25" si="31">+X7/$X$38</f>
        <v>0.25124553118787429</v>
      </c>
      <c r="Y17" s="5">
        <f t="shared" ref="Y17:Y25" si="32">+Y7/$Y$38</f>
        <v>0.25124553118787435</v>
      </c>
      <c r="Z17" s="5">
        <f t="shared" ref="Z17:Z25" si="33">+Z7/$Z$38</f>
        <v>0.25124553118787429</v>
      </c>
    </row>
    <row r="18" spans="2:26" ht="15" customHeight="1" x14ac:dyDescent="0.2">
      <c r="B18" t="s">
        <v>97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20"/>
        <v>0.30487334364650676</v>
      </c>
      <c r="N18" s="7">
        <f t="shared" si="21"/>
        <v>0.30177429416711149</v>
      </c>
      <c r="O18" s="7">
        <f t="shared" si="22"/>
        <v>0.25389844117824489</v>
      </c>
      <c r="P18" s="7">
        <f t="shared" si="23"/>
        <v>0.22989214363441735</v>
      </c>
      <c r="Q18" s="7">
        <f t="shared" si="24"/>
        <v>0.20573029464055712</v>
      </c>
      <c r="R18" s="7">
        <f t="shared" si="25"/>
        <v>0.18178735867520007</v>
      </c>
      <c r="S18" s="7">
        <f t="shared" si="26"/>
        <v>0.15847316674317671</v>
      </c>
      <c r="T18" s="7">
        <f t="shared" si="27"/>
        <v>0.1362045071689828</v>
      </c>
      <c r="U18" s="7">
        <f t="shared" si="28"/>
        <v>0.11537045722207871</v>
      </c>
      <c r="V18" s="7">
        <f t="shared" si="29"/>
        <v>0.11537045722207873</v>
      </c>
      <c r="W18" s="7">
        <f t="shared" si="30"/>
        <v>0.11537045722207873</v>
      </c>
      <c r="X18" s="7">
        <f t="shared" si="31"/>
        <v>0.11537045722207871</v>
      </c>
      <c r="Y18" s="7">
        <f t="shared" si="32"/>
        <v>0.11537045722207871</v>
      </c>
      <c r="Z18" s="7">
        <f t="shared" si="33"/>
        <v>0.1153704572220787</v>
      </c>
    </row>
    <row r="19" spans="2:26" ht="15" customHeight="1" x14ac:dyDescent="0.2">
      <c r="B19" t="s">
        <v>98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20"/>
        <v>7.6104112593270837E-2</v>
      </c>
      <c r="N19" s="7">
        <f t="shared" si="21"/>
        <v>0.10259222194599002</v>
      </c>
      <c r="O19" s="7">
        <f t="shared" si="22"/>
        <v>0.11264586434832292</v>
      </c>
      <c r="P19" s="7">
        <f t="shared" si="23"/>
        <v>0.10199510917204742</v>
      </c>
      <c r="Q19" s="7">
        <f t="shared" si="24"/>
        <v>9.1275341254069928E-2</v>
      </c>
      <c r="R19" s="7">
        <f t="shared" si="25"/>
        <v>8.0652697395611733E-2</v>
      </c>
      <c r="S19" s="7">
        <f t="shared" si="26"/>
        <v>7.0309005289515836E-2</v>
      </c>
      <c r="T19" s="7">
        <f t="shared" si="27"/>
        <v>6.0429179348195451E-2</v>
      </c>
      <c r="U19" s="7">
        <f t="shared" si="28"/>
        <v>5.1185839557473516E-2</v>
      </c>
      <c r="V19" s="7">
        <f t="shared" si="29"/>
        <v>5.1185839557473523E-2</v>
      </c>
      <c r="W19" s="7">
        <f t="shared" si="30"/>
        <v>5.1185839557473523E-2</v>
      </c>
      <c r="X19" s="7">
        <f t="shared" si="31"/>
        <v>5.1185839557473523E-2</v>
      </c>
      <c r="Y19" s="7">
        <f t="shared" si="32"/>
        <v>5.1185839557473523E-2</v>
      </c>
      <c r="Z19" s="7">
        <f t="shared" si="33"/>
        <v>5.1185839557473523E-2</v>
      </c>
    </row>
    <row r="20" spans="2:26" ht="15" customHeight="1" x14ac:dyDescent="0.2">
      <c r="B20" t="s">
        <v>99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20"/>
        <v>0.1411795599794721</v>
      </c>
      <c r="N20" s="7">
        <f t="shared" si="21"/>
        <v>0.13386731683596056</v>
      </c>
      <c r="O20" s="7">
        <f t="shared" si="22"/>
        <v>0.11496319111566597</v>
      </c>
      <c r="P20" s="7">
        <f t="shared" si="23"/>
        <v>0.10613437657208592</v>
      </c>
      <c r="Q20" s="7">
        <f t="shared" si="24"/>
        <v>9.684191280178879E-2</v>
      </c>
      <c r="R20" s="7">
        <f t="shared" si="25"/>
        <v>8.7249301328013548E-2</v>
      </c>
      <c r="S20" s="7">
        <f t="shared" si="26"/>
        <v>7.7550960733104676E-2</v>
      </c>
      <c r="T20" s="7">
        <f t="shared" si="27"/>
        <v>6.7960426017043635E-2</v>
      </c>
      <c r="U20" s="7">
        <f t="shared" si="28"/>
        <v>5.8693822562417251E-2</v>
      </c>
      <c r="V20" s="7">
        <f t="shared" si="29"/>
        <v>5.8693822562417265E-2</v>
      </c>
      <c r="W20" s="7">
        <f t="shared" si="30"/>
        <v>5.8693822562417265E-2</v>
      </c>
      <c r="X20" s="7">
        <f t="shared" si="31"/>
        <v>5.8693822562417251E-2</v>
      </c>
      <c r="Y20" s="7">
        <f t="shared" si="32"/>
        <v>5.8693822562417251E-2</v>
      </c>
      <c r="Z20" s="7">
        <f t="shared" si="33"/>
        <v>5.8693822562417244E-2</v>
      </c>
    </row>
    <row r="21" spans="2:26" s="1" customFormat="1" ht="15.75" x14ac:dyDescent="0.25">
      <c r="B21" s="1" t="s">
        <v>100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f t="shared" si="20"/>
        <v>0.5221570162192497</v>
      </c>
      <c r="N21" s="5">
        <f t="shared" si="21"/>
        <v>0.53823383294906202</v>
      </c>
      <c r="O21" s="5">
        <f t="shared" si="22"/>
        <v>0.48150749664223375</v>
      </c>
      <c r="P21" s="5">
        <f t="shared" si="23"/>
        <v>0.43802162937855071</v>
      </c>
      <c r="Q21" s="5">
        <f t="shared" si="24"/>
        <v>0.39384754869641586</v>
      </c>
      <c r="R21" s="5">
        <f t="shared" si="25"/>
        <v>0.3496893573988254</v>
      </c>
      <c r="S21" s="5">
        <f t="shared" si="26"/>
        <v>0.30633313276579721</v>
      </c>
      <c r="T21" s="5">
        <f t="shared" si="27"/>
        <v>0.26459411253422188</v>
      </c>
      <c r="U21" s="5">
        <f t="shared" si="28"/>
        <v>0.22525011934196948</v>
      </c>
      <c r="V21" s="5">
        <f t="shared" si="29"/>
        <v>0.22525011934196951</v>
      </c>
      <c r="W21" s="5">
        <f t="shared" si="30"/>
        <v>0.22525011934196953</v>
      </c>
      <c r="X21" s="5">
        <f t="shared" si="31"/>
        <v>0.22525011934196951</v>
      </c>
      <c r="Y21" s="5">
        <f t="shared" si="32"/>
        <v>0.22525011934196951</v>
      </c>
      <c r="Z21" s="5">
        <f t="shared" si="33"/>
        <v>0.22525011934196948</v>
      </c>
    </row>
    <row r="22" spans="2:26" ht="15" customHeight="1" x14ac:dyDescent="0.2">
      <c r="B22" t="s">
        <v>101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20"/>
        <v>3.0314637937463775E-2</v>
      </c>
      <c r="N22" s="7">
        <f t="shared" si="21"/>
        <v>1.9388556498811431E-2</v>
      </c>
      <c r="O22" s="7">
        <f t="shared" si="22"/>
        <v>1.8475861872902045E-2</v>
      </c>
      <c r="P22" s="7">
        <f t="shared" si="23"/>
        <v>1.8861076246824742E-2</v>
      </c>
      <c r="Q22" s="7">
        <f t="shared" si="24"/>
        <v>1.9029976742254769E-2</v>
      </c>
      <c r="R22" s="7">
        <f t="shared" si="25"/>
        <v>1.8958385829996004E-2</v>
      </c>
      <c r="S22" s="7">
        <f t="shared" si="26"/>
        <v>1.8633356068689474E-2</v>
      </c>
      <c r="T22" s="7">
        <f t="shared" si="27"/>
        <v>1.8056122576494357E-2</v>
      </c>
      <c r="U22" s="7">
        <f t="shared" si="28"/>
        <v>1.7243495084874702E-2</v>
      </c>
      <c r="V22" s="7">
        <f t="shared" si="29"/>
        <v>1.7243495084874706E-2</v>
      </c>
      <c r="W22" s="7">
        <f t="shared" si="30"/>
        <v>1.7243495084874706E-2</v>
      </c>
      <c r="X22" s="7">
        <f t="shared" si="31"/>
        <v>1.7243495084874706E-2</v>
      </c>
      <c r="Y22" s="7">
        <f t="shared" si="32"/>
        <v>1.7243495084874706E-2</v>
      </c>
      <c r="Z22" s="7">
        <f t="shared" si="33"/>
        <v>1.7243495084874706E-2</v>
      </c>
    </row>
    <row r="23" spans="2:26" ht="15" customHeight="1" x14ac:dyDescent="0.2">
      <c r="B23" t="s">
        <v>102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20"/>
        <v>4.6809408124762329E-2</v>
      </c>
      <c r="N23" s="7">
        <f t="shared" si="21"/>
        <v>7.204276242866163E-2</v>
      </c>
      <c r="O23" s="7">
        <f t="shared" si="22"/>
        <v>0.10324827916645578</v>
      </c>
      <c r="P23" s="7">
        <f t="shared" si="23"/>
        <v>0.13747951921938795</v>
      </c>
      <c r="Q23" s="7">
        <f t="shared" si="24"/>
        <v>0.18092692837774807</v>
      </c>
      <c r="R23" s="7">
        <f t="shared" si="25"/>
        <v>0.23510384340584381</v>
      </c>
      <c r="S23" s="7">
        <f t="shared" si="26"/>
        <v>0.30139973986103191</v>
      </c>
      <c r="T23" s="7">
        <f t="shared" si="27"/>
        <v>0.38095151330572669</v>
      </c>
      <c r="U23" s="7">
        <f t="shared" si="28"/>
        <v>0.47453027439743944</v>
      </c>
      <c r="V23" s="7">
        <f t="shared" si="29"/>
        <v>0.4745302743974395</v>
      </c>
      <c r="W23" s="7">
        <f t="shared" si="30"/>
        <v>0.4745302743974395</v>
      </c>
      <c r="X23" s="7">
        <f t="shared" si="31"/>
        <v>0.47453027439743944</v>
      </c>
      <c r="Y23" s="7">
        <f t="shared" si="32"/>
        <v>0.4745302743974395</v>
      </c>
      <c r="Z23" s="7">
        <f t="shared" si="33"/>
        <v>0.4745302743974395</v>
      </c>
    </row>
    <row r="24" spans="2:26" s="1" customFormat="1" ht="15.75" x14ac:dyDescent="0.25">
      <c r="B24" s="1" t="s">
        <v>112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f t="shared" si="20"/>
        <v>7.7124046062226101E-2</v>
      </c>
      <c r="N24" s="5">
        <f t="shared" si="21"/>
        <v>9.1431318927473068E-2</v>
      </c>
      <c r="O24" s="5">
        <f t="shared" si="22"/>
        <v>0.12172414103935782</v>
      </c>
      <c r="P24" s="5">
        <f t="shared" si="23"/>
        <v>0.15127552815162118</v>
      </c>
      <c r="Q24" s="5">
        <f t="shared" si="24"/>
        <v>0.18581067455788422</v>
      </c>
      <c r="R24" s="5">
        <f t="shared" si="25"/>
        <v>0.22535331722597332</v>
      </c>
      <c r="S24" s="5">
        <f t="shared" si="26"/>
        <v>0.26963972539876951</v>
      </c>
      <c r="T24" s="5">
        <f t="shared" si="27"/>
        <v>0.31808814451202183</v>
      </c>
      <c r="U24" s="5">
        <f t="shared" si="28"/>
        <v>0.36980985578850784</v>
      </c>
      <c r="V24" s="5">
        <f t="shared" si="29"/>
        <v>0.36980985578850784</v>
      </c>
      <c r="W24" s="5">
        <f t="shared" si="30"/>
        <v>0.36980985578850784</v>
      </c>
      <c r="X24" s="5">
        <f t="shared" si="31"/>
        <v>0.36980985578850778</v>
      </c>
      <c r="Y24" s="5">
        <f t="shared" si="32"/>
        <v>0.36980985578850778</v>
      </c>
      <c r="Z24" s="5">
        <f t="shared" si="33"/>
        <v>0.36980985578850778</v>
      </c>
    </row>
    <row r="25" spans="2:26" s="1" customFormat="1" ht="15.75" x14ac:dyDescent="0.25">
      <c r="B25" s="1" t="s">
        <v>103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f t="shared" si="20"/>
        <v>0.14237717416586981</v>
      </c>
      <c r="N25" s="5">
        <f t="shared" si="21"/>
        <v>0.11761350514696325</v>
      </c>
      <c r="O25" s="5">
        <f t="shared" si="22"/>
        <v>0.12756668901710538</v>
      </c>
      <c r="P25" s="5">
        <f t="shared" si="23"/>
        <v>0.13588842131659401</v>
      </c>
      <c r="Q25" s="5">
        <f t="shared" si="24"/>
        <v>0.14306639889642825</v>
      </c>
      <c r="R25" s="5">
        <f t="shared" si="25"/>
        <v>0.14872505953368353</v>
      </c>
      <c r="S25" s="5">
        <f t="shared" si="26"/>
        <v>0.15253070678862241</v>
      </c>
      <c r="T25" s="5">
        <f t="shared" si="27"/>
        <v>0.15423186125776864</v>
      </c>
      <c r="U25" s="5">
        <f t="shared" si="28"/>
        <v>0.15369449368164839</v>
      </c>
      <c r="V25" s="5">
        <f t="shared" si="29"/>
        <v>0.15369449368164839</v>
      </c>
      <c r="W25" s="5">
        <f t="shared" si="30"/>
        <v>0.15369449368164842</v>
      </c>
      <c r="X25" s="5">
        <f t="shared" si="31"/>
        <v>0.15369449368164839</v>
      </c>
      <c r="Y25" s="5">
        <f t="shared" si="32"/>
        <v>0.15369449368164842</v>
      </c>
      <c r="Z25" s="5">
        <f t="shared" si="33"/>
        <v>0.15369449368164842</v>
      </c>
    </row>
    <row r="26" spans="2:26" s="1" customFormat="1" ht="15.75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26" s="1" customFormat="1" ht="15.75" x14ac:dyDescent="0.25">
      <c r="B27" s="1" t="s">
        <v>105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>
        <f t="shared" ref="N27:O35" si="34">+N7/M7-1</f>
        <v>7.3241665877661788E-2</v>
      </c>
      <c r="O27" s="5">
        <f t="shared" si="34"/>
        <v>0.29245176238731263</v>
      </c>
      <c r="P27" s="5">
        <f t="shared" ref="P27:Z27" si="35">+P7/O7-1</f>
        <v>0.14999999999999991</v>
      </c>
      <c r="Q27" s="5">
        <f t="shared" si="35"/>
        <v>0.14999999999999991</v>
      </c>
      <c r="R27" s="5">
        <f t="shared" si="35"/>
        <v>0.14999999999999991</v>
      </c>
      <c r="S27" s="5">
        <f t="shared" si="35"/>
        <v>0.14999999999999991</v>
      </c>
      <c r="T27" s="5">
        <f t="shared" si="35"/>
        <v>0.14999999999999991</v>
      </c>
      <c r="U27" s="5">
        <f t="shared" si="35"/>
        <v>0.14999999999999991</v>
      </c>
      <c r="V27" s="5">
        <f t="shared" si="35"/>
        <v>-3.0000000000000027E-2</v>
      </c>
      <c r="W27" s="5">
        <f t="shared" si="35"/>
        <v>-3.0000000000000027E-2</v>
      </c>
      <c r="X27" s="5">
        <f t="shared" si="35"/>
        <v>-3.0000000000000027E-2</v>
      </c>
      <c r="Y27" s="5">
        <f t="shared" si="35"/>
        <v>-3.0000000000000027E-2</v>
      </c>
      <c r="Z27" s="5">
        <f t="shared" si="35"/>
        <v>-3.0000000000000027E-2</v>
      </c>
    </row>
    <row r="28" spans="2:26" s="7" customFormat="1" x14ac:dyDescent="0.2">
      <c r="B28" s="7" t="s">
        <v>106</v>
      </c>
      <c r="N28" s="7">
        <f t="shared" si="34"/>
        <v>8.5957959558099928E-2</v>
      </c>
      <c r="O28" s="7">
        <f t="shared" si="34"/>
        <v>2.0836760126347498E-2</v>
      </c>
      <c r="P28" s="7">
        <f t="shared" ref="P28:T28" si="36">+P8/O8-1</f>
        <v>2.0000000000000018E-2</v>
      </c>
      <c r="Q28" s="7">
        <f t="shared" si="36"/>
        <v>2.0000000000000018E-2</v>
      </c>
      <c r="R28" s="7">
        <f t="shared" si="36"/>
        <v>2.0000000000000018E-2</v>
      </c>
      <c r="S28" s="7">
        <f t="shared" si="36"/>
        <v>2.0000000000000018E-2</v>
      </c>
      <c r="T28" s="7">
        <f t="shared" si="36"/>
        <v>2.0000000000000018E-2</v>
      </c>
      <c r="U28" s="7">
        <f t="shared" ref="U28" si="37">+U8/T8-1</f>
        <v>2.0000000000000018E-2</v>
      </c>
    </row>
    <row r="29" spans="2:26" s="7" customFormat="1" x14ac:dyDescent="0.2">
      <c r="B29" s="7" t="s">
        <v>107</v>
      </c>
      <c r="N29" s="7">
        <f t="shared" si="34"/>
        <v>0.47896035851379293</v>
      </c>
      <c r="O29" s="7">
        <f t="shared" si="34"/>
        <v>0.33223035447034466</v>
      </c>
      <c r="P29" s="7">
        <f t="shared" ref="P29:T29" si="38">+P9/O9-1</f>
        <v>2.0000000000000018E-2</v>
      </c>
      <c r="Q29" s="7">
        <f t="shared" si="38"/>
        <v>2.0000000000000018E-2</v>
      </c>
      <c r="R29" s="7">
        <f t="shared" si="38"/>
        <v>2.0000000000000018E-2</v>
      </c>
      <c r="S29" s="7">
        <f t="shared" si="38"/>
        <v>2.0000000000000018E-2</v>
      </c>
      <c r="T29" s="7">
        <f t="shared" si="38"/>
        <v>2.0000000000000018E-2</v>
      </c>
      <c r="U29" s="7">
        <f t="shared" ref="U29" si="39">+U9/T9-1</f>
        <v>2.0000000000000018E-2</v>
      </c>
    </row>
    <row r="30" spans="2:26" s="7" customFormat="1" x14ac:dyDescent="0.2">
      <c r="B30" s="7" t="s">
        <v>108</v>
      </c>
      <c r="N30" s="7">
        <f t="shared" si="34"/>
        <v>4.0286490426891808E-2</v>
      </c>
      <c r="O30" s="7">
        <f t="shared" si="34"/>
        <v>4.198810305656564E-2</v>
      </c>
      <c r="P30" s="7">
        <f t="shared" ref="P30:T30" si="40">+P10/O10-1</f>
        <v>4.0000000000000036E-2</v>
      </c>
      <c r="Q30" s="7">
        <f t="shared" si="40"/>
        <v>4.0000000000000036E-2</v>
      </c>
      <c r="R30" s="7">
        <f t="shared" si="40"/>
        <v>4.0000000000000036E-2</v>
      </c>
      <c r="S30" s="7">
        <f t="shared" si="40"/>
        <v>4.0000000000000036E-2</v>
      </c>
      <c r="T30" s="7">
        <f t="shared" si="40"/>
        <v>4.0000000000000036E-2</v>
      </c>
      <c r="U30" s="7">
        <f t="shared" ref="U30" si="41">+U10/T10-1</f>
        <v>4.0000000000000036E-2</v>
      </c>
    </row>
    <row r="31" spans="2:26" s="1" customFormat="1" ht="15.75" x14ac:dyDescent="0.25">
      <c r="B31" s="1" t="s">
        <v>109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>
        <f t="shared" si="34"/>
        <v>0.13088931195831055</v>
      </c>
      <c r="O31" s="5">
        <f t="shared" si="34"/>
        <v>8.545186259675619E-2</v>
      </c>
      <c r="P31" s="5">
        <f t="shared" ref="P31:T31" si="42">+P11/O11-1</f>
        <v>2.4775136084790317E-2</v>
      </c>
      <c r="Q31" s="5">
        <f t="shared" si="42"/>
        <v>2.4846079255157694E-2</v>
      </c>
      <c r="R31" s="5">
        <f t="shared" si="42"/>
        <v>2.4917735967753263E-2</v>
      </c>
      <c r="S31" s="5">
        <f t="shared" si="42"/>
        <v>2.4990103329252999E-2</v>
      </c>
      <c r="T31" s="5">
        <f t="shared" si="42"/>
        <v>2.50631781180779E-2</v>
      </c>
      <c r="U31" s="5">
        <f t="shared" ref="U31" si="43">+U11/T11-1</f>
        <v>2.5136956780038355E-2</v>
      </c>
      <c r="V31" s="5"/>
      <c r="W31" s="5"/>
      <c r="X31" s="5"/>
      <c r="Y31" s="5"/>
      <c r="Z31" s="5"/>
    </row>
    <row r="32" spans="2:26" x14ac:dyDescent="0.2">
      <c r="B32" t="s">
        <v>110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>
        <f t="shared" si="34"/>
        <v>-0.29831318698048293</v>
      </c>
      <c r="O32" s="7">
        <f t="shared" si="34"/>
        <v>0.15621270963962597</v>
      </c>
      <c r="P32" s="7">
        <f t="shared" ref="P32:T32" si="44">+P12/O12-1</f>
        <v>0.14999999999999991</v>
      </c>
      <c r="Q32" s="7">
        <f t="shared" si="44"/>
        <v>0.14999999999999991</v>
      </c>
      <c r="R32" s="7">
        <f t="shared" si="44"/>
        <v>0.14999999999999991</v>
      </c>
      <c r="S32" s="7">
        <f t="shared" si="44"/>
        <v>0.14999999999999991</v>
      </c>
      <c r="T32" s="7">
        <f t="shared" si="44"/>
        <v>0.14999999999999991</v>
      </c>
      <c r="U32" s="7">
        <f t="shared" ref="U32" si="45">+U12/T12-1</f>
        <v>0.14999999999999991</v>
      </c>
      <c r="V32" s="7"/>
      <c r="W32" s="7"/>
      <c r="X32" s="7"/>
      <c r="Y32" s="7"/>
      <c r="Z32" s="7"/>
    </row>
    <row r="33" spans="2:26" x14ac:dyDescent="0.2">
      <c r="B33" t="s">
        <v>111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f t="shared" si="34"/>
        <v>0.68852475179192907</v>
      </c>
      <c r="O33" s="7">
        <f t="shared" si="34"/>
        <v>0.73888545036260234</v>
      </c>
      <c r="P33" s="7">
        <f t="shared" ref="P33:T33" si="46">+P13/O13-1</f>
        <v>0.5</v>
      </c>
      <c r="Q33" s="7">
        <f t="shared" si="46"/>
        <v>0.5</v>
      </c>
      <c r="R33" s="7">
        <f t="shared" si="46"/>
        <v>0.5</v>
      </c>
      <c r="S33" s="7">
        <f t="shared" si="46"/>
        <v>0.5</v>
      </c>
      <c r="T33" s="7">
        <f t="shared" si="46"/>
        <v>0.5</v>
      </c>
      <c r="U33" s="7">
        <f t="shared" ref="U33" si="47">+U13/T13-1</f>
        <v>0.5</v>
      </c>
      <c r="V33" s="7"/>
      <c r="W33" s="7"/>
      <c r="X33" s="7"/>
      <c r="Y33" s="7"/>
      <c r="Z33" s="7"/>
    </row>
    <row r="34" spans="2:26" ht="15.75" x14ac:dyDescent="0.25">
      <c r="B34" s="1" t="s">
        <v>113</v>
      </c>
      <c r="N34" s="5">
        <f t="shared" si="34"/>
        <v>0.30063489973850044</v>
      </c>
      <c r="O34" s="5">
        <f t="shared" si="34"/>
        <v>0.61532622048004848</v>
      </c>
      <c r="P34" s="5">
        <f t="shared" ref="P34:T34" si="48">+P14/O14-1</f>
        <v>0.39999999999999991</v>
      </c>
      <c r="Q34" s="5">
        <f t="shared" si="48"/>
        <v>0.39999999999999991</v>
      </c>
      <c r="R34" s="5">
        <f t="shared" si="48"/>
        <v>0.39999999999999991</v>
      </c>
      <c r="S34" s="5">
        <f t="shared" si="48"/>
        <v>0.39999999999999991</v>
      </c>
      <c r="T34" s="5">
        <f t="shared" si="48"/>
        <v>0.39999999999999991</v>
      </c>
      <c r="U34" s="5">
        <f t="shared" ref="U34" si="49">+U14/T14-1</f>
        <v>0.39999999999999991</v>
      </c>
      <c r="V34" s="5"/>
      <c r="W34" s="5"/>
      <c r="X34" s="5"/>
      <c r="Y34" s="5"/>
      <c r="Z34" s="5"/>
    </row>
    <row r="35" spans="2:26" ht="15.75" x14ac:dyDescent="0.25">
      <c r="B35" s="1" t="s">
        <v>114</v>
      </c>
      <c r="N35" s="5">
        <f t="shared" si="34"/>
        <v>-9.3710292249047145E-2</v>
      </c>
      <c r="O35" s="5">
        <f t="shared" si="34"/>
        <v>0.31600821190726558</v>
      </c>
      <c r="P35" s="5">
        <f t="shared" ref="P35:T35" si="50">+P15/O15-1</f>
        <v>0.19999999999999996</v>
      </c>
      <c r="Q35" s="5">
        <f t="shared" si="50"/>
        <v>0.19999999999999996</v>
      </c>
      <c r="R35" s="5">
        <f t="shared" si="50"/>
        <v>0.19999999999999996</v>
      </c>
      <c r="S35" s="5">
        <f t="shared" si="50"/>
        <v>0.19999999999999996</v>
      </c>
      <c r="T35" s="5">
        <f t="shared" si="50"/>
        <v>0.19999999999999996</v>
      </c>
      <c r="U35" s="5">
        <f t="shared" ref="U35" si="51">+U15/T15-1</f>
        <v>0.19999999999999996</v>
      </c>
      <c r="V35" s="5"/>
      <c r="W35" s="5"/>
      <c r="X35" s="5"/>
      <c r="Y35" s="5"/>
      <c r="Z35" s="5"/>
    </row>
    <row r="38" spans="2:26" ht="15" customHeight="1" x14ac:dyDescent="0.2">
      <c r="B38" t="s">
        <v>55</v>
      </c>
      <c r="C38" s="2">
        <v>574.87400000000002</v>
      </c>
      <c r="D38" s="2">
        <v>705.73299999999995</v>
      </c>
      <c r="E38" s="2">
        <v>584.45100000000002</v>
      </c>
      <c r="F38" s="2">
        <f>+N38-E38-D38-C38</f>
        <v>512.16899999999987</v>
      </c>
      <c r="G38" s="2">
        <v>634.44399999999996</v>
      </c>
      <c r="H38" s="2">
        <v>705.73299999999995</v>
      </c>
      <c r="I38" s="2">
        <v>768.41499999999996</v>
      </c>
      <c r="J38" s="2">
        <f>+O38-I38-H38-G38</f>
        <v>775.76599999999985</v>
      </c>
      <c r="K38" s="2"/>
      <c r="L38" s="2"/>
      <c r="M38" s="2">
        <f t="shared" ref="M38:Z38" si="52">+M7+M11+M14+M15</f>
        <v>2166.808</v>
      </c>
      <c r="N38" s="2">
        <f t="shared" si="52"/>
        <v>2377.2269999999999</v>
      </c>
      <c r="O38" s="2">
        <f t="shared" si="52"/>
        <v>2884.3579999999997</v>
      </c>
      <c r="P38" s="2">
        <f t="shared" si="52"/>
        <v>3249.2658000000001</v>
      </c>
      <c r="Q38" s="2">
        <f t="shared" si="52"/>
        <v>3703.4909950000001</v>
      </c>
      <c r="R38" s="2">
        <f t="shared" si="52"/>
        <v>4275.0975927899999</v>
      </c>
      <c r="S38" s="2">
        <f t="shared" si="52"/>
        <v>5002.1204835648996</v>
      </c>
      <c r="T38" s="2">
        <f t="shared" si="52"/>
        <v>5936.3374071573853</v>
      </c>
      <c r="U38" s="2">
        <f t="shared" si="52"/>
        <v>7148.5114041088536</v>
      </c>
      <c r="V38" s="2">
        <f t="shared" si="52"/>
        <v>6934.0560619855869</v>
      </c>
      <c r="W38" s="2">
        <f t="shared" si="52"/>
        <v>6726.0343801260187</v>
      </c>
      <c r="X38" s="2">
        <f t="shared" si="52"/>
        <v>6524.253348722239</v>
      </c>
      <c r="Y38" s="2">
        <f t="shared" si="52"/>
        <v>6328.5257482605712</v>
      </c>
      <c r="Z38" s="2">
        <f t="shared" si="52"/>
        <v>6138.6699758127543</v>
      </c>
    </row>
    <row r="39" spans="2:26" ht="15" customHeight="1" x14ac:dyDescent="0.2">
      <c r="B39" t="s">
        <v>56</v>
      </c>
      <c r="C39" s="2">
        <v>479.43599999999998</v>
      </c>
      <c r="D39" s="2">
        <v>534.12</v>
      </c>
      <c r="E39" s="2">
        <v>476.84199999999998</v>
      </c>
      <c r="F39" s="2">
        <f>+N39-E39-D39-C39</f>
        <v>442.29</v>
      </c>
      <c r="G39" s="2">
        <v>490.64</v>
      </c>
      <c r="H39" s="2">
        <v>534.12</v>
      </c>
      <c r="I39" s="2">
        <v>573.63699999999994</v>
      </c>
      <c r="J39" s="2">
        <f>+O39-I39-H39-G39</f>
        <v>589.37099999999998</v>
      </c>
      <c r="K39" s="2"/>
      <c r="L39" s="2"/>
      <c r="M39" s="2">
        <v>1847.8779999999999</v>
      </c>
      <c r="N39" s="2">
        <v>1932.6880000000001</v>
      </c>
      <c r="O39" s="2">
        <v>2187.768</v>
      </c>
      <c r="P39" s="2">
        <f t="shared" ref="P39:U39" si="53">+P38*0.76</f>
        <v>2469.442008</v>
      </c>
      <c r="Q39" s="2">
        <f t="shared" si="53"/>
        <v>2814.6531562</v>
      </c>
      <c r="R39" s="2">
        <f t="shared" si="53"/>
        <v>3249.0741705204</v>
      </c>
      <c r="S39" s="2">
        <f t="shared" si="53"/>
        <v>3801.6115675093238</v>
      </c>
      <c r="T39" s="2">
        <f t="shared" si="53"/>
        <v>4511.6164294396131</v>
      </c>
      <c r="U39" s="2">
        <f t="shared" si="53"/>
        <v>5432.8686671227288</v>
      </c>
      <c r="V39" s="2">
        <f>+V38*0.7</f>
        <v>4853.8392433899107</v>
      </c>
      <c r="W39" s="2">
        <f>+W38*0.7</f>
        <v>4708.2240660882126</v>
      </c>
      <c r="X39" s="2">
        <f>+X38*0.7</f>
        <v>4566.9773441055668</v>
      </c>
      <c r="Y39" s="2">
        <f>+Y38*0.7</f>
        <v>4429.9680237823995</v>
      </c>
      <c r="Z39" s="2">
        <f>+Z38*0.7</f>
        <v>4297.068983068928</v>
      </c>
    </row>
    <row r="40" spans="2:26" ht="15" customHeight="1" x14ac:dyDescent="0.2">
      <c r="B40" t="s">
        <v>57</v>
      </c>
      <c r="C40" s="2">
        <f t="shared" ref="C40:J40" si="54">+C38-C39</f>
        <v>95.438000000000045</v>
      </c>
      <c r="D40" s="2">
        <f t="shared" si="54"/>
        <v>171.61299999999994</v>
      </c>
      <c r="E40" s="2">
        <f t="shared" si="54"/>
        <v>107.60900000000004</v>
      </c>
      <c r="F40" s="2">
        <f t="shared" si="54"/>
        <v>69.878999999999849</v>
      </c>
      <c r="G40" s="2">
        <f t="shared" si="54"/>
        <v>143.80399999999997</v>
      </c>
      <c r="H40" s="2">
        <f t="shared" si="54"/>
        <v>171.61299999999994</v>
      </c>
      <c r="I40" s="2">
        <f t="shared" si="54"/>
        <v>194.77800000000002</v>
      </c>
      <c r="J40" s="2">
        <f t="shared" si="54"/>
        <v>186.39499999999987</v>
      </c>
      <c r="K40" s="2"/>
      <c r="L40" s="2"/>
      <c r="M40" s="2">
        <f t="shared" ref="M40:Z40" si="55">+M38-M39</f>
        <v>318.93000000000006</v>
      </c>
      <c r="N40" s="2">
        <f t="shared" si="55"/>
        <v>444.53899999999976</v>
      </c>
      <c r="O40" s="2">
        <f t="shared" si="55"/>
        <v>696.58999999999969</v>
      </c>
      <c r="P40" s="2">
        <f t="shared" si="55"/>
        <v>779.82379200000014</v>
      </c>
      <c r="Q40" s="2">
        <f t="shared" si="55"/>
        <v>888.8378388000001</v>
      </c>
      <c r="R40" s="2">
        <f t="shared" si="55"/>
        <v>1026.0234222695999</v>
      </c>
      <c r="S40" s="2">
        <f t="shared" si="55"/>
        <v>1200.5089160555758</v>
      </c>
      <c r="T40" s="2">
        <f t="shared" si="55"/>
        <v>1424.7209777177723</v>
      </c>
      <c r="U40" s="2">
        <f t="shared" si="55"/>
        <v>1715.6427369861249</v>
      </c>
      <c r="V40" s="2">
        <f t="shared" si="55"/>
        <v>2080.2168185956762</v>
      </c>
      <c r="W40" s="2">
        <f t="shared" si="55"/>
        <v>2017.8103140378062</v>
      </c>
      <c r="X40" s="2">
        <f t="shared" si="55"/>
        <v>1957.2760046166723</v>
      </c>
      <c r="Y40" s="2">
        <f t="shared" si="55"/>
        <v>1898.5577244781716</v>
      </c>
      <c r="Z40" s="2">
        <f t="shared" si="55"/>
        <v>1841.6009927438263</v>
      </c>
    </row>
    <row r="41" spans="2:26" ht="15" customHeight="1" x14ac:dyDescent="0.2">
      <c r="B41" t="s">
        <v>58</v>
      </c>
      <c r="C41" s="2">
        <v>67.768000000000001</v>
      </c>
      <c r="D41" s="2">
        <v>95.272000000000006</v>
      </c>
      <c r="E41" s="2">
        <v>74.3</v>
      </c>
      <c r="F41" s="2">
        <f>+N41-E41-D41-C41</f>
        <v>61.284999999999997</v>
      </c>
      <c r="G41" s="2">
        <v>85.85</v>
      </c>
      <c r="H41" s="2">
        <v>95.272000000000006</v>
      </c>
      <c r="I41" s="2">
        <v>104.694</v>
      </c>
      <c r="J41" s="2">
        <f>+O41-I41-H41-G41</f>
        <v>110.86800000000002</v>
      </c>
      <c r="K41" s="2"/>
      <c r="L41" s="2"/>
      <c r="M41" s="2">
        <v>262.714</v>
      </c>
      <c r="N41" s="2">
        <v>298.625</v>
      </c>
      <c r="O41" s="2">
        <v>396.68400000000003</v>
      </c>
      <c r="P41" s="2">
        <f t="shared" ref="P41:Z41" si="56">+P38*0.17</f>
        <v>552.3751860000001</v>
      </c>
      <c r="Q41" s="2">
        <f t="shared" si="56"/>
        <v>629.59346915000003</v>
      </c>
      <c r="R41" s="2">
        <f t="shared" si="56"/>
        <v>726.76659077430008</v>
      </c>
      <c r="S41" s="2">
        <f t="shared" si="56"/>
        <v>850.360482206033</v>
      </c>
      <c r="T41" s="2">
        <f t="shared" si="56"/>
        <v>1009.1773592167556</v>
      </c>
      <c r="U41" s="2">
        <f t="shared" si="56"/>
        <v>1215.2469386985051</v>
      </c>
      <c r="V41" s="2">
        <f t="shared" si="56"/>
        <v>1178.7895305375498</v>
      </c>
      <c r="W41" s="2">
        <f t="shared" si="56"/>
        <v>1143.4258446214233</v>
      </c>
      <c r="X41" s="2">
        <f t="shared" si="56"/>
        <v>1109.1230692827808</v>
      </c>
      <c r="Y41" s="2">
        <f t="shared" si="56"/>
        <v>1075.8493772042971</v>
      </c>
      <c r="Z41" s="2">
        <f t="shared" si="56"/>
        <v>1043.5738958881684</v>
      </c>
    </row>
    <row r="42" spans="2:26" ht="15" customHeight="1" x14ac:dyDescent="0.2">
      <c r="B42" t="s">
        <v>59</v>
      </c>
      <c r="C42" s="2">
        <v>6.9000000000000006E-2</v>
      </c>
      <c r="D42" s="2">
        <v>0</v>
      </c>
      <c r="E42" s="2">
        <v>7.0000000000000007E-2</v>
      </c>
      <c r="F42" s="2">
        <f>+N42-E42-D42-C42</f>
        <v>0.13800000000000001</v>
      </c>
      <c r="G42" s="2">
        <v>3.5000000000000003E-2</v>
      </c>
      <c r="H42" s="2">
        <v>0</v>
      </c>
      <c r="I42" s="2">
        <v>4.2999999999999997E-2</v>
      </c>
      <c r="J42" s="2">
        <f>+O42-I42-H42-G42</f>
        <v>0.6359999999999999</v>
      </c>
      <c r="K42" s="2"/>
      <c r="L42" s="2"/>
      <c r="M42" s="2">
        <v>0.27700000000000002</v>
      </c>
      <c r="N42" s="2">
        <v>0.27700000000000002</v>
      </c>
      <c r="O42" s="2">
        <v>0.71399999999999997</v>
      </c>
      <c r="P42" s="2">
        <f t="shared" ref="P42:Z42" si="57">+O42*1.5</f>
        <v>1.071</v>
      </c>
      <c r="Q42" s="2">
        <f t="shared" si="57"/>
        <v>1.6065</v>
      </c>
      <c r="R42" s="2">
        <f t="shared" si="57"/>
        <v>2.4097499999999998</v>
      </c>
      <c r="S42" s="2">
        <f t="shared" si="57"/>
        <v>3.6146249999999998</v>
      </c>
      <c r="T42" s="2">
        <f t="shared" si="57"/>
        <v>5.4219374999999994</v>
      </c>
      <c r="U42" s="2">
        <f t="shared" si="57"/>
        <v>8.1329062499999996</v>
      </c>
      <c r="V42" s="2">
        <f t="shared" si="57"/>
        <v>12.199359375</v>
      </c>
      <c r="W42" s="2">
        <f t="shared" si="57"/>
        <v>18.2990390625</v>
      </c>
      <c r="X42" s="2">
        <f t="shared" si="57"/>
        <v>27.448558593750001</v>
      </c>
      <c r="Y42" s="2">
        <f t="shared" si="57"/>
        <v>41.172837890625004</v>
      </c>
      <c r="Z42" s="2">
        <f t="shared" si="57"/>
        <v>61.759256835937506</v>
      </c>
    </row>
    <row r="43" spans="2:26" ht="15" customHeight="1" x14ac:dyDescent="0.2">
      <c r="B43" t="s">
        <v>60</v>
      </c>
      <c r="C43" s="2">
        <v>-13.06</v>
      </c>
      <c r="D43" s="2">
        <v>-1.373</v>
      </c>
      <c r="E43" s="2">
        <v>-1.08</v>
      </c>
      <c r="F43" s="2">
        <f>+N43-E43-D43-C43</f>
        <v>1.3740000000000006</v>
      </c>
      <c r="G43" s="2">
        <v>-7.0999999999999994E-2</v>
      </c>
      <c r="H43" s="2">
        <v>-1.373</v>
      </c>
      <c r="I43" s="2">
        <v>-0.13200000000000001</v>
      </c>
      <c r="J43" s="2">
        <f>+O43-I43-H43-G43</f>
        <v>-0.10800000000000005</v>
      </c>
      <c r="K43" s="2"/>
      <c r="L43" s="2"/>
      <c r="M43" s="2">
        <v>-6.9000000000000006E-2</v>
      </c>
      <c r="N43" s="2">
        <v>-14.138999999999999</v>
      </c>
      <c r="O43" s="2">
        <v>-1.6839999999999999</v>
      </c>
      <c r="P43" s="2">
        <v>-15</v>
      </c>
      <c r="Q43" s="2">
        <v>-15</v>
      </c>
      <c r="R43" s="2">
        <v>-15</v>
      </c>
      <c r="S43" s="2">
        <v>-15</v>
      </c>
      <c r="T43" s="2">
        <v>-15</v>
      </c>
      <c r="U43" s="2">
        <v>-15</v>
      </c>
      <c r="V43" s="2">
        <v>-15</v>
      </c>
      <c r="W43" s="2">
        <v>-15</v>
      </c>
      <c r="X43" s="2">
        <v>-15</v>
      </c>
      <c r="Y43" s="2">
        <v>-15</v>
      </c>
      <c r="Z43" s="2">
        <v>-15</v>
      </c>
    </row>
    <row r="44" spans="2:26" ht="15" customHeight="1" x14ac:dyDescent="0.2">
      <c r="B44" t="s">
        <v>61</v>
      </c>
      <c r="C44" s="2">
        <f t="shared" ref="C44:J44" si="58">+C41+C42+C43</f>
        <v>54.777000000000001</v>
      </c>
      <c r="D44" s="2">
        <f t="shared" si="58"/>
        <v>93.899000000000001</v>
      </c>
      <c r="E44" s="2">
        <f t="shared" si="58"/>
        <v>73.289999999999992</v>
      </c>
      <c r="F44" s="2">
        <f t="shared" si="58"/>
        <v>62.796999999999997</v>
      </c>
      <c r="G44" s="2">
        <f t="shared" si="58"/>
        <v>85.813999999999993</v>
      </c>
      <c r="H44" s="2">
        <f t="shared" si="58"/>
        <v>93.899000000000001</v>
      </c>
      <c r="I44" s="2">
        <f t="shared" si="58"/>
        <v>104.605</v>
      </c>
      <c r="J44" s="2">
        <f t="shared" si="58"/>
        <v>111.39600000000002</v>
      </c>
      <c r="K44" s="2"/>
      <c r="L44" s="2"/>
      <c r="M44" s="2">
        <f t="shared" ref="M44:Z44" si="59">+M41+M42+M43</f>
        <v>262.92199999999997</v>
      </c>
      <c r="N44" s="2">
        <f t="shared" si="59"/>
        <v>284.76299999999998</v>
      </c>
      <c r="O44" s="2">
        <f t="shared" si="59"/>
        <v>395.714</v>
      </c>
      <c r="P44" s="2">
        <f t="shared" si="59"/>
        <v>538.44618600000013</v>
      </c>
      <c r="Q44" s="2">
        <f t="shared" si="59"/>
        <v>616.19996915000002</v>
      </c>
      <c r="R44" s="2">
        <f t="shared" si="59"/>
        <v>714.17634077430012</v>
      </c>
      <c r="S44" s="2">
        <f t="shared" si="59"/>
        <v>838.97510720603304</v>
      </c>
      <c r="T44" s="2">
        <f t="shared" si="59"/>
        <v>999.59929671675559</v>
      </c>
      <c r="U44" s="2">
        <f t="shared" si="59"/>
        <v>1208.379844948505</v>
      </c>
      <c r="V44" s="2">
        <f t="shared" si="59"/>
        <v>1175.9888899125499</v>
      </c>
      <c r="W44" s="2">
        <f t="shared" si="59"/>
        <v>1146.7248836839233</v>
      </c>
      <c r="X44" s="2">
        <f t="shared" si="59"/>
        <v>1121.5716278765308</v>
      </c>
      <c r="Y44" s="2">
        <f t="shared" si="59"/>
        <v>1102.0222150949221</v>
      </c>
      <c r="Z44" s="2">
        <f t="shared" si="59"/>
        <v>1090.333152724106</v>
      </c>
    </row>
    <row r="45" spans="2:26" ht="15" customHeight="1" x14ac:dyDescent="0.2">
      <c r="B45" t="s">
        <v>62</v>
      </c>
      <c r="C45" s="2">
        <f t="shared" ref="C45:J45" si="60">+C40-C44</f>
        <v>40.661000000000044</v>
      </c>
      <c r="D45" s="2">
        <f t="shared" si="60"/>
        <v>77.713999999999942</v>
      </c>
      <c r="E45" s="2">
        <f t="shared" si="60"/>
        <v>34.319000000000045</v>
      </c>
      <c r="F45" s="2">
        <f t="shared" si="60"/>
        <v>7.0819999999998515</v>
      </c>
      <c r="G45" s="2">
        <f t="shared" si="60"/>
        <v>57.989999999999981</v>
      </c>
      <c r="H45" s="2">
        <f t="shared" si="60"/>
        <v>77.713999999999942</v>
      </c>
      <c r="I45" s="2">
        <f t="shared" si="60"/>
        <v>90.173000000000016</v>
      </c>
      <c r="J45" s="2">
        <f t="shared" si="60"/>
        <v>74.998999999999853</v>
      </c>
      <c r="K45" s="2"/>
      <c r="L45" s="2"/>
      <c r="M45" s="2">
        <f t="shared" ref="M45:Z45" si="61">+M40-M44</f>
        <v>56.008000000000095</v>
      </c>
      <c r="N45" s="2">
        <f t="shared" si="61"/>
        <v>159.77599999999978</v>
      </c>
      <c r="O45" s="2">
        <f t="shared" si="61"/>
        <v>300.87599999999969</v>
      </c>
      <c r="P45" s="2">
        <f t="shared" si="61"/>
        <v>241.37760600000001</v>
      </c>
      <c r="Q45" s="2">
        <f t="shared" si="61"/>
        <v>272.63786965000008</v>
      </c>
      <c r="R45" s="2">
        <f t="shared" si="61"/>
        <v>311.84708149529979</v>
      </c>
      <c r="S45" s="2">
        <f t="shared" si="61"/>
        <v>361.53380884954277</v>
      </c>
      <c r="T45" s="2">
        <f t="shared" si="61"/>
        <v>425.12168100101667</v>
      </c>
      <c r="U45" s="2">
        <f t="shared" si="61"/>
        <v>507.26289203761985</v>
      </c>
      <c r="V45" s="2">
        <f t="shared" si="61"/>
        <v>904.22792868312627</v>
      </c>
      <c r="W45" s="2">
        <f t="shared" si="61"/>
        <v>871.08543035388288</v>
      </c>
      <c r="X45" s="2">
        <f t="shared" si="61"/>
        <v>835.70437674014147</v>
      </c>
      <c r="Y45" s="2">
        <f t="shared" si="61"/>
        <v>796.53550938324952</v>
      </c>
      <c r="Z45" s="2">
        <f t="shared" si="61"/>
        <v>751.26784001972032</v>
      </c>
    </row>
    <row r="46" spans="2:26" ht="15" customHeight="1" x14ac:dyDescent="0.2">
      <c r="B46" t="s">
        <v>63</v>
      </c>
      <c r="C46" s="2">
        <v>1.1839999999999999</v>
      </c>
      <c r="D46" s="2">
        <v>0.40600000000000003</v>
      </c>
      <c r="E46" s="2">
        <v>0.39100000000000001</v>
      </c>
      <c r="F46" s="2">
        <f>+N46-E46-D46-C46</f>
        <v>1.0409999999999997</v>
      </c>
      <c r="G46" s="2">
        <v>0.39700000000000002</v>
      </c>
      <c r="H46" s="2">
        <v>0.40600000000000003</v>
      </c>
      <c r="I46" s="2">
        <v>0.39500000000000002</v>
      </c>
      <c r="J46" s="2">
        <f>+O46-I46-H46-G46</f>
        <v>0.14000000000000001</v>
      </c>
      <c r="K46" s="2"/>
      <c r="L46" s="2"/>
      <c r="M46" s="2">
        <v>2.97</v>
      </c>
      <c r="N46" s="2">
        <v>3.0219999999999998</v>
      </c>
      <c r="O46" s="2">
        <v>1.3380000000000001</v>
      </c>
      <c r="P46" s="2">
        <v>3</v>
      </c>
      <c r="Q46" s="2">
        <v>20</v>
      </c>
      <c r="R46" s="2">
        <f t="shared" ref="R46:W46" si="62">+Q46*1.4</f>
        <v>28</v>
      </c>
      <c r="S46" s="2">
        <f t="shared" si="62"/>
        <v>39.199999999999996</v>
      </c>
      <c r="T46" s="2">
        <f t="shared" si="62"/>
        <v>54.879999999999988</v>
      </c>
      <c r="U46" s="2">
        <f t="shared" si="62"/>
        <v>76.831999999999979</v>
      </c>
      <c r="V46" s="2">
        <f t="shared" si="62"/>
        <v>107.56479999999996</v>
      </c>
      <c r="W46" s="2">
        <f t="shared" si="62"/>
        <v>150.59071999999995</v>
      </c>
      <c r="X46" s="2">
        <v>170</v>
      </c>
      <c r="Y46" s="2">
        <v>180</v>
      </c>
      <c r="Z46" s="2">
        <v>190</v>
      </c>
    </row>
    <row r="47" spans="2:26" ht="15" customHeight="1" x14ac:dyDescent="0.2">
      <c r="B47" t="s">
        <v>60</v>
      </c>
      <c r="C47" s="2">
        <v>0.69499999999999995</v>
      </c>
      <c r="D47" s="2">
        <v>1.1359999999999999</v>
      </c>
      <c r="E47" s="2">
        <v>-0.189</v>
      </c>
      <c r="F47" s="2">
        <f>+N47-E47-D47-C47</f>
        <v>-3.4359999999999995</v>
      </c>
      <c r="G47" s="2">
        <v>-1.393</v>
      </c>
      <c r="H47" s="2">
        <v>1.1359999999999999</v>
      </c>
      <c r="I47" s="2">
        <v>0.56999999999999995</v>
      </c>
      <c r="J47" s="2">
        <f>+O47-I47-H47-G47</f>
        <v>-5.4410000000000007</v>
      </c>
      <c r="K47" s="2"/>
      <c r="L47" s="2"/>
      <c r="M47" s="2">
        <v>3.6999999999999998E-2</v>
      </c>
      <c r="N47" s="2">
        <v>-1.794</v>
      </c>
      <c r="O47" s="2">
        <v>-5.1280000000000001</v>
      </c>
      <c r="P47" s="2">
        <f t="shared" ref="P47:Z47" si="63">+O63*0.07</f>
        <v>9.5084499999999998</v>
      </c>
      <c r="Q47" s="2">
        <f t="shared" si="63"/>
        <v>10.1740415</v>
      </c>
      <c r="R47" s="2">
        <f t="shared" si="63"/>
        <v>10.886224405</v>
      </c>
      <c r="S47" s="2">
        <f t="shared" si="63"/>
        <v>11.64826011335</v>
      </c>
      <c r="T47" s="2">
        <f t="shared" si="63"/>
        <v>12.463638321284501</v>
      </c>
      <c r="U47" s="2">
        <f t="shared" si="63"/>
        <v>13.336093003774415</v>
      </c>
      <c r="V47" s="2">
        <f t="shared" si="63"/>
        <v>14.269619514038624</v>
      </c>
      <c r="W47" s="2">
        <f t="shared" si="63"/>
        <v>15.268492880021327</v>
      </c>
      <c r="X47" s="2">
        <f t="shared" si="63"/>
        <v>16.337287381622819</v>
      </c>
      <c r="Y47" s="2">
        <f t="shared" si="63"/>
        <v>17.480897498336418</v>
      </c>
      <c r="Z47" s="2">
        <f t="shared" si="63"/>
        <v>18.704560323219965</v>
      </c>
    </row>
    <row r="48" spans="2:26" ht="15" customHeight="1" x14ac:dyDescent="0.2">
      <c r="B48" t="s">
        <v>64</v>
      </c>
      <c r="C48" s="2">
        <f t="shared" ref="C48:J48" si="64">+C45-C46-C47</f>
        <v>38.782000000000046</v>
      </c>
      <c r="D48" s="2">
        <f t="shared" si="64"/>
        <v>76.17199999999994</v>
      </c>
      <c r="E48" s="2">
        <f t="shared" si="64"/>
        <v>34.117000000000047</v>
      </c>
      <c r="F48" s="2">
        <f t="shared" si="64"/>
        <v>9.4769999999998511</v>
      </c>
      <c r="G48" s="2">
        <f t="shared" si="64"/>
        <v>58.985999999999983</v>
      </c>
      <c r="H48" s="2">
        <f t="shared" si="64"/>
        <v>76.17199999999994</v>
      </c>
      <c r="I48" s="2">
        <f t="shared" si="64"/>
        <v>89.208000000000027</v>
      </c>
      <c r="J48" s="2">
        <f t="shared" si="64"/>
        <v>80.299999999999855</v>
      </c>
      <c r="K48" s="2"/>
      <c r="L48" s="2"/>
      <c r="M48" s="2">
        <f t="shared" ref="M48:Z48" si="65">+M45-M46-M47</f>
        <v>53.001000000000097</v>
      </c>
      <c r="N48" s="2">
        <f t="shared" si="65"/>
        <v>158.5479999999998</v>
      </c>
      <c r="O48" s="2">
        <f t="shared" si="65"/>
        <v>304.66599999999966</v>
      </c>
      <c r="P48" s="2">
        <f t="shared" si="65"/>
        <v>228.869156</v>
      </c>
      <c r="Q48" s="2">
        <f t="shared" si="65"/>
        <v>242.4638281500001</v>
      </c>
      <c r="R48" s="2">
        <f t="shared" si="65"/>
        <v>272.96085709029978</v>
      </c>
      <c r="S48" s="2">
        <f t="shared" si="65"/>
        <v>310.6855487361928</v>
      </c>
      <c r="T48" s="2">
        <f t="shared" si="65"/>
        <v>357.77804267973215</v>
      </c>
      <c r="U48" s="2">
        <f t="shared" si="65"/>
        <v>417.09479903384545</v>
      </c>
      <c r="V48" s="2">
        <f t="shared" si="65"/>
        <v>782.39350916908768</v>
      </c>
      <c r="W48" s="2">
        <f t="shared" si="65"/>
        <v>705.22621747386165</v>
      </c>
      <c r="X48" s="2">
        <f t="shared" si="65"/>
        <v>649.36708935851868</v>
      </c>
      <c r="Y48" s="2">
        <f t="shared" si="65"/>
        <v>599.05461188491313</v>
      </c>
      <c r="Z48" s="2">
        <f t="shared" si="65"/>
        <v>542.56327969650033</v>
      </c>
    </row>
    <row r="49" spans="2:74" ht="15" customHeight="1" x14ac:dyDescent="0.2">
      <c r="B49" t="s">
        <v>46</v>
      </c>
      <c r="C49" s="2">
        <v>10.028</v>
      </c>
      <c r="D49" s="2">
        <v>19.372</v>
      </c>
      <c r="E49" s="2">
        <v>8.2629999999999999</v>
      </c>
      <c r="F49" s="2">
        <f>+N49-E49-D49-C49</f>
        <v>1.0980000000000043</v>
      </c>
      <c r="G49" s="2">
        <v>15.398</v>
      </c>
      <c r="H49" s="2">
        <v>19.372</v>
      </c>
      <c r="I49" s="2">
        <v>22.571999999999999</v>
      </c>
      <c r="J49" s="2">
        <f>+O49-I49-H49-G49</f>
        <v>14.823000000000004</v>
      </c>
      <c r="K49" s="2"/>
      <c r="L49" s="2"/>
      <c r="M49" s="2">
        <v>12.815</v>
      </c>
      <c r="N49" s="2">
        <v>38.761000000000003</v>
      </c>
      <c r="O49" s="2">
        <v>72.165000000000006</v>
      </c>
      <c r="P49" s="2">
        <f t="shared" ref="P49:X49" si="66">+P48*0.24</f>
        <v>54.928597439999997</v>
      </c>
      <c r="Q49" s="2">
        <f t="shared" si="66"/>
        <v>58.191318756000022</v>
      </c>
      <c r="R49" s="2">
        <f t="shared" si="66"/>
        <v>65.510605701671949</v>
      </c>
      <c r="S49" s="2">
        <f t="shared" si="66"/>
        <v>74.564531696686274</v>
      </c>
      <c r="T49" s="2">
        <f t="shared" si="66"/>
        <v>85.86673024313572</v>
      </c>
      <c r="U49" s="2">
        <f t="shared" si="66"/>
        <v>100.1027517681229</v>
      </c>
      <c r="V49" s="2">
        <f t="shared" si="66"/>
        <v>187.77444220058103</v>
      </c>
      <c r="W49" s="2">
        <f t="shared" si="66"/>
        <v>169.2542921937268</v>
      </c>
      <c r="X49" s="2">
        <f t="shared" si="66"/>
        <v>155.84810144604447</v>
      </c>
      <c r="Y49" s="2">
        <v>65</v>
      </c>
      <c r="Z49" s="2">
        <f>+Z48*0.24</f>
        <v>130.21518712716008</v>
      </c>
    </row>
    <row r="50" spans="2:74" s="1" customFormat="1" ht="15.75" x14ac:dyDescent="0.25">
      <c r="B50" s="1" t="s">
        <v>65</v>
      </c>
      <c r="C50" s="3">
        <f t="shared" ref="C50:J50" si="67">+C48-C49</f>
        <v>28.754000000000048</v>
      </c>
      <c r="D50" s="3">
        <f t="shared" si="67"/>
        <v>56.79999999999994</v>
      </c>
      <c r="E50" s="3">
        <f t="shared" si="67"/>
        <v>25.854000000000049</v>
      </c>
      <c r="F50" s="3">
        <f t="shared" si="67"/>
        <v>8.3789999999998468</v>
      </c>
      <c r="G50" s="3">
        <f t="shared" si="67"/>
        <v>43.58799999999998</v>
      </c>
      <c r="H50" s="3">
        <f t="shared" si="67"/>
        <v>56.79999999999994</v>
      </c>
      <c r="I50" s="3">
        <f t="shared" si="67"/>
        <v>66.636000000000024</v>
      </c>
      <c r="J50" s="3">
        <f t="shared" si="67"/>
        <v>65.476999999999848</v>
      </c>
      <c r="K50" s="3"/>
      <c r="L50" s="3"/>
      <c r="M50" s="3">
        <f t="shared" ref="M50:Z50" si="68">+M48-M49</f>
        <v>40.186000000000099</v>
      </c>
      <c r="N50" s="3">
        <f t="shared" si="68"/>
        <v>119.78699999999981</v>
      </c>
      <c r="O50" s="3">
        <f t="shared" si="68"/>
        <v>232.50099999999964</v>
      </c>
      <c r="P50" s="3">
        <f t="shared" si="68"/>
        <v>173.94055856</v>
      </c>
      <c r="Q50" s="3">
        <f t="shared" si="68"/>
        <v>184.27250939400008</v>
      </c>
      <c r="R50" s="3">
        <f t="shared" si="68"/>
        <v>207.45025138862783</v>
      </c>
      <c r="S50" s="3">
        <f t="shared" si="68"/>
        <v>236.12101703950651</v>
      </c>
      <c r="T50" s="3">
        <f t="shared" si="68"/>
        <v>271.9113124365964</v>
      </c>
      <c r="U50" s="3">
        <f t="shared" si="68"/>
        <v>316.99204726572253</v>
      </c>
      <c r="V50" s="3">
        <f t="shared" si="68"/>
        <v>594.61906696850667</v>
      </c>
      <c r="W50" s="3">
        <f t="shared" si="68"/>
        <v>535.97192528013488</v>
      </c>
      <c r="X50" s="3">
        <f t="shared" si="68"/>
        <v>493.51898791247424</v>
      </c>
      <c r="Y50" s="3">
        <f t="shared" si="68"/>
        <v>534.05461188491313</v>
      </c>
      <c r="Z50" s="3">
        <f t="shared" si="68"/>
        <v>412.34809256934022</v>
      </c>
      <c r="AA50" s="1">
        <f t="shared" ref="AA50:BV50" si="69">+Z50*(1+$AC$54)</f>
        <v>416.47157349503362</v>
      </c>
      <c r="AB50" s="1">
        <f t="shared" si="69"/>
        <v>420.63628922998396</v>
      </c>
      <c r="AC50" s="1">
        <f t="shared" si="69"/>
        <v>424.84265212228382</v>
      </c>
      <c r="AD50" s="1">
        <f t="shared" si="69"/>
        <v>429.09107864350665</v>
      </c>
      <c r="AE50" s="1">
        <f t="shared" si="69"/>
        <v>433.38198942994171</v>
      </c>
      <c r="AF50" s="1">
        <f t="shared" si="69"/>
        <v>437.71580932424115</v>
      </c>
      <c r="AG50" s="1">
        <f t="shared" si="69"/>
        <v>442.09296741748358</v>
      </c>
      <c r="AH50" s="1">
        <f t="shared" si="69"/>
        <v>446.51389709165841</v>
      </c>
      <c r="AI50" s="1">
        <f t="shared" si="69"/>
        <v>450.97903606257501</v>
      </c>
      <c r="AJ50" s="1">
        <f t="shared" si="69"/>
        <v>455.48882642320075</v>
      </c>
      <c r="AK50" s="1">
        <f t="shared" si="69"/>
        <v>460.04371468743278</v>
      </c>
      <c r="AL50" s="1">
        <f t="shared" si="69"/>
        <v>464.64415183430714</v>
      </c>
      <c r="AM50" s="1">
        <f t="shared" si="69"/>
        <v>469.29059335265021</v>
      </c>
      <c r="AN50" s="1">
        <f t="shared" si="69"/>
        <v>473.98349928617671</v>
      </c>
      <c r="AO50" s="1">
        <f t="shared" si="69"/>
        <v>478.72333427903845</v>
      </c>
      <c r="AP50" s="1">
        <f t="shared" si="69"/>
        <v>483.51056762182884</v>
      </c>
      <c r="AQ50" s="1">
        <f t="shared" si="69"/>
        <v>488.34567329804713</v>
      </c>
      <c r="AR50" s="1">
        <f t="shared" si="69"/>
        <v>493.22913003102758</v>
      </c>
      <c r="AS50" s="1">
        <f t="shared" si="69"/>
        <v>498.16142133133786</v>
      </c>
      <c r="AT50" s="1">
        <f t="shared" si="69"/>
        <v>503.14303554465124</v>
      </c>
      <c r="AU50" s="1">
        <f t="shared" si="69"/>
        <v>508.17446590009774</v>
      </c>
      <c r="AV50" s="1">
        <f t="shared" si="69"/>
        <v>513.25621055909869</v>
      </c>
      <c r="AW50" s="1">
        <f t="shared" si="69"/>
        <v>518.38877266468967</v>
      </c>
      <c r="AX50" s="1">
        <f t="shared" si="69"/>
        <v>523.57266039133663</v>
      </c>
      <c r="AY50" s="1">
        <f t="shared" si="69"/>
        <v>528.80838699524998</v>
      </c>
      <c r="AZ50" s="1">
        <f t="shared" si="69"/>
        <v>534.09647086520249</v>
      </c>
      <c r="BA50" s="1">
        <f t="shared" si="69"/>
        <v>539.43743557385449</v>
      </c>
      <c r="BB50" s="1">
        <f t="shared" si="69"/>
        <v>544.83180992959308</v>
      </c>
      <c r="BC50" s="1">
        <f t="shared" si="69"/>
        <v>550.28012802888907</v>
      </c>
      <c r="BD50" s="1">
        <f t="shared" si="69"/>
        <v>555.78292930917792</v>
      </c>
      <c r="BE50" s="1">
        <f t="shared" si="69"/>
        <v>561.34075860226972</v>
      </c>
      <c r="BF50" s="1">
        <f t="shared" si="69"/>
        <v>566.95416618829245</v>
      </c>
      <c r="BG50" s="1">
        <f t="shared" si="69"/>
        <v>572.62370785017538</v>
      </c>
      <c r="BH50" s="1">
        <f t="shared" si="69"/>
        <v>578.34994492867713</v>
      </c>
      <c r="BI50" s="1">
        <f t="shared" si="69"/>
        <v>584.13344437796388</v>
      </c>
      <c r="BJ50" s="1">
        <f t="shared" si="69"/>
        <v>589.97477882174348</v>
      </c>
      <c r="BK50" s="1">
        <f t="shared" si="69"/>
        <v>595.87452660996098</v>
      </c>
      <c r="BL50" s="1">
        <f t="shared" si="69"/>
        <v>601.83327187606062</v>
      </c>
      <c r="BM50" s="1">
        <f t="shared" si="69"/>
        <v>607.8516045948212</v>
      </c>
      <c r="BN50" s="1">
        <f t="shared" si="69"/>
        <v>613.93012064076936</v>
      </c>
      <c r="BO50" s="1">
        <f t="shared" si="69"/>
        <v>620.06942184717707</v>
      </c>
      <c r="BP50" s="1">
        <f t="shared" si="69"/>
        <v>626.27011606564884</v>
      </c>
      <c r="BQ50" s="1">
        <f t="shared" si="69"/>
        <v>632.53281722630538</v>
      </c>
      <c r="BR50" s="1">
        <f t="shared" si="69"/>
        <v>638.85814539856847</v>
      </c>
      <c r="BS50" s="1">
        <f t="shared" si="69"/>
        <v>645.24672685255416</v>
      </c>
      <c r="BT50" s="1">
        <f t="shared" si="69"/>
        <v>651.6991941210797</v>
      </c>
      <c r="BU50" s="1">
        <f t="shared" si="69"/>
        <v>658.21618606229049</v>
      </c>
      <c r="BV50" s="1">
        <f t="shared" si="69"/>
        <v>664.79834792291342</v>
      </c>
    </row>
    <row r="51" spans="2:74" s="13" customFormat="1" x14ac:dyDescent="0.2">
      <c r="B51" s="13" t="s">
        <v>124</v>
      </c>
      <c r="C51" s="13">
        <f t="shared" ref="C51:J51" si="70">+C50/C52</f>
        <v>1.4061299225122383</v>
      </c>
      <c r="D51" s="13">
        <f t="shared" si="70"/>
        <v>2.7734706787263783</v>
      </c>
      <c r="E51" s="13">
        <f t="shared" si="70"/>
        <v>1.2669988025895922</v>
      </c>
      <c r="F51" s="13">
        <f t="shared" si="70"/>
        <v>0.40983464899325395</v>
      </c>
      <c r="G51" s="13">
        <f t="shared" si="70"/>
        <v>2.1329916475280717</v>
      </c>
      <c r="H51" s="13">
        <f t="shared" si="70"/>
        <v>2.7734706787263783</v>
      </c>
      <c r="I51" s="13">
        <f t="shared" si="70"/>
        <v>3.2510329625938019</v>
      </c>
      <c r="J51" s="13">
        <f t="shared" si="70"/>
        <v>3.1985886484664676</v>
      </c>
      <c r="N51" s="13">
        <f>+N50/N52</f>
        <v>5.8590360542971389</v>
      </c>
      <c r="O51" s="13">
        <f>+O50/O52</f>
        <v>12.236894736842086</v>
      </c>
    </row>
    <row r="52" spans="2:74" x14ac:dyDescent="0.2">
      <c r="B52" t="s">
        <v>1</v>
      </c>
      <c r="C52" s="2">
        <v>20.449034999999999</v>
      </c>
      <c r="D52" s="2">
        <v>20.479755000000001</v>
      </c>
      <c r="E52" s="2">
        <v>20.405702000000002</v>
      </c>
      <c r="F52" s="2">
        <f>+AVERAGE(C52:E52)</f>
        <v>20.444830666666665</v>
      </c>
      <c r="G52" s="2">
        <v>20.435148000000002</v>
      </c>
      <c r="H52" s="2">
        <v>20.479755000000001</v>
      </c>
      <c r="I52" s="2">
        <v>20.496870000000001</v>
      </c>
      <c r="J52" s="2">
        <f>+AVERAGE(G52:I52)</f>
        <v>20.470591000000002</v>
      </c>
      <c r="K52" s="2"/>
      <c r="L52" s="2"/>
      <c r="M52" s="2"/>
      <c r="N52" s="2">
        <f>+AVERAGE(C52:F52)</f>
        <v>20.444830666666665</v>
      </c>
      <c r="O52" s="2">
        <f>+main!N8</f>
        <v>19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4" spans="2:74" s="4" customFormat="1" ht="15.75" x14ac:dyDescent="0.25">
      <c r="B54" s="4" t="s">
        <v>80</v>
      </c>
      <c r="M54" s="4">
        <f>+M40/M38</f>
        <v>0.14718886029588227</v>
      </c>
      <c r="N54" s="4">
        <f>+N40/N38</f>
        <v>0.18699896980809985</v>
      </c>
      <c r="O54" s="4">
        <f t="shared" ref="O54:P54" si="71">+O40/O38</f>
        <v>0.24150608211602018</v>
      </c>
      <c r="P54" s="4">
        <f t="shared" si="71"/>
        <v>0.24000000000000005</v>
      </c>
      <c r="Q54" s="4">
        <f t="shared" ref="Q54:Z54" si="72">+Q40/Q38</f>
        <v>0.24000000000000002</v>
      </c>
      <c r="R54" s="4">
        <f t="shared" si="72"/>
        <v>0.24</v>
      </c>
      <c r="S54" s="4">
        <f t="shared" si="72"/>
        <v>0.24</v>
      </c>
      <c r="T54" s="4">
        <f t="shared" si="72"/>
        <v>0.23999999999999996</v>
      </c>
      <c r="U54" s="4">
        <f t="shared" si="72"/>
        <v>0.24</v>
      </c>
      <c r="V54" s="4">
        <f t="shared" si="72"/>
        <v>0.3</v>
      </c>
      <c r="W54" s="4">
        <f t="shared" si="72"/>
        <v>0.3000000000000001</v>
      </c>
      <c r="X54" s="4">
        <f t="shared" si="72"/>
        <v>0.3000000000000001</v>
      </c>
      <c r="Y54" s="4">
        <f t="shared" si="72"/>
        <v>0.30000000000000004</v>
      </c>
      <c r="Z54" s="4">
        <f t="shared" si="72"/>
        <v>0.3</v>
      </c>
      <c r="AB54" s="3" t="s">
        <v>83</v>
      </c>
      <c r="AC54" s="5">
        <v>0.01</v>
      </c>
    </row>
    <row r="55" spans="2:74" s="4" customFormat="1" ht="15.75" x14ac:dyDescent="0.25">
      <c r="B55" s="4" t="s">
        <v>81</v>
      </c>
      <c r="M55" s="4">
        <f>+M45/M38</f>
        <v>2.5848160058482384E-2</v>
      </c>
      <c r="N55" s="4">
        <f>+N45/N38</f>
        <v>6.7211082492332361E-2</v>
      </c>
      <c r="O55" s="4">
        <f t="shared" ref="O55:P55" si="73">+O45/O38</f>
        <v>0.10431298750016459</v>
      </c>
      <c r="P55" s="4">
        <f t="shared" si="73"/>
        <v>7.4286814578234869E-2</v>
      </c>
      <c r="Q55" s="4">
        <f t="shared" ref="Q55:Z55" si="74">+Q45/Q38</f>
        <v>7.3616452697760668E-2</v>
      </c>
      <c r="R55" s="4">
        <f t="shared" si="74"/>
        <v>7.2945020488241807E-2</v>
      </c>
      <c r="S55" s="4">
        <f t="shared" si="74"/>
        <v>7.2276109709353845E-2</v>
      </c>
      <c r="T55" s="4">
        <f t="shared" si="74"/>
        <v>7.1613463292779067E-2</v>
      </c>
      <c r="U55" s="4">
        <f t="shared" si="74"/>
        <v>7.0960632691451392E-2</v>
      </c>
      <c r="V55" s="4">
        <f t="shared" si="74"/>
        <v>0.13040389644963413</v>
      </c>
      <c r="W55" s="4">
        <f t="shared" si="74"/>
        <v>0.12950951201316374</v>
      </c>
      <c r="X55" s="4">
        <f t="shared" si="74"/>
        <v>0.12809195659206157</v>
      </c>
      <c r="Y55" s="4">
        <f t="shared" si="74"/>
        <v>0.1258643072760163</v>
      </c>
      <c r="Z55" s="4">
        <f t="shared" si="74"/>
        <v>0.12238283585529505</v>
      </c>
      <c r="AB55" s="3" t="s">
        <v>84</v>
      </c>
      <c r="AC55" s="5">
        <v>0.09</v>
      </c>
    </row>
    <row r="56" spans="2:74" s="4" customFormat="1" ht="15.75" x14ac:dyDescent="0.25">
      <c r="B56" s="4" t="s">
        <v>82</v>
      </c>
      <c r="M56" s="4">
        <f>+M49/M48</f>
        <v>0.24178789079451285</v>
      </c>
      <c r="N56" s="4">
        <f>+N49/N48</f>
        <v>0.24447485934858876</v>
      </c>
      <c r="O56" s="4">
        <f t="shared" ref="O56:P56" si="75">+O49/O48</f>
        <v>0.23686594500206812</v>
      </c>
      <c r="P56" s="4">
        <f t="shared" si="75"/>
        <v>0.24</v>
      </c>
      <c r="Q56" s="4">
        <f t="shared" ref="Q56:Z56" si="76">+Q49/Q48</f>
        <v>0.24</v>
      </c>
      <c r="R56" s="4">
        <f t="shared" si="76"/>
        <v>0.24</v>
      </c>
      <c r="S56" s="4">
        <f t="shared" si="76"/>
        <v>0.24000000000000002</v>
      </c>
      <c r="T56" s="4">
        <f t="shared" si="76"/>
        <v>0.24000000000000002</v>
      </c>
      <c r="U56" s="4">
        <f t="shared" si="76"/>
        <v>0.24</v>
      </c>
      <c r="V56" s="4">
        <f t="shared" si="76"/>
        <v>0.24</v>
      </c>
      <c r="W56" s="4">
        <f t="shared" si="76"/>
        <v>0.24</v>
      </c>
      <c r="X56" s="4">
        <f t="shared" si="76"/>
        <v>0.23999999999999996</v>
      </c>
      <c r="Y56" s="4">
        <f t="shared" si="76"/>
        <v>0.10850429778927638</v>
      </c>
      <c r="Z56" s="4">
        <f t="shared" si="76"/>
        <v>0.24</v>
      </c>
      <c r="AB56" s="3" t="s">
        <v>85</v>
      </c>
      <c r="AC56" s="5">
        <v>7.0000000000000007E-2</v>
      </c>
    </row>
    <row r="57" spans="2:74" s="4" customFormat="1" ht="15.75" x14ac:dyDescent="0.25">
      <c r="B57" s="4" t="s">
        <v>65</v>
      </c>
      <c r="M57" s="4">
        <f>+M50/M38</f>
        <v>1.8546174834133941E-2</v>
      </c>
      <c r="N57" s="4">
        <f>+N50/N38</f>
        <v>5.0389382250832511E-2</v>
      </c>
      <c r="O57" s="4">
        <f t="shared" ref="O57:P57" si="77">+O50/O38</f>
        <v>8.0607539008680493E-2</v>
      </c>
      <c r="P57" s="4">
        <f t="shared" si="77"/>
        <v>5.353226521511413E-2</v>
      </c>
      <c r="Q57" s="4">
        <f t="shared" ref="Q57:Z57" si="78">+Q50/Q38</f>
        <v>4.9756435115619897E-2</v>
      </c>
      <c r="R57" s="4">
        <f t="shared" si="78"/>
        <v>4.8525266823965615E-2</v>
      </c>
      <c r="S57" s="4">
        <f t="shared" si="78"/>
        <v>4.7204184268514124E-2</v>
      </c>
      <c r="T57" s="4">
        <f t="shared" si="78"/>
        <v>4.5804558229583701E-2</v>
      </c>
      <c r="U57" s="4">
        <f t="shared" si="78"/>
        <v>4.4343784229471946E-2</v>
      </c>
      <c r="V57" s="4">
        <f t="shared" si="78"/>
        <v>8.5753426515884815E-2</v>
      </c>
      <c r="W57" s="4">
        <f t="shared" si="78"/>
        <v>7.968617092767416E-2</v>
      </c>
      <c r="X57" s="4">
        <f t="shared" si="78"/>
        <v>7.5643749795389056E-2</v>
      </c>
      <c r="Y57" s="4">
        <f t="shared" si="78"/>
        <v>8.438847104820596E-2</v>
      </c>
      <c r="Z57" s="4">
        <f t="shared" si="78"/>
        <v>6.7172220398563728E-2</v>
      </c>
      <c r="AB57" s="3" t="s">
        <v>86</v>
      </c>
      <c r="AC57" s="6">
        <f>+NPV(AC56,O50:BV50)</f>
        <v>5438.9947242810786</v>
      </c>
    </row>
    <row r="58" spans="2:74" s="4" customFormat="1" ht="15.75" x14ac:dyDescent="0.25">
      <c r="AB58" s="3" t="s">
        <v>87</v>
      </c>
      <c r="AC58" s="3">
        <f>+AC57/main!N8</f>
        <v>286.26288022531992</v>
      </c>
    </row>
    <row r="59" spans="2:74" s="5" customFormat="1" ht="15.75" x14ac:dyDescent="0.25">
      <c r="AB59" s="3" t="s">
        <v>88</v>
      </c>
      <c r="AC59" s="1">
        <v>316</v>
      </c>
    </row>
    <row r="60" spans="2:74" s="5" customFormat="1" ht="15.75" x14ac:dyDescent="0.25">
      <c r="B60" s="5" t="s">
        <v>79</v>
      </c>
      <c r="G60" s="5">
        <f>+G38/C38-1</f>
        <v>0.10362270688881381</v>
      </c>
      <c r="H60" s="5">
        <f>+H38/D38-1</f>
        <v>0</v>
      </c>
      <c r="I60" s="5">
        <f>+I38/E38-1</f>
        <v>0.31476376975999698</v>
      </c>
      <c r="J60" s="5">
        <f>+J38/F38-1</f>
        <v>0.51466800997327056</v>
      </c>
      <c r="N60" s="5">
        <f t="shared" ref="N60:Z60" si="79">+N38/M38-1</f>
        <v>9.7110126970179067E-2</v>
      </c>
      <c r="O60" s="5">
        <f t="shared" si="79"/>
        <v>0.21332880705124069</v>
      </c>
      <c r="P60" s="5">
        <f t="shared" si="79"/>
        <v>0.1265126589695178</v>
      </c>
      <c r="Q60" s="5">
        <f t="shared" si="79"/>
        <v>0.1397931788159652</v>
      </c>
      <c r="R60" s="5">
        <f t="shared" si="79"/>
        <v>0.15434264550979404</v>
      </c>
      <c r="S60" s="5">
        <f t="shared" si="79"/>
        <v>0.17005995184789047</v>
      </c>
      <c r="T60" s="5">
        <f t="shared" si="79"/>
        <v>0.18676417864423178</v>
      </c>
      <c r="U60" s="5">
        <f t="shared" si="79"/>
        <v>0.20419560308178597</v>
      </c>
      <c r="V60" s="5">
        <f t="shared" si="79"/>
        <v>-3.0000000000000138E-2</v>
      </c>
      <c r="W60" s="5">
        <f t="shared" si="79"/>
        <v>-3.0000000000000027E-2</v>
      </c>
      <c r="X60" s="5">
        <f t="shared" si="79"/>
        <v>-2.9999999999999916E-2</v>
      </c>
      <c r="Y60" s="5">
        <f t="shared" si="79"/>
        <v>-3.0000000000000138E-2</v>
      </c>
      <c r="Z60" s="5">
        <f t="shared" si="79"/>
        <v>-2.9999999999999916E-2</v>
      </c>
      <c r="AB60" s="3" t="s">
        <v>89</v>
      </c>
      <c r="AC60" s="5">
        <f>+AC58/AC59-1</f>
        <v>-9.4104809413544599E-2</v>
      </c>
    </row>
    <row r="61" spans="2:74" s="5" customFormat="1" ht="15.75" x14ac:dyDescent="0.25">
      <c r="AB61" s="3"/>
    </row>
    <row r="62" spans="2:74" s="5" customFormat="1" ht="15.75" x14ac:dyDescent="0.25"/>
    <row r="63" spans="2:74" s="1" customFormat="1" ht="15.75" x14ac:dyDescent="0.25">
      <c r="B63" s="1" t="s">
        <v>54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>
        <f>+O64-O76</f>
        <v>135.83499999999998</v>
      </c>
      <c r="P63" s="3">
        <f t="shared" ref="P63:Z63" si="80">+O63+P47</f>
        <v>145.34344999999999</v>
      </c>
      <c r="Q63" s="3">
        <f t="shared" si="80"/>
        <v>155.51749149999998</v>
      </c>
      <c r="R63" s="3">
        <f t="shared" si="80"/>
        <v>166.40371590499998</v>
      </c>
      <c r="S63" s="3">
        <f t="shared" si="80"/>
        <v>178.05197601834999</v>
      </c>
      <c r="T63" s="3">
        <f t="shared" si="80"/>
        <v>190.51561433963448</v>
      </c>
      <c r="U63" s="3">
        <f t="shared" si="80"/>
        <v>203.85170734340889</v>
      </c>
      <c r="V63" s="3">
        <f t="shared" si="80"/>
        <v>218.12132685744751</v>
      </c>
      <c r="W63" s="3">
        <f t="shared" si="80"/>
        <v>233.38981973746883</v>
      </c>
      <c r="X63" s="3">
        <f t="shared" si="80"/>
        <v>249.72710711909164</v>
      </c>
      <c r="Y63" s="3">
        <f t="shared" si="80"/>
        <v>267.20800461742806</v>
      </c>
      <c r="Z63" s="3">
        <f t="shared" si="80"/>
        <v>285.91256494064805</v>
      </c>
    </row>
    <row r="64" spans="2:74" x14ac:dyDescent="0.2">
      <c r="B64" t="s">
        <v>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>
        <v>75.77</v>
      </c>
      <c r="O64" s="2">
        <f>100.832+35.003</f>
        <v>135.83499999999998</v>
      </c>
      <c r="P64" s="2"/>
    </row>
    <row r="65" spans="2:15" x14ac:dyDescent="0.2">
      <c r="B65" t="s">
        <v>34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f>363.836+76.934</f>
        <v>440.77</v>
      </c>
      <c r="O65" s="2">
        <f>469.833+89.793</f>
        <v>559.62599999999998</v>
      </c>
    </row>
    <row r="66" spans="2:15" x14ac:dyDescent="0.2">
      <c r="B66" t="s">
        <v>35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>
        <v>95.655000000000001</v>
      </c>
      <c r="O66" s="2">
        <v>101.72799999999999</v>
      </c>
    </row>
    <row r="67" spans="2:15" x14ac:dyDescent="0.2">
      <c r="B67" t="s">
        <v>36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>
        <v>48.62</v>
      </c>
      <c r="O67" s="2">
        <v>60.139000000000003</v>
      </c>
    </row>
    <row r="68" spans="2:15" x14ac:dyDescent="0.2">
      <c r="B68" t="s">
        <v>37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>
        <v>10.481</v>
      </c>
      <c r="O68" s="2">
        <v>14.366</v>
      </c>
    </row>
    <row r="69" spans="2:15" x14ac:dyDescent="0.2">
      <c r="B69" t="s">
        <v>38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>
        <v>63.41</v>
      </c>
      <c r="O69" s="2">
        <v>134.197</v>
      </c>
    </row>
    <row r="70" spans="2:15" x14ac:dyDescent="0.2">
      <c r="B70" t="s">
        <v>39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>
        <f>92.395+56.208</f>
        <v>148.60300000000001</v>
      </c>
      <c r="O70" s="2">
        <f>93.96+45.89</f>
        <v>139.85</v>
      </c>
    </row>
    <row r="71" spans="2:15" x14ac:dyDescent="0.2">
      <c r="B71" t="s">
        <v>40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>
        <v>20.382999999999999</v>
      </c>
      <c r="O71" s="2">
        <v>22.457999999999998</v>
      </c>
    </row>
    <row r="72" spans="2:15" x14ac:dyDescent="0.2">
      <c r="B72" t="s">
        <v>41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>
        <v>61.761000000000003</v>
      </c>
      <c r="O72" s="2">
        <v>61.956000000000003</v>
      </c>
    </row>
    <row r="73" spans="2:15" x14ac:dyDescent="0.2">
      <c r="B73" t="s">
        <v>42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16.146999999999998</v>
      </c>
      <c r="O73" s="2">
        <v>13.871</v>
      </c>
    </row>
    <row r="74" spans="2:15" ht="15.75" x14ac:dyDescent="0.25">
      <c r="B74" s="1" t="s">
        <v>43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f>+SUM(N64:N73)</f>
        <v>981.6</v>
      </c>
      <c r="O74" s="3">
        <f>+SUM(O64:O73)</f>
        <v>1244.0260000000001</v>
      </c>
    </row>
    <row r="76" spans="2:15" x14ac:dyDescent="0.2">
      <c r="B76" t="s">
        <v>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>
        <v>0</v>
      </c>
      <c r="O76" s="2">
        <v>0</v>
      </c>
    </row>
    <row r="77" spans="2:15" x14ac:dyDescent="0.2">
      <c r="B77" t="s">
        <v>44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>
        <v>296.79700000000003</v>
      </c>
      <c r="O77" s="2">
        <v>363.58199999999999</v>
      </c>
    </row>
    <row r="78" spans="2:15" x14ac:dyDescent="0.2">
      <c r="B78" t="s">
        <v>49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>
        <v>103.771</v>
      </c>
      <c r="O78" s="2">
        <v>158.97200000000001</v>
      </c>
    </row>
    <row r="79" spans="2:15" x14ac:dyDescent="0.2">
      <c r="B79" t="s">
        <v>45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>
        <v>42.097999999999999</v>
      </c>
      <c r="O79" s="2">
        <v>40.445</v>
      </c>
    </row>
    <row r="80" spans="2:15" x14ac:dyDescent="0.2">
      <c r="B80" t="s">
        <v>46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22.047000000000001</v>
      </c>
      <c r="O80" s="2">
        <v>16.677</v>
      </c>
    </row>
    <row r="81" spans="2:26" x14ac:dyDescent="0.2">
      <c r="B81" t="s">
        <v>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16.951000000000001</v>
      </c>
      <c r="O81" s="2">
        <v>12.241</v>
      </c>
    </row>
    <row r="82" spans="2:26" ht="15.75" x14ac:dyDescent="0.25">
      <c r="B82" s="1" t="s">
        <v>48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f>+SUM(N76:N81)</f>
        <v>481.6640000000001</v>
      </c>
      <c r="O82" s="3">
        <f>+SUM(O76:O81)</f>
        <v>591.91700000000003</v>
      </c>
    </row>
    <row r="83" spans="2:26" x14ac:dyDescent="0.2">
      <c r="B83" t="s">
        <v>50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449.98500000000001</v>
      </c>
      <c r="O83" s="2">
        <v>611.11300000000006</v>
      </c>
    </row>
    <row r="84" spans="2:26" x14ac:dyDescent="0.2">
      <c r="B84" t="s">
        <v>51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>
        <f>+N82+N83</f>
        <v>931.64900000000011</v>
      </c>
      <c r="O84" s="2">
        <f>+O82+O83</f>
        <v>1203.0300000000002</v>
      </c>
    </row>
    <row r="85" spans="2:26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2:26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2:26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2:26" x14ac:dyDescent="0.2">
      <c r="B88" t="s">
        <v>65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>
        <f>+M50</f>
        <v>40.186000000000099</v>
      </c>
      <c r="N88" s="2">
        <f>+N50</f>
        <v>119.78699999999981</v>
      </c>
      <c r="O88" s="2">
        <f>+O50</f>
        <v>232.50099999999964</v>
      </c>
      <c r="P88" s="2">
        <f t="shared" ref="P88:Z88" si="81">+P50</f>
        <v>173.94055856</v>
      </c>
      <c r="Q88" s="2">
        <f t="shared" si="81"/>
        <v>184.27250939400008</v>
      </c>
      <c r="R88" s="2">
        <f t="shared" si="81"/>
        <v>207.45025138862783</v>
      </c>
      <c r="S88" s="2">
        <f t="shared" si="81"/>
        <v>236.12101703950651</v>
      </c>
      <c r="T88" s="2">
        <f t="shared" si="81"/>
        <v>271.9113124365964</v>
      </c>
      <c r="U88" s="2">
        <f t="shared" si="81"/>
        <v>316.99204726572253</v>
      </c>
      <c r="V88" s="2">
        <f t="shared" si="81"/>
        <v>594.61906696850667</v>
      </c>
      <c r="W88" s="2">
        <f t="shared" si="81"/>
        <v>535.97192528013488</v>
      </c>
      <c r="X88" s="2">
        <f t="shared" si="81"/>
        <v>493.51898791247424</v>
      </c>
      <c r="Y88" s="2">
        <f t="shared" si="81"/>
        <v>534.05461188491313</v>
      </c>
      <c r="Z88" s="2">
        <f t="shared" si="81"/>
        <v>412.34809256934022</v>
      </c>
    </row>
    <row r="89" spans="2:26" s="1" customFormat="1" ht="15.75" x14ac:dyDescent="0.25">
      <c r="B89" s="1" t="s">
        <v>66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>
        <v>16.262</v>
      </c>
      <c r="N89" s="3">
        <v>153.90199999999999</v>
      </c>
      <c r="O89" s="3">
        <v>234.404</v>
      </c>
      <c r="P89" s="3">
        <f>+P88+20</f>
        <v>193.94055856</v>
      </c>
      <c r="Q89" s="3">
        <f t="shared" ref="Q89:Z89" si="82">+Q88+20</f>
        <v>204.27250939400008</v>
      </c>
      <c r="R89" s="3">
        <f t="shared" si="82"/>
        <v>227.45025138862783</v>
      </c>
      <c r="S89" s="3">
        <f t="shared" si="82"/>
        <v>256.12101703950651</v>
      </c>
      <c r="T89" s="3">
        <f t="shared" si="82"/>
        <v>291.9113124365964</v>
      </c>
      <c r="U89" s="3">
        <f t="shared" si="82"/>
        <v>336.99204726572253</v>
      </c>
      <c r="V89" s="3">
        <f t="shared" si="82"/>
        <v>614.61906696850667</v>
      </c>
      <c r="W89" s="3">
        <f t="shared" si="82"/>
        <v>555.97192528013488</v>
      </c>
      <c r="X89" s="3">
        <f t="shared" si="82"/>
        <v>513.51898791247424</v>
      </c>
      <c r="Y89" s="3">
        <f t="shared" si="82"/>
        <v>554.05461188491313</v>
      </c>
      <c r="Z89" s="3">
        <f t="shared" si="82"/>
        <v>432.34809256934022</v>
      </c>
    </row>
    <row r="90" spans="2:26" s="1" customFormat="1" ht="15.7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s="3" customFormat="1" ht="15.75" x14ac:dyDescent="0.25">
      <c r="B91" s="3" t="s">
        <v>69</v>
      </c>
      <c r="M91" s="3">
        <v>-29.536000000000001</v>
      </c>
      <c r="N91" s="3">
        <v>2.77</v>
      </c>
      <c r="O91" s="3">
        <v>-108.84699999999999</v>
      </c>
      <c r="P91" s="3">
        <v>-70</v>
      </c>
      <c r="Q91" s="3">
        <f t="shared" ref="Q91:T91" si="83">+P91*1.07</f>
        <v>-74.900000000000006</v>
      </c>
      <c r="R91" s="3">
        <f t="shared" si="83"/>
        <v>-80.143000000000015</v>
      </c>
      <c r="S91" s="3">
        <f t="shared" si="83"/>
        <v>-85.753010000000017</v>
      </c>
      <c r="T91" s="3">
        <f t="shared" si="83"/>
        <v>-91.755720700000026</v>
      </c>
      <c r="U91" s="3">
        <f>+T91*1.04</f>
        <v>-95.425949528000032</v>
      </c>
      <c r="V91" s="3">
        <f>+U91*1.04</f>
        <v>-99.242987509120042</v>
      </c>
      <c r="W91" s="3">
        <f>+V91*1.04</f>
        <v>-103.21270700948484</v>
      </c>
      <c r="X91" s="3">
        <f>+W91*1.04</f>
        <v>-107.34121528986424</v>
      </c>
      <c r="Y91" s="3">
        <f>+X91*1.04</f>
        <v>-111.63486390145881</v>
      </c>
      <c r="Z91" s="3">
        <v>-50</v>
      </c>
    </row>
    <row r="92" spans="2:26" s="2" customFormat="1" x14ac:dyDescent="0.2">
      <c r="B92" s="2" t="s">
        <v>67</v>
      </c>
      <c r="M92" s="2">
        <v>-29.254999999999999</v>
      </c>
      <c r="N92" s="2">
        <v>-17.667000000000002</v>
      </c>
      <c r="O92" s="2">
        <v>-45.158999999999999</v>
      </c>
      <c r="P92" s="2">
        <f>+O92*1.07</f>
        <v>-48.320129999999999</v>
      </c>
      <c r="Q92" s="2">
        <f t="shared" ref="Q92:U92" si="84">+P92*1.07</f>
        <v>-51.702539100000003</v>
      </c>
      <c r="R92" s="2">
        <f t="shared" si="84"/>
        <v>-55.321716837000004</v>
      </c>
      <c r="S92" s="2">
        <f t="shared" si="84"/>
        <v>-59.194237015590005</v>
      </c>
      <c r="T92" s="2">
        <f t="shared" si="84"/>
        <v>-63.337833606681308</v>
      </c>
      <c r="U92" s="2">
        <f t="shared" si="84"/>
        <v>-67.771481959149</v>
      </c>
      <c r="V92" s="2">
        <f>+U92*1.015</f>
        <v>-68.788054188536222</v>
      </c>
      <c r="W92" s="2">
        <f>+V92*1.015</f>
        <v>-69.819875001364252</v>
      </c>
      <c r="X92" s="2">
        <f>+W92*1.015</f>
        <v>-70.867173126384714</v>
      </c>
      <c r="Y92" s="2">
        <f>+X92*1.015</f>
        <v>-71.930180723280472</v>
      </c>
      <c r="Z92" s="2">
        <f>+Y92*1.015</f>
        <v>-73.009133434129666</v>
      </c>
    </row>
    <row r="93" spans="2:26" s="2" customFormat="1" x14ac:dyDescent="0.2"/>
    <row r="94" spans="2:26" s="1" customFormat="1" ht="15.75" x14ac:dyDescent="0.25">
      <c r="B94" s="1" t="s">
        <v>68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>
        <f t="shared" ref="M94:Z94" si="85">+M89+M92</f>
        <v>-12.992999999999999</v>
      </c>
      <c r="N94" s="3">
        <f t="shared" si="85"/>
        <v>136.23499999999999</v>
      </c>
      <c r="O94" s="3">
        <f t="shared" si="85"/>
        <v>189.245</v>
      </c>
      <c r="P94" s="3">
        <f t="shared" si="85"/>
        <v>145.62042855999999</v>
      </c>
      <c r="Q94" s="3">
        <f t="shared" si="85"/>
        <v>152.56997029400009</v>
      </c>
      <c r="R94" s="3">
        <f t="shared" si="85"/>
        <v>172.12853455162784</v>
      </c>
      <c r="S94" s="3">
        <f t="shared" si="85"/>
        <v>196.92678002391651</v>
      </c>
      <c r="T94" s="3">
        <f t="shared" si="85"/>
        <v>228.5734788299151</v>
      </c>
      <c r="U94" s="3">
        <f t="shared" si="85"/>
        <v>269.22056530657352</v>
      </c>
      <c r="V94" s="3">
        <f t="shared" si="85"/>
        <v>545.83101277997048</v>
      </c>
      <c r="W94" s="3">
        <f t="shared" si="85"/>
        <v>486.15205027877062</v>
      </c>
      <c r="X94" s="3">
        <f t="shared" si="85"/>
        <v>442.65181478608952</v>
      </c>
      <c r="Y94" s="3">
        <f t="shared" si="85"/>
        <v>482.12443116163263</v>
      </c>
      <c r="Z94" s="3">
        <f t="shared" si="85"/>
        <v>359.33895913521053</v>
      </c>
    </row>
    <row r="95" spans="2:26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2:26" x14ac:dyDescent="0.2">
      <c r="B96" t="s">
        <v>71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>
        <v>1924.4690000000001</v>
      </c>
      <c r="N96" s="2">
        <v>2381.5619999999999</v>
      </c>
      <c r="O96" s="2">
        <v>2896.346</v>
      </c>
    </row>
    <row r="97" spans="2:15" x14ac:dyDescent="0.2">
      <c r="B97" t="s">
        <v>72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v>-1882.1479999999999</v>
      </c>
      <c r="N97" s="2">
        <v>-2464.221</v>
      </c>
      <c r="O97" s="2">
        <v>-2896.346</v>
      </c>
    </row>
    <row r="98" spans="2:15" x14ac:dyDescent="0.2">
      <c r="B98" t="s">
        <v>73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>
        <v>-1.8009999999999999</v>
      </c>
      <c r="N98" s="2">
        <v>-3.3380000000000001</v>
      </c>
      <c r="O98" s="2">
        <v>-4.2569999999999997</v>
      </c>
    </row>
    <row r="99" spans="2:15" x14ac:dyDescent="0.2">
      <c r="B99" t="s">
        <v>74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>
        <v>0</v>
      </c>
      <c r="N99" s="2">
        <v>0</v>
      </c>
      <c r="O99" s="2">
        <v>-32</v>
      </c>
    </row>
    <row r="100" spans="2:15" x14ac:dyDescent="0.2">
      <c r="B100" t="s">
        <v>75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>
        <v>0</v>
      </c>
      <c r="N100" s="2">
        <v>0</v>
      </c>
      <c r="O100" s="2">
        <v>-4.0739999999999998</v>
      </c>
    </row>
    <row r="101" spans="2:15" x14ac:dyDescent="0.2">
      <c r="B101" t="s">
        <v>76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>
        <v>-7</v>
      </c>
      <c r="N101" s="2">
        <v>-11.491</v>
      </c>
      <c r="O101" s="2">
        <v>-16.155000000000001</v>
      </c>
    </row>
    <row r="102" spans="2:15" x14ac:dyDescent="0.2">
      <c r="B102" t="s">
        <v>77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f>-18.556+0.053</f>
        <v>-18.503</v>
      </c>
      <c r="N102" s="2">
        <f>-8.284+0.022</f>
        <v>-8.2620000000000005</v>
      </c>
      <c r="O102" s="2">
        <f>-44.028+0.019</f>
        <v>-44.009</v>
      </c>
    </row>
    <row r="104" spans="2:15" s="1" customFormat="1" ht="15.75" x14ac:dyDescent="0.25">
      <c r="B104" s="1" t="s">
        <v>70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>
        <f>+SUM(M96:M102)</f>
        <v>15.017000000000138</v>
      </c>
      <c r="N104" s="3">
        <f>+SUM(N96:N102)</f>
        <v>-105.7500000000001</v>
      </c>
      <c r="O104" s="3">
        <f>+SUM(O96:O102)</f>
        <v>-100.495</v>
      </c>
    </row>
    <row r="105" spans="2:15" x14ac:dyDescent="0.2">
      <c r="B105" t="s">
        <v>78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>
        <f>+M89+M91+M104</f>
        <v>1.7430000000001371</v>
      </c>
      <c r="N105" s="2">
        <f>+N89+N91+N104</f>
        <v>50.921999999999898</v>
      </c>
      <c r="O105" s="2">
        <f>+O89+O91+O104</f>
        <v>25.061999999999998</v>
      </c>
    </row>
    <row r="106" spans="2:15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2:15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9" spans="2:15" x14ac:dyDescent="0.2">
      <c r="B109" t="s">
        <v>53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>
        <f>+N74-N82</f>
        <v>499.93599999999992</v>
      </c>
      <c r="O109" s="2">
        <f>+O74-O82</f>
        <v>652.10900000000004</v>
      </c>
    </row>
    <row r="110" spans="2:15" s="10" customFormat="1" ht="15.75" x14ac:dyDescent="0.25">
      <c r="B110" s="10" t="s">
        <v>52</v>
      </c>
      <c r="N110" s="10">
        <v>351</v>
      </c>
      <c r="O110" s="10">
        <v>512</v>
      </c>
    </row>
  </sheetData>
  <pageMargins left="0.7" right="0.7" top="0.75" bottom="0.75" header="0.3" footer="0.3"/>
  <ignoredErrors>
    <ignoredError sqref="J40 J48 F40 F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2025-01-23T01:17:12Z</dcterms:created>
  <dcterms:modified xsi:type="dcterms:W3CDTF">2025-01-28T17:42:23Z</dcterms:modified>
</cp:coreProperties>
</file>