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768FAB0A-2513-41AE-A49F-015894CF353A}" xr6:coauthVersionLast="47" xr6:coauthVersionMax="47" xr10:uidLastSave="{00000000-0000-0000-0000-000000000000}"/>
  <bookViews>
    <workbookView xWindow="-120" yWindow="-120" windowWidth="29040" windowHeight="15840" xr2:uid="{B2D08161-F083-4C7C-87E9-809219C4EB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1" i="2"/>
  <c r="H21" i="2"/>
  <c r="I21" i="2"/>
  <c r="J21" i="2"/>
  <c r="K21" i="2"/>
  <c r="L21" i="2"/>
  <c r="M21" i="2"/>
  <c r="N21" i="2"/>
  <c r="O21" i="2"/>
  <c r="P21" i="2"/>
  <c r="F21" i="2"/>
  <c r="G6" i="2"/>
  <c r="H6" i="2" s="1"/>
  <c r="I6" i="2" s="1"/>
  <c r="J6" i="2" s="1"/>
  <c r="K6" i="2" s="1"/>
  <c r="L6" i="2" s="1"/>
  <c r="M6" i="2" s="1"/>
  <c r="N6" i="2" s="1"/>
  <c r="O6" i="2" s="1"/>
  <c r="P6" i="2" s="1"/>
  <c r="G7" i="2"/>
  <c r="H7" i="2" s="1"/>
  <c r="I7" i="2" s="1"/>
  <c r="J7" i="2" s="1"/>
  <c r="K7" i="2" s="1"/>
  <c r="L7" i="2" s="1"/>
  <c r="M7" i="2" s="1"/>
  <c r="N7" i="2" s="1"/>
  <c r="O7" i="2" s="1"/>
  <c r="P7" i="2" s="1"/>
  <c r="F7" i="2"/>
  <c r="F6" i="2"/>
  <c r="P8" i="2"/>
  <c r="O8" i="2"/>
  <c r="N8" i="2"/>
  <c r="M8" i="2"/>
  <c r="L8" i="2"/>
  <c r="K8" i="2"/>
  <c r="J8" i="2"/>
  <c r="I8" i="2"/>
  <c r="H8" i="2"/>
  <c r="G8" i="2"/>
  <c r="F8" i="2"/>
  <c r="E27" i="1"/>
  <c r="E26" i="1"/>
  <c r="E24" i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C30" i="2"/>
  <c r="D30" i="2"/>
  <c r="E30" i="2"/>
  <c r="C27" i="2"/>
  <c r="D27" i="2"/>
  <c r="E27" i="2"/>
  <c r="D21" i="2"/>
  <c r="E21" i="2"/>
  <c r="C13" i="2"/>
  <c r="C11" i="2"/>
  <c r="C22" i="2" s="1"/>
  <c r="D13" i="2"/>
  <c r="D11" i="2"/>
  <c r="D22" i="2" s="1"/>
  <c r="E13" i="2"/>
  <c r="E11" i="2"/>
  <c r="E14" i="2" s="1"/>
  <c r="E17" i="2" s="1"/>
  <c r="E19" i="2" s="1"/>
  <c r="C27" i="1"/>
  <c r="C24" i="1"/>
  <c r="F9" i="2" l="1"/>
  <c r="G9" i="2"/>
  <c r="G19" i="2" s="1"/>
  <c r="I9" i="2"/>
  <c r="H9" i="2"/>
  <c r="K9" i="2"/>
  <c r="P9" i="2"/>
  <c r="J9" i="2"/>
  <c r="L9" i="2"/>
  <c r="M9" i="2"/>
  <c r="N9" i="2"/>
  <c r="O9" i="2"/>
  <c r="F19" i="2"/>
  <c r="E22" i="2"/>
  <c r="C14" i="2"/>
  <c r="C17" i="2" s="1"/>
  <c r="C19" i="2" s="1"/>
  <c r="D14" i="2"/>
  <c r="D17" i="2" s="1"/>
  <c r="D19" i="2" s="1"/>
  <c r="H19" i="2" l="1"/>
  <c r="I19" i="2" l="1"/>
  <c r="J19" i="2" l="1"/>
  <c r="K19" i="2" l="1"/>
  <c r="L19" i="2" l="1"/>
  <c r="M19" i="2" l="1"/>
  <c r="N19" i="2" l="1"/>
  <c r="O19" i="2" l="1"/>
  <c r="P19" i="2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K32" i="2" s="1"/>
</calcChain>
</file>

<file path=xl/sharedStrings.xml><?xml version="1.0" encoding="utf-8"?>
<sst xmlns="http://schemas.openxmlformats.org/spreadsheetml/2006/main" count="58" uniqueCount="46">
  <si>
    <t>Founded</t>
  </si>
  <si>
    <t xml:space="preserve">CEO </t>
  </si>
  <si>
    <t xml:space="preserve">300k customers in USA , Canada </t>
  </si>
  <si>
    <t>Headcount</t>
  </si>
  <si>
    <t xml:space="preserve">This company is product of Aramark spin off in Sep 2023 </t>
  </si>
  <si>
    <t xml:space="preserve">91% revenue in USA </t>
  </si>
  <si>
    <t xml:space="preserve">9% in Canada </t>
  </si>
  <si>
    <t xml:space="preserve">Cintas Corp (CTAS)  and UniFirst (UNF) are direct competitors </t>
  </si>
  <si>
    <t>VSTS</t>
  </si>
  <si>
    <t>CTAS</t>
  </si>
  <si>
    <t>UNF</t>
  </si>
  <si>
    <t>Price</t>
  </si>
  <si>
    <t>Shares</t>
  </si>
  <si>
    <t>MC</t>
  </si>
  <si>
    <t>Cash</t>
  </si>
  <si>
    <t xml:space="preserve">Debt </t>
  </si>
  <si>
    <t xml:space="preserve">EV </t>
  </si>
  <si>
    <t>Vestis Corp</t>
  </si>
  <si>
    <t>Main</t>
  </si>
  <si>
    <t xml:space="preserve">Revenue </t>
  </si>
  <si>
    <t xml:space="preserve">COGS </t>
  </si>
  <si>
    <t xml:space="preserve">SGA </t>
  </si>
  <si>
    <t xml:space="preserve">Gross </t>
  </si>
  <si>
    <t xml:space="preserve">OpEx </t>
  </si>
  <si>
    <t xml:space="preserve">OpInc </t>
  </si>
  <si>
    <t xml:space="preserve">Interest </t>
  </si>
  <si>
    <t xml:space="preserve">Other </t>
  </si>
  <si>
    <t xml:space="preserve">Pretax </t>
  </si>
  <si>
    <t xml:space="preserve">Tax </t>
  </si>
  <si>
    <t xml:space="preserve">Net income </t>
  </si>
  <si>
    <t>CFFO</t>
  </si>
  <si>
    <t xml:space="preserve">CFFI </t>
  </si>
  <si>
    <t xml:space="preserve">CapEX </t>
  </si>
  <si>
    <t xml:space="preserve">FCF </t>
  </si>
  <si>
    <t xml:space="preserve">CFFF </t>
  </si>
  <si>
    <t xml:space="preserve">FX </t>
  </si>
  <si>
    <t xml:space="preserve">Change </t>
  </si>
  <si>
    <t xml:space="preserve">Revenue y/y </t>
  </si>
  <si>
    <t xml:space="preserve">Gross margin </t>
  </si>
  <si>
    <t>terminal</t>
  </si>
  <si>
    <t>discount</t>
  </si>
  <si>
    <t>npv</t>
  </si>
  <si>
    <t xml:space="preserve">Kim Scott </t>
  </si>
  <si>
    <t xml:space="preserve">USA customers </t>
  </si>
  <si>
    <t xml:space="preserve">Canada  customers </t>
  </si>
  <si>
    <t xml:space="preserve">Avg $price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</si>
</sst>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2"/>
    <xf numFmtId="3" fontId="0" fillId="0" borderId="2" xfId="0" applyNumberFormat="1" applyBorder="1" applyAlignment="1">
      <alignment horizontal="left"/>
    </xf>
    <xf numFmtId="3" fontId="0" fillId="0" borderId="4" xfId="0" applyNumberFormat="1" applyBorder="1" applyAlignment="1">
      <alignment horizontal="left"/>
    </xf>
    <xf numFmtId="9" fontId="0" fillId="0" borderId="0" xfId="1" applyFont="1"/>
    <xf numFmtId="3" fontId="2" fillId="0" borderId="0" xfId="0" applyNumberFormat="1" applyFont="1"/>
    <xf numFmtId="8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164" fontId="0" fillId="0" borderId="0" xfId="0" applyNumberFormat="1"/>
    <xf numFmtId="0" fontId="3" fillId="0" borderId="5" xfId="2" applyBorder="1" applyAlignment="1">
      <alignment horizontal="center"/>
    </xf>
    <xf numFmtId="0" fontId="3" fillId="0" borderId="6" xfId="2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66675</xdr:rowOff>
    </xdr:from>
    <xdr:to>
      <xdr:col>5</xdr:col>
      <xdr:colOff>28575</xdr:colOff>
      <xdr:row>45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EC9EEA-AD4E-4191-C8B0-A32E3E62541D}"/>
            </a:ext>
          </a:extLst>
        </xdr:cNvPr>
        <xdr:cNvCxnSpPr/>
      </xdr:nvCxnSpPr>
      <xdr:spPr>
        <a:xfrm>
          <a:off x="4819650" y="257175"/>
          <a:ext cx="19050" cy="7753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UNF.xlsx" TargetMode="External"/><Relationship Id="rId1" Type="http://schemas.openxmlformats.org/officeDocument/2006/relationships/hyperlink" Target="CTA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78B1-F4B2-4FB4-B07F-6D2C86CF31BF}">
  <dimension ref="B6:G27"/>
  <sheetViews>
    <sheetView tabSelected="1" workbookViewId="0">
      <selection activeCell="F29" sqref="F29"/>
    </sheetView>
  </sheetViews>
  <sheetFormatPr defaultRowHeight="15" x14ac:dyDescent="0.2"/>
  <cols>
    <col min="2" max="2" width="12.5546875" customWidth="1"/>
  </cols>
  <sheetData>
    <row r="6" spans="2:3" ht="15.75" x14ac:dyDescent="0.25">
      <c r="B6" s="1" t="s">
        <v>17</v>
      </c>
    </row>
    <row r="7" spans="2:3" x14ac:dyDescent="0.2">
      <c r="B7" s="2" t="s">
        <v>0</v>
      </c>
      <c r="C7">
        <v>2023</v>
      </c>
    </row>
    <row r="8" spans="2:3" x14ac:dyDescent="0.2">
      <c r="B8" t="s">
        <v>1</v>
      </c>
      <c r="C8" t="s">
        <v>42</v>
      </c>
    </row>
    <row r="9" spans="2:3" x14ac:dyDescent="0.2">
      <c r="B9" t="s">
        <v>3</v>
      </c>
      <c r="C9">
        <v>19600</v>
      </c>
    </row>
    <row r="11" spans="2:3" x14ac:dyDescent="0.2">
      <c r="B11" t="s">
        <v>2</v>
      </c>
    </row>
    <row r="12" spans="2:3" x14ac:dyDescent="0.2">
      <c r="B12" t="s">
        <v>4</v>
      </c>
    </row>
    <row r="15" spans="2:3" x14ac:dyDescent="0.2">
      <c r="B15" t="s">
        <v>5</v>
      </c>
    </row>
    <row r="16" spans="2:3" x14ac:dyDescent="0.2">
      <c r="B16" t="s">
        <v>6</v>
      </c>
    </row>
    <row r="18" spans="2:7" x14ac:dyDescent="0.2">
      <c r="B18" t="s">
        <v>7</v>
      </c>
    </row>
    <row r="20" spans="2:7" ht="15.75" thickBot="1" x14ac:dyDescent="0.25"/>
    <row r="21" spans="2:7" ht="15.75" thickBot="1" x14ac:dyDescent="0.25">
      <c r="B21" s="6" t="s">
        <v>8</v>
      </c>
      <c r="C21" s="7"/>
      <c r="D21" s="17" t="s">
        <v>9</v>
      </c>
      <c r="E21" s="18"/>
      <c r="F21" s="17" t="s">
        <v>10</v>
      </c>
      <c r="G21" s="18"/>
    </row>
    <row r="22" spans="2:7" x14ac:dyDescent="0.2">
      <c r="B22" s="3" t="s">
        <v>11</v>
      </c>
      <c r="C22" s="4">
        <v>13.85</v>
      </c>
      <c r="D22" s="3" t="s">
        <v>11</v>
      </c>
      <c r="E22" s="4">
        <v>201</v>
      </c>
      <c r="F22" s="3" t="s">
        <v>11</v>
      </c>
      <c r="G22" s="4">
        <v>215</v>
      </c>
    </row>
    <row r="23" spans="2:7" x14ac:dyDescent="0.2">
      <c r="B23" s="3" t="s">
        <v>12</v>
      </c>
      <c r="C23" s="9">
        <v>131.530045</v>
      </c>
      <c r="D23" s="3" t="s">
        <v>12</v>
      </c>
      <c r="E23" s="15">
        <v>403.54393199999998</v>
      </c>
      <c r="F23" s="3" t="s">
        <v>12</v>
      </c>
      <c r="G23" s="9">
        <f>15.007187+3.558435</f>
        <v>18.565622000000001</v>
      </c>
    </row>
    <row r="24" spans="2:7" x14ac:dyDescent="0.2">
      <c r="B24" s="3" t="s">
        <v>13</v>
      </c>
      <c r="C24" s="9">
        <f>+C22*C23</f>
        <v>1821.6911232499999</v>
      </c>
      <c r="D24" s="3" t="s">
        <v>13</v>
      </c>
      <c r="E24" s="15">
        <f>+E22*E23</f>
        <v>81112.330331999998</v>
      </c>
      <c r="F24" s="3" t="s">
        <v>13</v>
      </c>
      <c r="G24" s="9">
        <f>+G22*G23</f>
        <v>3991.6087300000004</v>
      </c>
    </row>
    <row r="25" spans="2:7" x14ac:dyDescent="0.2">
      <c r="B25" s="3" t="s">
        <v>14</v>
      </c>
      <c r="C25" s="9">
        <v>31.01</v>
      </c>
      <c r="D25" s="3" t="s">
        <v>14</v>
      </c>
      <c r="E25" s="15">
        <v>122.395</v>
      </c>
      <c r="F25" s="3" t="s">
        <v>14</v>
      </c>
      <c r="G25" s="9">
        <f>166.246+14.734</f>
        <v>180.98000000000002</v>
      </c>
    </row>
    <row r="26" spans="2:7" x14ac:dyDescent="0.2">
      <c r="B26" s="3" t="s">
        <v>15</v>
      </c>
      <c r="C26" s="9">
        <v>1147.7329999999999</v>
      </c>
      <c r="D26" s="3" t="s">
        <v>15</v>
      </c>
      <c r="E26" s="15">
        <f>630.808+2026.963</f>
        <v>2657.7709999999997</v>
      </c>
      <c r="F26" s="3" t="s">
        <v>15</v>
      </c>
      <c r="G26" s="9">
        <v>0</v>
      </c>
    </row>
    <row r="27" spans="2:7" ht="15.75" thickBot="1" x14ac:dyDescent="0.25">
      <c r="B27" s="5" t="s">
        <v>16</v>
      </c>
      <c r="C27" s="10">
        <f>+C24-C25+C26</f>
        <v>2938.4141232499996</v>
      </c>
      <c r="D27" s="5" t="s">
        <v>16</v>
      </c>
      <c r="E27" s="10">
        <f>+E24-E25+E26</f>
        <v>83647.706331999987</v>
      </c>
      <c r="F27" s="5" t="s">
        <v>16</v>
      </c>
      <c r="G27" s="10">
        <f>+G24-G25+G26</f>
        <v>3810.6287300000004</v>
      </c>
    </row>
  </sheetData>
  <mergeCells count="3">
    <mergeCell ref="B21:C21"/>
    <mergeCell ref="D21:E21"/>
    <mergeCell ref="F21:G21"/>
  </mergeCells>
  <hyperlinks>
    <hyperlink ref="D21:E21" r:id="rId1" display="CTAS" xr:uid="{C55C88A5-3805-4146-B95B-6E0F73A11FEC}"/>
    <hyperlink ref="F21:G21" r:id="rId2" display="UNF" xr:uid="{B9572B41-50E6-48A3-BBE5-3269441E299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3E4-C432-4D7E-8E58-43B5556576C2}">
  <dimension ref="A1:BC3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26" sqref="I26"/>
    </sheetView>
  </sheetViews>
  <sheetFormatPr defaultRowHeight="15" x14ac:dyDescent="0.2"/>
  <cols>
    <col min="1" max="1" width="4.77734375" bestFit="1" customWidth="1"/>
    <col min="2" max="2" width="15.77734375" customWidth="1"/>
    <col min="6" max="6" width="10.88671875" bestFit="1" customWidth="1"/>
    <col min="11" max="11" width="9.44140625" bestFit="1" customWidth="1"/>
  </cols>
  <sheetData>
    <row r="1" spans="1:16" x14ac:dyDescent="0.2">
      <c r="A1" s="8" t="s">
        <v>18</v>
      </c>
    </row>
    <row r="4" spans="1:16" x14ac:dyDescent="0.2">
      <c r="B4" s="16"/>
    </row>
    <row r="5" spans="1:16" x14ac:dyDescent="0.2">
      <c r="C5">
        <v>2022</v>
      </c>
      <c r="D5">
        <v>2023</v>
      </c>
      <c r="E5">
        <v>2024</v>
      </c>
      <c r="F5">
        <f>+E5+1</f>
        <v>2025</v>
      </c>
      <c r="G5">
        <f>+F5+1</f>
        <v>2026</v>
      </c>
      <c r="H5">
        <f>+G5+1</f>
        <v>2027</v>
      </c>
      <c r="I5">
        <f>+H5+1</f>
        <v>2028</v>
      </c>
      <c r="J5">
        <f>+I5+1</f>
        <v>2029</v>
      </c>
      <c r="K5">
        <f>+J5+1</f>
        <v>2030</v>
      </c>
      <c r="L5">
        <f>+K5+1</f>
        <v>2031</v>
      </c>
      <c r="M5">
        <f>+L5+1</f>
        <v>2032</v>
      </c>
      <c r="N5">
        <f>+M5+1</f>
        <v>2033</v>
      </c>
      <c r="O5">
        <f>+N5+1</f>
        <v>2034</v>
      </c>
      <c r="P5">
        <f>+O5+1</f>
        <v>2035</v>
      </c>
    </row>
    <row r="6" spans="1:16" s="14" customFormat="1" x14ac:dyDescent="0.2">
      <c r="B6" s="14" t="s">
        <v>43</v>
      </c>
      <c r="E6" s="14">
        <v>270000</v>
      </c>
      <c r="F6" s="14">
        <f>+E6*0.97</f>
        <v>261900</v>
      </c>
      <c r="G6" s="14">
        <f t="shared" ref="G6:P6" si="0">+F6*0.97</f>
        <v>254043</v>
      </c>
      <c r="H6" s="14">
        <f t="shared" si="0"/>
        <v>246421.71</v>
      </c>
      <c r="I6" s="14">
        <f t="shared" si="0"/>
        <v>239029.05869999999</v>
      </c>
      <c r="J6" s="14">
        <f t="shared" si="0"/>
        <v>231858.18693899998</v>
      </c>
      <c r="K6" s="14">
        <f t="shared" si="0"/>
        <v>224902.44133082998</v>
      </c>
      <c r="L6" s="14">
        <f t="shared" si="0"/>
        <v>218155.36809090507</v>
      </c>
      <c r="M6" s="14">
        <f t="shared" si="0"/>
        <v>211610.70704817792</v>
      </c>
      <c r="N6" s="14">
        <f t="shared" si="0"/>
        <v>205262.38583673257</v>
      </c>
      <c r="O6" s="14">
        <f t="shared" si="0"/>
        <v>199104.5142616306</v>
      </c>
      <c r="P6" s="14">
        <f t="shared" si="0"/>
        <v>193131.37883378167</v>
      </c>
    </row>
    <row r="7" spans="1:16" s="14" customFormat="1" x14ac:dyDescent="0.2">
      <c r="B7" s="14" t="s">
        <v>44</v>
      </c>
      <c r="E7" s="14">
        <v>30000</v>
      </c>
      <c r="F7" s="14">
        <f>+E7*0.97</f>
        <v>29100</v>
      </c>
      <c r="G7" s="14">
        <f t="shared" ref="G7:P7" si="1">+F7*0.97</f>
        <v>28227</v>
      </c>
      <c r="H7" s="14">
        <f t="shared" si="1"/>
        <v>27380.19</v>
      </c>
      <c r="I7" s="14">
        <f t="shared" si="1"/>
        <v>26558.784299999999</v>
      </c>
      <c r="J7" s="14">
        <f t="shared" si="1"/>
        <v>25762.020771</v>
      </c>
      <c r="K7" s="14">
        <f t="shared" si="1"/>
        <v>24989.160147869999</v>
      </c>
      <c r="L7" s="14">
        <f t="shared" si="1"/>
        <v>24239.485343433898</v>
      </c>
      <c r="M7" s="14">
        <f t="shared" si="1"/>
        <v>23512.300783130882</v>
      </c>
      <c r="N7" s="14">
        <f t="shared" si="1"/>
        <v>22806.931759636955</v>
      </c>
      <c r="O7" s="14">
        <f t="shared" si="1"/>
        <v>22122.723806847844</v>
      </c>
      <c r="P7" s="14">
        <f t="shared" si="1"/>
        <v>21459.042092642409</v>
      </c>
    </row>
    <row r="8" spans="1:16" s="16" customFormat="1" x14ac:dyDescent="0.2">
      <c r="B8" s="16" t="s">
        <v>45</v>
      </c>
      <c r="E8" s="16">
        <v>10000</v>
      </c>
      <c r="F8" s="16">
        <f>+E8*1.02</f>
        <v>10200</v>
      </c>
      <c r="G8" s="16">
        <f>+F8*1.02</f>
        <v>10404</v>
      </c>
      <c r="H8" s="16">
        <f>+G8*1.02</f>
        <v>10612.08</v>
      </c>
      <c r="I8" s="16">
        <f>+H8*1.02</f>
        <v>10824.321599999999</v>
      </c>
      <c r="J8" s="16">
        <f>+I8*1.02</f>
        <v>11040.808031999999</v>
      </c>
      <c r="K8" s="16">
        <f>+J8*1.02</f>
        <v>11261.62419264</v>
      </c>
      <c r="L8" s="16">
        <f>+K8*1.02</f>
        <v>11486.8566764928</v>
      </c>
      <c r="M8" s="16">
        <f>+L8*1.02</f>
        <v>11716.593810022656</v>
      </c>
      <c r="N8" s="16">
        <f>+M8*1.02</f>
        <v>11950.925686223109</v>
      </c>
      <c r="O8" s="16">
        <f>+N8*1.02</f>
        <v>12189.944199947571</v>
      </c>
      <c r="P8" s="16">
        <f>+O8*1.02</f>
        <v>12433.743083946523</v>
      </c>
    </row>
    <row r="9" spans="1:16" s="14" customFormat="1" x14ac:dyDescent="0.2">
      <c r="B9" s="14" t="s">
        <v>19</v>
      </c>
      <c r="C9" s="14">
        <v>2687.0050000000001</v>
      </c>
      <c r="D9" s="14">
        <v>2825.2860000000001</v>
      </c>
      <c r="E9" s="14">
        <v>2805.82</v>
      </c>
      <c r="F9" s="14">
        <f>+(F6+F7)*F8/1000000</f>
        <v>2968.2</v>
      </c>
      <c r="G9" s="14">
        <f>+(G6+G7)*G8/1000000</f>
        <v>2936.7370799999999</v>
      </c>
      <c r="H9" s="14">
        <f>+(H6+H7)*H8/1000000</f>
        <v>2905.6076669519998</v>
      </c>
      <c r="I9" s="14">
        <f>+(I6+I7)*I8/1000000</f>
        <v>2874.8082256823086</v>
      </c>
      <c r="J9" s="14">
        <f>+(J6+J7)*J8/1000000</f>
        <v>2844.3352584900763</v>
      </c>
      <c r="K9" s="14">
        <f>+(K6+K7)*K8/1000000</f>
        <v>2814.1853047500813</v>
      </c>
      <c r="L9" s="14">
        <f>+(L6+L7)*L8/1000000</f>
        <v>2784.35494051973</v>
      </c>
      <c r="M9" s="14">
        <f>+(M6+M7)*M8/1000000</f>
        <v>2754.8407781502215</v>
      </c>
      <c r="N9" s="14">
        <f>+(N6+N7)*N8/1000000</f>
        <v>2725.6394659018288</v>
      </c>
      <c r="O9" s="14">
        <f>+(O6+O7)*O8/1000000</f>
        <v>2696.7476875632692</v>
      </c>
      <c r="P9" s="14">
        <f>+(P6+P7)*P8/1000000</f>
        <v>2668.1621620750984</v>
      </c>
    </row>
    <row r="10" spans="1:16" x14ac:dyDescent="0.2">
      <c r="B10" t="s">
        <v>20</v>
      </c>
      <c r="C10">
        <v>1909.6759999999999</v>
      </c>
      <c r="D10">
        <v>1970.2149999999999</v>
      </c>
      <c r="E10">
        <v>1989.8720000000001</v>
      </c>
    </row>
    <row r="11" spans="1:16" x14ac:dyDescent="0.2">
      <c r="B11" t="s">
        <v>22</v>
      </c>
      <c r="C11">
        <f>+C9-C10</f>
        <v>777.32900000000018</v>
      </c>
      <c r="D11">
        <f>+D9-D10</f>
        <v>855.07100000000014</v>
      </c>
      <c r="E11">
        <f>+E9-E10</f>
        <v>815.94800000000009</v>
      </c>
    </row>
    <row r="12" spans="1:16" x14ac:dyDescent="0.2">
      <c r="B12" t="s">
        <v>21</v>
      </c>
      <c r="C12">
        <v>450.73399999999998</v>
      </c>
      <c r="D12">
        <v>500.65800000000002</v>
      </c>
      <c r="E12">
        <v>517.21600000000001</v>
      </c>
    </row>
    <row r="13" spans="1:16" x14ac:dyDescent="0.2">
      <c r="B13" t="s">
        <v>23</v>
      </c>
      <c r="C13">
        <f>+C12</f>
        <v>450.73399999999998</v>
      </c>
      <c r="D13">
        <f>+D12</f>
        <v>500.65800000000002</v>
      </c>
      <c r="E13">
        <f>+E12</f>
        <v>517.21600000000001</v>
      </c>
    </row>
    <row r="14" spans="1:16" x14ac:dyDescent="0.2">
      <c r="B14" t="s">
        <v>24</v>
      </c>
      <c r="C14">
        <f>+C11-C13</f>
        <v>326.5950000000002</v>
      </c>
      <c r="D14">
        <f>+D11-D13</f>
        <v>354.41300000000012</v>
      </c>
      <c r="E14">
        <f>+E11-E13</f>
        <v>298.73200000000008</v>
      </c>
    </row>
    <row r="15" spans="1:16" x14ac:dyDescent="0.2">
      <c r="B15" t="s">
        <v>25</v>
      </c>
      <c r="C15">
        <v>4.548</v>
      </c>
      <c r="D15">
        <v>2.109</v>
      </c>
      <c r="E15">
        <v>126.563</v>
      </c>
    </row>
    <row r="16" spans="1:16" x14ac:dyDescent="0.2">
      <c r="B16" t="s">
        <v>26</v>
      </c>
      <c r="C16">
        <v>-2.2639999999999998</v>
      </c>
      <c r="D16">
        <v>-2.0990000000000002</v>
      </c>
      <c r="E16">
        <v>-0.64200000000000002</v>
      </c>
    </row>
    <row r="17" spans="2:55" x14ac:dyDescent="0.2">
      <c r="B17" t="s">
        <v>27</v>
      </c>
      <c r="C17">
        <f>+C14-C15-C16</f>
        <v>324.31100000000021</v>
      </c>
      <c r="D17">
        <f>+D14-D15-D16</f>
        <v>354.40300000000013</v>
      </c>
      <c r="E17">
        <f>+E14-E15-E16</f>
        <v>172.81100000000009</v>
      </c>
    </row>
    <row r="18" spans="2:55" x14ac:dyDescent="0.2">
      <c r="B18" t="s">
        <v>28</v>
      </c>
      <c r="C18">
        <v>48.28</v>
      </c>
      <c r="D18">
        <v>56.572000000000003</v>
      </c>
      <c r="E18">
        <v>11.06</v>
      </c>
    </row>
    <row r="19" spans="2:55" x14ac:dyDescent="0.2">
      <c r="B19" t="s">
        <v>29</v>
      </c>
      <c r="C19">
        <f>+C17-C18</f>
        <v>276.03100000000018</v>
      </c>
      <c r="D19">
        <f>+D17-D18</f>
        <v>297.83100000000013</v>
      </c>
      <c r="E19">
        <f>+E17-E18</f>
        <v>161.75100000000009</v>
      </c>
      <c r="F19">
        <f>+F9*0.07</f>
        <v>207.774</v>
      </c>
      <c r="G19">
        <f t="shared" ref="G19:P19" si="2">+G9*0.07</f>
        <v>205.57159560000002</v>
      </c>
      <c r="H19">
        <f t="shared" si="2"/>
        <v>203.39253668664</v>
      </c>
      <c r="I19">
        <f t="shared" si="2"/>
        <v>201.23657579776162</v>
      </c>
      <c r="J19">
        <f t="shared" si="2"/>
        <v>199.10346809430536</v>
      </c>
      <c r="K19">
        <f t="shared" si="2"/>
        <v>196.9929713325057</v>
      </c>
      <c r="L19">
        <f t="shared" si="2"/>
        <v>194.90484583638113</v>
      </c>
      <c r="M19">
        <f t="shared" si="2"/>
        <v>192.83885447051551</v>
      </c>
      <c r="N19">
        <f t="shared" si="2"/>
        <v>190.79476261312803</v>
      </c>
      <c r="O19">
        <f t="shared" si="2"/>
        <v>188.77233812942887</v>
      </c>
      <c r="P19">
        <f t="shared" si="2"/>
        <v>186.7713513452569</v>
      </c>
      <c r="Q19">
        <f>+P19*(1+$K$30)</f>
        <v>188.63906485870947</v>
      </c>
      <c r="R19">
        <f t="shared" ref="R19:BC19" si="3">+Q19*(1+$K$30)</f>
        <v>190.52545550729658</v>
      </c>
      <c r="S19">
        <f t="shared" si="3"/>
        <v>192.43071006236954</v>
      </c>
      <c r="T19">
        <f t="shared" si="3"/>
        <v>194.35501716299325</v>
      </c>
      <c r="U19">
        <f t="shared" si="3"/>
        <v>196.29856733462319</v>
      </c>
      <c r="V19">
        <f t="shared" si="3"/>
        <v>198.26155300796941</v>
      </c>
      <c r="W19">
        <f t="shared" si="3"/>
        <v>200.24416853804911</v>
      </c>
      <c r="X19">
        <f t="shared" si="3"/>
        <v>202.2466102234296</v>
      </c>
      <c r="Y19">
        <f t="shared" si="3"/>
        <v>204.26907632566389</v>
      </c>
      <c r="Z19">
        <f t="shared" si="3"/>
        <v>206.31176708892053</v>
      </c>
      <c r="AA19">
        <f t="shared" si="3"/>
        <v>208.37488475980973</v>
      </c>
      <c r="AB19">
        <f t="shared" si="3"/>
        <v>210.45863360740782</v>
      </c>
      <c r="AC19">
        <f t="shared" si="3"/>
        <v>212.5632199434819</v>
      </c>
      <c r="AD19">
        <f t="shared" si="3"/>
        <v>214.68885214291672</v>
      </c>
      <c r="AE19">
        <f t="shared" si="3"/>
        <v>216.83574066434588</v>
      </c>
      <c r="AF19">
        <f t="shared" si="3"/>
        <v>219.00409807098933</v>
      </c>
      <c r="AG19">
        <f t="shared" si="3"/>
        <v>221.19413905169921</v>
      </c>
      <c r="AH19">
        <f t="shared" si="3"/>
        <v>223.40608044221619</v>
      </c>
      <c r="AI19">
        <f t="shared" si="3"/>
        <v>225.64014124663836</v>
      </c>
      <c r="AJ19">
        <f t="shared" si="3"/>
        <v>227.89654265910474</v>
      </c>
      <c r="AK19">
        <f t="shared" si="3"/>
        <v>230.17550808569578</v>
      </c>
      <c r="AL19">
        <f t="shared" si="3"/>
        <v>232.47726316655275</v>
      </c>
      <c r="AM19">
        <f t="shared" si="3"/>
        <v>234.80203579821827</v>
      </c>
      <c r="AN19">
        <f t="shared" si="3"/>
        <v>237.15005615620046</v>
      </c>
      <c r="AO19">
        <f t="shared" si="3"/>
        <v>239.52155671776248</v>
      </c>
      <c r="AP19">
        <f t="shared" si="3"/>
        <v>241.91677228494009</v>
      </c>
      <c r="AQ19">
        <f t="shared" si="3"/>
        <v>244.3359400077895</v>
      </c>
      <c r="AR19">
        <f t="shared" si="3"/>
        <v>246.7792994078674</v>
      </c>
      <c r="AS19">
        <f t="shared" si="3"/>
        <v>249.24709240194608</v>
      </c>
      <c r="AT19">
        <f t="shared" si="3"/>
        <v>251.73956332596555</v>
      </c>
      <c r="AU19">
        <f t="shared" si="3"/>
        <v>254.25695895922522</v>
      </c>
      <c r="AV19">
        <f t="shared" si="3"/>
        <v>256.79952854881748</v>
      </c>
      <c r="AW19">
        <f t="shared" si="3"/>
        <v>259.36752383430564</v>
      </c>
      <c r="AX19">
        <f t="shared" si="3"/>
        <v>261.9611990726487</v>
      </c>
      <c r="AY19">
        <f t="shared" si="3"/>
        <v>264.58081106337517</v>
      </c>
      <c r="AZ19">
        <f t="shared" si="3"/>
        <v>267.22661917400893</v>
      </c>
      <c r="BA19">
        <f t="shared" si="3"/>
        <v>269.89888536574904</v>
      </c>
      <c r="BB19">
        <f t="shared" si="3"/>
        <v>272.59787421940655</v>
      </c>
      <c r="BC19">
        <f t="shared" si="3"/>
        <v>275.32385296160061</v>
      </c>
    </row>
    <row r="21" spans="2:55" s="11" customFormat="1" x14ac:dyDescent="0.2">
      <c r="B21" s="11" t="s">
        <v>37</v>
      </c>
      <c r="D21" s="11">
        <f>+D9/C9-1</f>
        <v>5.1462874092158328E-2</v>
      </c>
      <c r="E21" s="11">
        <f>+E9/D9-1</f>
        <v>-6.8899219406459711E-3</v>
      </c>
      <c r="F21" s="11">
        <f>+F9/E9-1</f>
        <v>5.7872564882992972E-2</v>
      </c>
      <c r="G21" s="11">
        <f t="shared" ref="G21:P21" si="4">+G9/F9-1</f>
        <v>-1.0599999999999943E-2</v>
      </c>
      <c r="H21" s="11">
        <f t="shared" si="4"/>
        <v>-1.0600000000000054E-2</v>
      </c>
      <c r="I21" s="11">
        <f t="shared" si="4"/>
        <v>-1.0600000000000054E-2</v>
      </c>
      <c r="J21" s="11">
        <f t="shared" si="4"/>
        <v>-1.0599999999999943E-2</v>
      </c>
      <c r="K21" s="11">
        <f t="shared" si="4"/>
        <v>-1.0600000000000054E-2</v>
      </c>
      <c r="L21" s="11">
        <f t="shared" si="4"/>
        <v>-1.0600000000000165E-2</v>
      </c>
      <c r="M21" s="11">
        <f t="shared" si="4"/>
        <v>-1.0599999999999832E-2</v>
      </c>
      <c r="N21" s="11">
        <f t="shared" si="4"/>
        <v>-1.0600000000000165E-2</v>
      </c>
      <c r="O21" s="11">
        <f t="shared" si="4"/>
        <v>-1.0600000000000054E-2</v>
      </c>
      <c r="P21" s="11">
        <f t="shared" si="4"/>
        <v>-1.0600000000000054E-2</v>
      </c>
    </row>
    <row r="22" spans="2:55" s="11" customFormat="1" x14ac:dyDescent="0.2">
      <c r="B22" s="11" t="s">
        <v>38</v>
      </c>
      <c r="C22" s="11">
        <f>+C11/C9</f>
        <v>0.28929198122072725</v>
      </c>
      <c r="D22" s="11">
        <f>+D11/D9</f>
        <v>0.30264936010018106</v>
      </c>
      <c r="E22" s="11">
        <f>+E11/E9</f>
        <v>0.29080553991346558</v>
      </c>
    </row>
    <row r="24" spans="2:55" x14ac:dyDescent="0.2">
      <c r="B24" t="s">
        <v>30</v>
      </c>
      <c r="C24">
        <v>232.84700000000001</v>
      </c>
      <c r="D24">
        <v>256.97699999999998</v>
      </c>
      <c r="E24">
        <v>471.78800000000001</v>
      </c>
    </row>
    <row r="25" spans="2:55" x14ac:dyDescent="0.2">
      <c r="B25" t="s">
        <v>31</v>
      </c>
      <c r="C25">
        <v>-86.132999999999996</v>
      </c>
      <c r="D25">
        <v>-14.746</v>
      </c>
      <c r="E25">
        <v>-73.635999999999996</v>
      </c>
    </row>
    <row r="26" spans="2:55" x14ac:dyDescent="0.2">
      <c r="B26" t="s">
        <v>32</v>
      </c>
      <c r="C26">
        <v>-76.448999999999998</v>
      </c>
      <c r="D26">
        <v>-77.87</v>
      </c>
      <c r="E26">
        <v>-78.905000000000001</v>
      </c>
    </row>
    <row r="27" spans="2:55" s="12" customFormat="1" ht="15.75" x14ac:dyDescent="0.25">
      <c r="B27" s="12" t="s">
        <v>33</v>
      </c>
      <c r="C27" s="12">
        <f>+C24+C26</f>
        <v>156.39800000000002</v>
      </c>
      <c r="D27" s="12">
        <f>+D24+D26</f>
        <v>179.10699999999997</v>
      </c>
      <c r="E27" s="12">
        <f>+E24+E26</f>
        <v>392.88300000000004</v>
      </c>
    </row>
    <row r="28" spans="2:55" x14ac:dyDescent="0.2">
      <c r="B28" t="s">
        <v>34</v>
      </c>
      <c r="C28">
        <v>-162.54300000000001</v>
      </c>
      <c r="D28">
        <v>-230.26900000000001</v>
      </c>
      <c r="E28">
        <v>-402.97500000000002</v>
      </c>
    </row>
    <row r="29" spans="2:55" x14ac:dyDescent="0.2">
      <c r="B29" t="s">
        <v>35</v>
      </c>
      <c r="C29">
        <v>-1.5409999999999999</v>
      </c>
      <c r="D29">
        <v>0.35299999999999998</v>
      </c>
      <c r="E29">
        <v>-0.218</v>
      </c>
    </row>
    <row r="30" spans="2:55" x14ac:dyDescent="0.2">
      <c r="B30" t="s">
        <v>36</v>
      </c>
      <c r="C30">
        <f>+C24+C25+C28+C29</f>
        <v>-17.370000000000008</v>
      </c>
      <c r="D30">
        <f>+D24+D25+D28+D29</f>
        <v>12.31499999999996</v>
      </c>
      <c r="E30">
        <f>+E24+E25+E28+E29</f>
        <v>-5.0409999999999791</v>
      </c>
      <c r="J30" t="s">
        <v>39</v>
      </c>
      <c r="K30" s="11">
        <v>0.01</v>
      </c>
    </row>
    <row r="31" spans="2:55" x14ac:dyDescent="0.2">
      <c r="J31" t="s">
        <v>40</v>
      </c>
      <c r="K31" s="11">
        <v>0.09</v>
      </c>
    </row>
    <row r="32" spans="2:55" x14ac:dyDescent="0.2">
      <c r="J32" t="s">
        <v>41</v>
      </c>
      <c r="K32" s="13">
        <f>+NPV(K31,E19:BC19)</f>
        <v>2185.5901789696554</v>
      </c>
    </row>
  </sheetData>
  <hyperlinks>
    <hyperlink ref="A1" location="main!A1" display="Main" xr:uid="{21F0C243-1917-4B71-8FB9-2F845787FA5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2025-02-04T10:20:54Z</dcterms:created>
  <dcterms:modified xsi:type="dcterms:W3CDTF">2025-02-04T11:24:42Z</dcterms:modified>
</cp:coreProperties>
</file>