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41BAA10B-0E74-4C73-BE7D-F891F8E71446}" xr6:coauthVersionLast="47" xr6:coauthVersionMax="47" xr10:uidLastSave="{00000000-0000-0000-0000-000000000000}"/>
  <bookViews>
    <workbookView xWindow="-120" yWindow="-120" windowWidth="29040" windowHeight="15840" activeTab="1" xr2:uid="{7988AE19-931E-46C1-9F7B-A4A68F0CA9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2" l="1"/>
  <c r="AE27" i="2"/>
  <c r="K6" i="1"/>
  <c r="K5" i="1"/>
  <c r="M46" i="2"/>
  <c r="M65" i="2"/>
  <c r="M63" i="2"/>
  <c r="M57" i="2"/>
  <c r="M55" i="2"/>
  <c r="Q37" i="2"/>
  <c r="N13" i="2"/>
  <c r="M22" i="2"/>
  <c r="M18" i="2"/>
  <c r="U7" i="2"/>
  <c r="C34" i="2"/>
  <c r="D34" i="2"/>
  <c r="E34" i="2"/>
  <c r="F34" i="2"/>
  <c r="G34" i="2"/>
  <c r="H34" i="2"/>
  <c r="I34" i="2"/>
  <c r="J34" i="2"/>
  <c r="K34" i="2"/>
  <c r="L34" i="2"/>
  <c r="N32" i="2"/>
  <c r="U18" i="2"/>
  <c r="U13" i="2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T9" i="2"/>
  <c r="T10" i="2"/>
  <c r="T11" i="2"/>
  <c r="T12" i="2"/>
  <c r="N16" i="2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E29" i="2"/>
  <c r="P11" i="2"/>
  <c r="P10" i="2"/>
  <c r="P9" i="2"/>
  <c r="P18" i="2"/>
  <c r="P16" i="2"/>
  <c r="P15" i="2"/>
  <c r="Q11" i="2"/>
  <c r="Q10" i="2"/>
  <c r="P7" i="2"/>
  <c r="P12" i="2" s="1"/>
  <c r="Q9" i="2"/>
  <c r="R32" i="2"/>
  <c r="Q44" i="2"/>
  <c r="Q41" i="2"/>
  <c r="Q18" i="2"/>
  <c r="Q16" i="2"/>
  <c r="Q15" i="2"/>
  <c r="Q33" i="2" s="1"/>
  <c r="Q57" i="2"/>
  <c r="Q46" i="2" s="1"/>
  <c r="Q54" i="2"/>
  <c r="Q55" i="2" s="1"/>
  <c r="R11" i="2"/>
  <c r="R10" i="2"/>
  <c r="R9" i="2"/>
  <c r="S11" i="2"/>
  <c r="S10" i="2"/>
  <c r="S9" i="2"/>
  <c r="Q7" i="2"/>
  <c r="Q12" i="2" s="1"/>
  <c r="R7" i="2"/>
  <c r="R12" i="2" s="1"/>
  <c r="S7" i="2"/>
  <c r="S12" i="2" s="1"/>
  <c r="T7" i="2"/>
  <c r="R57" i="2"/>
  <c r="R63" i="2" s="1"/>
  <c r="R65" i="2" s="1"/>
  <c r="S57" i="2"/>
  <c r="S46" i="2" s="1"/>
  <c r="S55" i="2"/>
  <c r="T57" i="2"/>
  <c r="T63" i="2" s="1"/>
  <c r="T65" i="2" s="1"/>
  <c r="R44" i="2"/>
  <c r="R41" i="2"/>
  <c r="S44" i="2"/>
  <c r="R47" i="2" s="1"/>
  <c r="S41" i="2"/>
  <c r="T44" i="2"/>
  <c r="T41" i="2"/>
  <c r="R18" i="2"/>
  <c r="S18" i="2"/>
  <c r="T18" i="2"/>
  <c r="L18" i="2"/>
  <c r="L15" i="2"/>
  <c r="L17" i="2" s="1"/>
  <c r="L32" i="2"/>
  <c r="M32" i="2" l="1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U11" i="2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M15" i="2"/>
  <c r="L33" i="2"/>
  <c r="P17" i="2"/>
  <c r="P19" i="2" s="1"/>
  <c r="P21" i="2" s="1"/>
  <c r="Q63" i="2"/>
  <c r="Q65" i="2" s="1"/>
  <c r="Q17" i="2"/>
  <c r="Q19" i="2" s="1"/>
  <c r="Q21" i="2" s="1"/>
  <c r="L19" i="2"/>
  <c r="L21" i="2" s="1"/>
  <c r="R46" i="2"/>
  <c r="R55" i="2"/>
  <c r="S63" i="2"/>
  <c r="S65" i="2" s="1"/>
  <c r="U23" i="2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G32" i="2"/>
  <c r="C18" i="2"/>
  <c r="C15" i="2"/>
  <c r="C33" i="2" s="1"/>
  <c r="F23" i="2"/>
  <c r="F20" i="2"/>
  <c r="F16" i="2"/>
  <c r="F14" i="2"/>
  <c r="F13" i="2"/>
  <c r="J23" i="2"/>
  <c r="J20" i="2"/>
  <c r="J16" i="2"/>
  <c r="J14" i="2"/>
  <c r="D18" i="2"/>
  <c r="H32" i="2"/>
  <c r="D15" i="2"/>
  <c r="D17" i="2" s="1"/>
  <c r="H18" i="2"/>
  <c r="H15" i="2"/>
  <c r="H33" i="2" s="1"/>
  <c r="I32" i="2"/>
  <c r="E18" i="2"/>
  <c r="E15" i="2"/>
  <c r="E17" i="2" s="1"/>
  <c r="I18" i="2"/>
  <c r="I15" i="2"/>
  <c r="I17" i="2" s="1"/>
  <c r="R15" i="2"/>
  <c r="R17" i="2" s="1"/>
  <c r="R19" i="2" s="1"/>
  <c r="S15" i="2"/>
  <c r="S17" i="2" s="1"/>
  <c r="S19" i="2" s="1"/>
  <c r="S32" i="2"/>
  <c r="K32" i="2"/>
  <c r="G18" i="2"/>
  <c r="K18" i="2"/>
  <c r="G15" i="2"/>
  <c r="G17" i="2" s="1"/>
  <c r="K15" i="2"/>
  <c r="K17" i="2" s="1"/>
  <c r="K4" i="1"/>
  <c r="K7" i="1" s="1"/>
  <c r="M17" i="2" l="1"/>
  <c r="M19" i="2" s="1"/>
  <c r="M33" i="2"/>
  <c r="L22" i="2"/>
  <c r="L35" i="2"/>
  <c r="S21" i="2"/>
  <c r="S35" i="2" s="1"/>
  <c r="S34" i="2"/>
  <c r="Q22" i="2"/>
  <c r="Q35" i="2"/>
  <c r="R21" i="2"/>
  <c r="R35" i="2" s="1"/>
  <c r="R34" i="2"/>
  <c r="P22" i="2"/>
  <c r="P35" i="2"/>
  <c r="I33" i="2"/>
  <c r="G19" i="2"/>
  <c r="G21" i="2" s="1"/>
  <c r="H17" i="2"/>
  <c r="H19" i="2" s="1"/>
  <c r="H21" i="2" s="1"/>
  <c r="J18" i="2"/>
  <c r="R33" i="2"/>
  <c r="S33" i="2"/>
  <c r="G33" i="2"/>
  <c r="F18" i="2"/>
  <c r="K33" i="2"/>
  <c r="E33" i="2"/>
  <c r="I19" i="2"/>
  <c r="I21" i="2" s="1"/>
  <c r="F15" i="2"/>
  <c r="F33" i="2" s="1"/>
  <c r="C17" i="2"/>
  <c r="C19" i="2" s="1"/>
  <c r="C21" i="2" s="1"/>
  <c r="D19" i="2"/>
  <c r="D21" i="2" s="1"/>
  <c r="D33" i="2"/>
  <c r="E19" i="2"/>
  <c r="E21" i="2" s="1"/>
  <c r="K19" i="2"/>
  <c r="K21" i="2" s="1"/>
  <c r="M21" i="2" l="1"/>
  <c r="M35" i="2" s="1"/>
  <c r="M34" i="2"/>
  <c r="S37" i="2"/>
  <c r="S22" i="2"/>
  <c r="R22" i="2"/>
  <c r="R37" i="2"/>
  <c r="K22" i="2"/>
  <c r="K35" i="2"/>
  <c r="D22" i="2"/>
  <c r="D35" i="2"/>
  <c r="I22" i="2"/>
  <c r="I35" i="2"/>
  <c r="E22" i="2"/>
  <c r="E35" i="2"/>
  <c r="H22" i="2"/>
  <c r="H35" i="2"/>
  <c r="C22" i="2"/>
  <c r="C35" i="2"/>
  <c r="G22" i="2"/>
  <c r="G35" i="2"/>
  <c r="F17" i="2"/>
  <c r="F19" i="2" s="1"/>
  <c r="F21" i="2" s="1"/>
  <c r="F22" i="2" l="1"/>
  <c r="F35" i="2"/>
  <c r="T47" i="2" l="1"/>
  <c r="T55" i="2" l="1"/>
  <c r="T46" i="2"/>
  <c r="T15" i="2"/>
  <c r="T17" i="2" s="1"/>
  <c r="T19" i="2" s="1"/>
  <c r="T32" i="2"/>
  <c r="J13" i="2"/>
  <c r="J32" i="2" s="1"/>
  <c r="T21" i="2" l="1"/>
  <c r="T34" i="2"/>
  <c r="T33" i="2"/>
  <c r="J15" i="2"/>
  <c r="V13" i="2" l="1"/>
  <c r="T22" i="2"/>
  <c r="T37" i="2"/>
  <c r="T35" i="2"/>
  <c r="U32" i="2"/>
  <c r="W13" i="2"/>
  <c r="J33" i="2"/>
  <c r="J17" i="2"/>
  <c r="J19" i="2" s="1"/>
  <c r="J21" i="2" s="1"/>
  <c r="N14" i="2"/>
  <c r="U14" i="2" s="1"/>
  <c r="U15" i="2" s="1"/>
  <c r="N15" i="2" l="1"/>
  <c r="U33" i="2"/>
  <c r="U17" i="2"/>
  <c r="U19" i="2" s="1"/>
  <c r="X13" i="2"/>
  <c r="X32" i="2" s="1"/>
  <c r="W32" i="2"/>
  <c r="W14" i="2"/>
  <c r="W15" i="2" s="1"/>
  <c r="J35" i="2"/>
  <c r="J22" i="2"/>
  <c r="V32" i="2"/>
  <c r="V14" i="2"/>
  <c r="V15" i="2" s="1"/>
  <c r="N17" i="2" l="1"/>
  <c r="N19" i="2" s="1"/>
  <c r="N20" i="2" s="1"/>
  <c r="N34" i="2" s="1"/>
  <c r="N33" i="2"/>
  <c r="U20" i="2"/>
  <c r="U34" i="2" s="1"/>
  <c r="W17" i="2"/>
  <c r="W19" i="2" s="1"/>
  <c r="W33" i="2"/>
  <c r="Y13" i="2"/>
  <c r="Y32" i="2" s="1"/>
  <c r="X14" i="2"/>
  <c r="X15" i="2" s="1"/>
  <c r="V33" i="2"/>
  <c r="V17" i="2"/>
  <c r="V19" i="2" s="1"/>
  <c r="N21" i="2" l="1"/>
  <c r="N35" i="2" s="1"/>
  <c r="U21" i="2"/>
  <c r="U35" i="2" s="1"/>
  <c r="U22" i="2"/>
  <c r="V20" i="2"/>
  <c r="V34" i="2" s="1"/>
  <c r="X17" i="2"/>
  <c r="X19" i="2" s="1"/>
  <c r="X33" i="2"/>
  <c r="Y14" i="2"/>
  <c r="Y15" i="2" s="1"/>
  <c r="Z13" i="2"/>
  <c r="Z32" i="2" s="1"/>
  <c r="W20" i="2"/>
  <c r="W34" i="2" s="1"/>
  <c r="Y33" i="2" l="1"/>
  <c r="Y17" i="2"/>
  <c r="Y19" i="2" s="1"/>
  <c r="AA13" i="2"/>
  <c r="AA32" i="2" s="1"/>
  <c r="Z14" i="2"/>
  <c r="Z15" i="2" s="1"/>
  <c r="X20" i="2"/>
  <c r="X34" i="2" s="1"/>
  <c r="V21" i="2"/>
  <c r="W21" i="2"/>
  <c r="V35" i="2" l="1"/>
  <c r="V22" i="2"/>
  <c r="Z17" i="2"/>
  <c r="Z19" i="2" s="1"/>
  <c r="Z33" i="2"/>
  <c r="Y20" i="2"/>
  <c r="Y34" i="2" s="1"/>
  <c r="W22" i="2"/>
  <c r="W35" i="2"/>
  <c r="X21" i="2"/>
  <c r="AA14" i="2"/>
  <c r="AA15" i="2" s="1"/>
  <c r="AB13" i="2"/>
  <c r="AB32" i="2" s="1"/>
  <c r="AA17" i="2" l="1"/>
  <c r="AA19" i="2" s="1"/>
  <c r="AA33" i="2"/>
  <c r="X22" i="2"/>
  <c r="X35" i="2"/>
  <c r="Y21" i="2"/>
  <c r="Z20" i="2"/>
  <c r="Z34" i="2" s="1"/>
  <c r="AB14" i="2"/>
  <c r="AB15" i="2" s="1"/>
  <c r="AC13" i="2"/>
  <c r="AC32" i="2" s="1"/>
  <c r="Z21" i="2" l="1"/>
  <c r="AB17" i="2"/>
  <c r="AB19" i="2" s="1"/>
  <c r="AB33" i="2"/>
  <c r="AE13" i="2"/>
  <c r="AD13" i="2"/>
  <c r="AD32" i="2" s="1"/>
  <c r="AC14" i="2"/>
  <c r="AC15" i="2" s="1"/>
  <c r="Z22" i="2"/>
  <c r="Z35" i="2"/>
  <c r="Y35" i="2"/>
  <c r="Y22" i="2"/>
  <c r="AA20" i="2"/>
  <c r="AA34" i="2" s="1"/>
  <c r="AE32" i="2" l="1"/>
  <c r="AC17" i="2"/>
  <c r="AC19" i="2" s="1"/>
  <c r="AC33" i="2"/>
  <c r="AD14" i="2"/>
  <c r="AD15" i="2" s="1"/>
  <c r="AA21" i="2"/>
  <c r="AE14" i="2"/>
  <c r="AE15" i="2" s="1"/>
  <c r="AB20" i="2"/>
  <c r="AB34" i="2" s="1"/>
  <c r="AB21" i="2" l="1"/>
  <c r="AE17" i="2"/>
  <c r="AE19" i="2" s="1"/>
  <c r="AE33" i="2"/>
  <c r="AB22" i="2"/>
  <c r="AB35" i="2"/>
  <c r="AA35" i="2"/>
  <c r="AA22" i="2"/>
  <c r="AD17" i="2"/>
  <c r="AD19" i="2" s="1"/>
  <c r="AD33" i="2"/>
  <c r="AC20" i="2"/>
  <c r="AC34" i="2" s="1"/>
  <c r="AD20" i="2" l="1"/>
  <c r="AD34" i="2" s="1"/>
  <c r="AC21" i="2"/>
  <c r="AE20" i="2"/>
  <c r="AE34" i="2" s="1"/>
  <c r="AE21" i="2" l="1"/>
  <c r="AC22" i="2"/>
  <c r="AC35" i="2"/>
  <c r="AD21" i="2"/>
  <c r="AD35" i="2" l="1"/>
  <c r="AD22" i="2"/>
  <c r="AE35" i="2"/>
  <c r="AE22" i="2"/>
  <c r="AF21" i="2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AE30" i="2" s="1"/>
</calcChain>
</file>

<file path=xl/sharedStrings.xml><?xml version="1.0" encoding="utf-8"?>
<sst xmlns="http://schemas.openxmlformats.org/spreadsheetml/2006/main" count="79" uniqueCount="75">
  <si>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</si>
  <si>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</si>
  <si>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</si>
  <si>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</si>
  <si>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</si>
  <si>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</si>
  <si>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</si>
  <si>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</si>
  <si>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</si>
  <si>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EPS</t>
  </si>
  <si>
    <t>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</si>
  <si>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</si>
  <si>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</si>
  <si>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</si>
  <si>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</si>
  <si>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</si>
  <si>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</si>
  <si>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</si>
  <si>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Revenue y/y</t>
  </si>
  <si>
    <t>Gross Margin</t>
  </si>
  <si>
    <t>Q324</t>
  </si>
  <si>
    <t>Q124</t>
  </si>
  <si>
    <t>Q423</t>
  </si>
  <si>
    <t>Q323</t>
  </si>
  <si>
    <t>Q223</t>
  </si>
  <si>
    <t>Q122</t>
  </si>
  <si>
    <t xml:space="preserve">CFFF </t>
  </si>
  <si>
    <t xml:space="preserve">CFFI </t>
  </si>
  <si>
    <t xml:space="preserve">Capex </t>
  </si>
  <si>
    <t xml:space="preserve">FCF </t>
  </si>
  <si>
    <t xml:space="preserve">CFFO </t>
  </si>
  <si>
    <t xml:space="preserve">Net income </t>
  </si>
  <si>
    <t xml:space="preserve">FX </t>
  </si>
  <si>
    <t xml:space="preserve">Net change </t>
  </si>
  <si>
    <t xml:space="preserve">Cash </t>
  </si>
  <si>
    <t xml:space="preserve">AR </t>
  </si>
  <si>
    <t xml:space="preserve">Inventory </t>
  </si>
  <si>
    <t xml:space="preserve">Prepaids </t>
  </si>
  <si>
    <t xml:space="preserve">PPE </t>
  </si>
  <si>
    <t xml:space="preserve">Intangible </t>
  </si>
  <si>
    <t xml:space="preserve">Goodwill </t>
  </si>
  <si>
    <t xml:space="preserve">Other </t>
  </si>
  <si>
    <t xml:space="preserve">ASSETS </t>
  </si>
  <si>
    <t xml:space="preserve">Debt </t>
  </si>
  <si>
    <t xml:space="preserve">AP </t>
  </si>
  <si>
    <t xml:space="preserve">Accrued </t>
  </si>
  <si>
    <t xml:space="preserve">Tax </t>
  </si>
  <si>
    <t xml:space="preserve">Lease </t>
  </si>
  <si>
    <t xml:space="preserve">OLTL </t>
  </si>
  <si>
    <t xml:space="preserve">Liabilities </t>
  </si>
  <si>
    <t xml:space="preserve">SE </t>
  </si>
  <si>
    <t xml:space="preserve">L + SE </t>
  </si>
  <si>
    <t xml:space="preserve">Net cash </t>
  </si>
  <si>
    <t xml:space="preserve">Liquidation value </t>
  </si>
  <si>
    <t xml:space="preserve">Target </t>
  </si>
  <si>
    <t xml:space="preserve">Walmart </t>
  </si>
  <si>
    <t xml:space="preserve">Ulta Beauty </t>
  </si>
  <si>
    <t xml:space="preserve">Target rev </t>
  </si>
  <si>
    <t xml:space="preserve">Walmart rev </t>
  </si>
  <si>
    <t xml:space="preserve">Ulta rev </t>
  </si>
  <si>
    <t xml:space="preserve">Other rev </t>
  </si>
  <si>
    <t xml:space="preserve">Others </t>
  </si>
  <si>
    <t>terminal</t>
  </si>
  <si>
    <t xml:space="preserve">discount </t>
  </si>
  <si>
    <t xml:space="preserve">npv </t>
  </si>
  <si>
    <t>share</t>
  </si>
  <si>
    <t>current</t>
  </si>
  <si>
    <t>change</t>
  </si>
  <si>
    <t xml:space="preserve">Tax rate </t>
  </si>
  <si>
    <t xml:space="preserve">NI Rate </t>
  </si>
  <si>
    <t>Q325</t>
  </si>
  <si>
    <t>Q225</t>
  </si>
  <si>
    <t>Q424</t>
  </si>
  <si>
    <t>Q425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</si>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</sst>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/>
    <xf numFmtId="9" fontId="0" fillId="0" borderId="0" xfId="2" applyFont="1"/>
    <xf numFmtId="9" fontId="0" fillId="0" borderId="0" xfId="2" applyFont="1" applyAlignment="1">
      <alignment horizontal="right"/>
    </xf>
    <xf numFmtId="3" fontId="0" fillId="0" borderId="0" xfId="2" applyNumberFormat="1" applyFont="1"/>
    <xf numFmtId="3" fontId="0" fillId="0" borderId="0" xfId="2" applyNumberFormat="1" applyFont="1" applyAlignment="1">
      <alignment horizontal="right"/>
    </xf>
    <xf numFmtId="4" fontId="0" fillId="0" borderId="0" xfId="2" applyNumberFormat="1" applyFont="1"/>
    <xf numFmtId="4" fontId="0" fillId="0" borderId="0" xfId="2" applyNumberFormat="1" applyFont="1" applyAlignment="1">
      <alignment horizontal="right"/>
    </xf>
    <xf numFmtId="8" fontId="0" fillId="0" borderId="0" xfId="0" applyNumberFormat="1"/>
    <xf numFmtId="10" fontId="0" fillId="0" borderId="0" xfId="2" applyNumberFormat="1" applyFont="1"/>
    <xf numFmtId="3" fontId="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DC00CF7-0AF4-4D10-AA3E-2525D7B9D0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10886</xdr:colOff>
      <xdr:row>0</xdr:row>
      <xdr:rowOff>65314</xdr:rowOff>
    </xdr:from>
    <xdr:to>
      <xdr:col>20</xdr:col>
      <xdr:colOff>21981</xdr:colOff>
      <xdr:row>75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8CADEA-13EB-9DE8-D640-EF9E04EA6F3F}"/>
            </a:ext>
          </a:extLst>
        </xdr:cNvPr>
        <xdr:cNvCxnSpPr/>
      </xdr:nvCxnSpPr>
      <xdr:spPr>
        <a:xfrm>
          <a:off x="12371405" y="65314"/>
          <a:ext cx="11095" cy="120753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0</xdr:row>
      <xdr:rowOff>0</xdr:rowOff>
    </xdr:from>
    <xdr:to>
      <xdr:col>13</xdr:col>
      <xdr:colOff>16119</xdr:colOff>
      <xdr:row>74</xdr:row>
      <xdr:rowOff>139211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C1326E7-EA22-4B51-BAC6-83EA0E721EAA}"/>
            </a:ext>
          </a:extLst>
        </xdr:cNvPr>
        <xdr:cNvCxnSpPr/>
      </xdr:nvCxnSpPr>
      <xdr:spPr>
        <a:xfrm flipH="1">
          <a:off x="8513566" y="0"/>
          <a:ext cx="8792" cy="123974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0C23-8A45-4AD5-84F8-B9FD268666C7}">
  <dimension ref="J2:L7"/>
  <sheetViews>
    <sheetView zoomScale="190" zoomScaleNormal="190" workbookViewId="0">
      <selection activeCell="F12" sqref="F12"/>
    </sheetView>
  </sheetViews>
  <sheetFormatPr defaultRowHeight="12.75" x14ac:dyDescent="0.2"/>
  <sheetData>
    <row r="2" spans="10:12" x14ac:dyDescent="0.2">
      <c r="J2" t="s">
        <v>0</v>
      </c>
      <c r="K2" s="2">
        <v>71</v>
      </c>
    </row>
    <row r="3" spans="10:12" x14ac:dyDescent="0.2">
      <c r="J3" t="s">
        <v>1</v>
      </c>
      <c r="K3" s="1">
        <v>58.353219000000003</v>
      </c>
      <c r="L3" s="3" t="s">
        <v>70</v>
      </c>
    </row>
    <row r="4" spans="10:12" x14ac:dyDescent="0.2">
      <c r="J4" t="s">
        <v>2</v>
      </c>
      <c r="K4" s="1">
        <f>+K2*K3</f>
        <v>4143.0785489999998</v>
      </c>
    </row>
    <row r="5" spans="10:12" x14ac:dyDescent="0.2">
      <c r="J5" t="s">
        <v>3</v>
      </c>
      <c r="K5" s="1">
        <f>+Model!M47</f>
        <v>73.844999999999999</v>
      </c>
      <c r="L5" s="3" t="s">
        <v>70</v>
      </c>
    </row>
    <row r="6" spans="10:12" x14ac:dyDescent="0.2">
      <c r="J6" t="s">
        <v>4</v>
      </c>
      <c r="K6" s="1">
        <f>+Model!M57</f>
        <v>254.31100000000001</v>
      </c>
      <c r="L6" s="3" t="s">
        <v>70</v>
      </c>
    </row>
    <row r="7" spans="10:12" x14ac:dyDescent="0.2">
      <c r="J7" t="s">
        <v>5</v>
      </c>
      <c r="K7" s="1">
        <f>+K4-K5+K6</f>
        <v>4323.5445490000002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304-5E2A-4FC8-B00C-C183E2A51B89}">
  <dimension ref="A1:BR68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31" sqref="K31"/>
    </sheetView>
  </sheetViews>
  <sheetFormatPr defaultRowHeight="12.75" x14ac:dyDescent="0.2"/>
  <cols>
    <col min="1" max="1" width="5" bestFit="1" customWidth="1"/>
    <col min="2" max="2" width="17.7109375" customWidth="1"/>
    <col min="3" max="4" width="9.140625" style="3"/>
    <col min="5" max="5" width="10.42578125" style="3" bestFit="1" customWidth="1"/>
    <col min="6" max="8" width="9.140625" style="3"/>
    <col min="9" max="9" width="10.42578125" style="3" bestFit="1" customWidth="1"/>
    <col min="10" max="12" width="9.140625" style="3"/>
    <col min="13" max="13" width="10.42578125" style="3" bestFit="1" customWidth="1"/>
    <col min="14" max="16" width="10.42578125" style="3" customWidth="1"/>
    <col min="18" max="20" width="9.42578125" bestFit="1" customWidth="1"/>
    <col min="31" max="31" width="12" bestFit="1" customWidth="1"/>
    <col min="34" max="34" width="10" bestFit="1" customWidth="1"/>
  </cols>
  <sheetData>
    <row r="1" spans="1:33" x14ac:dyDescent="0.2">
      <c r="A1" s="6" t="s">
        <v>7</v>
      </c>
    </row>
    <row r="2" spans="1:33" x14ac:dyDescent="0.2">
      <c r="A2" s="6"/>
      <c r="C2" s="12">
        <v>44742</v>
      </c>
      <c r="D2" s="12">
        <v>44834</v>
      </c>
      <c r="E2" s="12">
        <v>44926</v>
      </c>
      <c r="F2" s="12">
        <v>45016</v>
      </c>
      <c r="G2" s="12">
        <v>45107</v>
      </c>
      <c r="H2" s="12">
        <v>45199</v>
      </c>
      <c r="I2" s="12">
        <v>45291</v>
      </c>
      <c r="J2" s="12">
        <v>45382</v>
      </c>
      <c r="K2" s="12">
        <v>45473</v>
      </c>
      <c r="L2" s="12">
        <v>45565</v>
      </c>
      <c r="M2" s="12">
        <v>45656</v>
      </c>
      <c r="N2" s="12">
        <v>45747</v>
      </c>
      <c r="O2" s="12"/>
      <c r="P2" s="12"/>
      <c r="Q2" s="10">
        <v>44286</v>
      </c>
      <c r="R2" s="10">
        <v>44651</v>
      </c>
      <c r="S2" s="10">
        <v>45016</v>
      </c>
      <c r="T2" s="10">
        <v>45382</v>
      </c>
      <c r="U2" s="10">
        <f>+T2+365</f>
        <v>45747</v>
      </c>
      <c r="V2" s="10">
        <f>+U2+365</f>
        <v>46112</v>
      </c>
      <c r="W2" s="10">
        <f>+V2+365</f>
        <v>46477</v>
      </c>
      <c r="X2" s="10">
        <f>+W2+365</f>
        <v>46842</v>
      </c>
      <c r="Y2" s="10">
        <f t="shared" ref="Y2:AE2" si="0">+X2+365</f>
        <v>47207</v>
      </c>
      <c r="Z2" s="10">
        <f t="shared" si="0"/>
        <v>47572</v>
      </c>
      <c r="AA2" s="10">
        <f t="shared" si="0"/>
        <v>47937</v>
      </c>
      <c r="AB2" s="10">
        <f t="shared" si="0"/>
        <v>48302</v>
      </c>
      <c r="AC2" s="10">
        <f t="shared" si="0"/>
        <v>48667</v>
      </c>
      <c r="AD2" s="10">
        <f t="shared" si="0"/>
        <v>49032</v>
      </c>
      <c r="AE2" s="10">
        <f t="shared" si="0"/>
        <v>49397</v>
      </c>
      <c r="AF2" s="10"/>
      <c r="AG2" s="10"/>
    </row>
    <row r="3" spans="1:33" x14ac:dyDescent="0.2">
      <c r="C3" s="3" t="s">
        <v>25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6</v>
      </c>
      <c r="I3" s="3" t="s">
        <v>20</v>
      </c>
      <c r="J3" s="3" t="s">
        <v>72</v>
      </c>
      <c r="K3" s="3" t="s">
        <v>74</v>
      </c>
      <c r="L3" s="3" t="s">
        <v>71</v>
      </c>
      <c r="M3" s="3" t="s">
        <v>70</v>
      </c>
      <c r="N3" s="3" t="s">
        <v>73</v>
      </c>
      <c r="P3" s="3">
        <v>2019</v>
      </c>
      <c r="Q3">
        <v>2020</v>
      </c>
      <c r="R3">
        <v>2021</v>
      </c>
      <c r="S3">
        <v>2022</v>
      </c>
      <c r="T3">
        <v>2023</v>
      </c>
    </row>
    <row r="4" spans="1:33" s="22" customFormat="1" x14ac:dyDescent="0.2">
      <c r="B4" s="22" t="s">
        <v>54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19">
        <v>0.31</v>
      </c>
      <c r="Q4" s="18">
        <v>0.22</v>
      </c>
      <c r="R4" s="18">
        <v>0.23</v>
      </c>
      <c r="S4" s="18">
        <v>0.25</v>
      </c>
      <c r="T4" s="18">
        <v>0.25</v>
      </c>
      <c r="U4" s="18">
        <v>0.25</v>
      </c>
    </row>
    <row r="5" spans="1:33" s="22" customFormat="1" x14ac:dyDescent="0.2">
      <c r="B5" s="22" t="s">
        <v>55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19">
        <v>0.22</v>
      </c>
      <c r="Q5" s="18">
        <v>0.26</v>
      </c>
      <c r="R5" s="18">
        <v>0.26</v>
      </c>
      <c r="S5" s="18">
        <v>0.2</v>
      </c>
      <c r="T5" s="18">
        <v>0.17</v>
      </c>
      <c r="U5" s="18">
        <v>0.17</v>
      </c>
    </row>
    <row r="6" spans="1:33" s="22" customFormat="1" x14ac:dyDescent="0.2">
      <c r="B6" s="22" t="s">
        <v>56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9">
        <v>0</v>
      </c>
      <c r="Q6" s="18">
        <v>0</v>
      </c>
      <c r="R6" s="18">
        <v>0.12</v>
      </c>
      <c r="S6" s="18">
        <v>0.15</v>
      </c>
      <c r="T6" s="18">
        <v>0.16</v>
      </c>
      <c r="U6" s="18">
        <v>0.16</v>
      </c>
    </row>
    <row r="7" spans="1:33" s="22" customFormat="1" x14ac:dyDescent="0.2">
      <c r="B7" s="22" t="s">
        <v>61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18">
        <f t="shared" ref="P7:U7" si="1">1-P6-P5-P4</f>
        <v>0.47000000000000003</v>
      </c>
      <c r="Q7" s="18">
        <f t="shared" si="1"/>
        <v>0.52</v>
      </c>
      <c r="R7" s="18">
        <f t="shared" si="1"/>
        <v>0.39</v>
      </c>
      <c r="S7" s="18">
        <f t="shared" si="1"/>
        <v>0.39999999999999991</v>
      </c>
      <c r="T7" s="18">
        <f t="shared" si="1"/>
        <v>0.41999999999999993</v>
      </c>
      <c r="U7" s="18">
        <f t="shared" si="1"/>
        <v>0.41999999999999993</v>
      </c>
    </row>
    <row r="8" spans="1:33" s="22" customFormat="1" x14ac:dyDescent="0.2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33" s="20" customFormat="1" x14ac:dyDescent="0.2">
      <c r="B9" s="20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0">
        <f>+P4*$P$13</f>
        <v>87.683809999999994</v>
      </c>
      <c r="Q9" s="20">
        <f>+Q4*$Q$13</f>
        <v>69.984200000000001</v>
      </c>
      <c r="R9" s="20">
        <f>+R4*$R$13</f>
        <v>90.195650000000001</v>
      </c>
      <c r="S9" s="20">
        <f>+S4*$S$13</f>
        <v>144.71100000000001</v>
      </c>
      <c r="T9" s="20">
        <f>+T4*$T$13</f>
        <v>255.983</v>
      </c>
      <c r="U9" s="20">
        <f>+U4*$U$13</f>
        <v>347.18090249999995</v>
      </c>
      <c r="V9" s="22">
        <f>+U9*1.1</f>
        <v>381.89899274999999</v>
      </c>
      <c r="W9" s="22">
        <f t="shared" ref="W9:AE9" si="2">+V9*1.07</f>
        <v>408.63192224250002</v>
      </c>
      <c r="X9" s="22">
        <f t="shared" si="2"/>
        <v>437.23615679947505</v>
      </c>
      <c r="Y9" s="22">
        <f t="shared" si="2"/>
        <v>467.84268777543832</v>
      </c>
      <c r="Z9" s="22">
        <f t="shared" si="2"/>
        <v>500.59167591971902</v>
      </c>
      <c r="AA9" s="22">
        <f t="shared" si="2"/>
        <v>535.63309323409942</v>
      </c>
      <c r="AB9" s="22">
        <f t="shared" si="2"/>
        <v>573.12740976048644</v>
      </c>
      <c r="AC9" s="22">
        <f t="shared" si="2"/>
        <v>613.24632844372059</v>
      </c>
      <c r="AD9" s="22">
        <f t="shared" si="2"/>
        <v>656.17357143478102</v>
      </c>
      <c r="AE9" s="22">
        <f t="shared" si="2"/>
        <v>702.10572143521574</v>
      </c>
    </row>
    <row r="10" spans="1:33" s="20" customFormat="1" x14ac:dyDescent="0.2">
      <c r="B10" s="20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0">
        <f>+P5*$P$13</f>
        <v>62.227220000000003</v>
      </c>
      <c r="Q10" s="20">
        <f>+Q5*$Q$13</f>
        <v>82.708600000000004</v>
      </c>
      <c r="R10" s="20">
        <f>+R5*$R$13</f>
        <v>101.96029999999999</v>
      </c>
      <c r="S10" s="20">
        <f>+S5*$S$13</f>
        <v>115.76880000000001</v>
      </c>
      <c r="T10" s="20">
        <f>+T5*$T$13</f>
        <v>174.06844000000001</v>
      </c>
      <c r="U10" s="20">
        <f>+U5*$U$13</f>
        <v>236.08301369999998</v>
      </c>
      <c r="V10" s="22">
        <f>+U10*1.1</f>
        <v>259.69131506999997</v>
      </c>
      <c r="W10" s="22">
        <f t="shared" ref="W10:AE10" si="3">+V10*1.07</f>
        <v>277.8697071249</v>
      </c>
      <c r="X10" s="22">
        <f t="shared" si="3"/>
        <v>297.32058662364301</v>
      </c>
      <c r="Y10" s="22">
        <f t="shared" si="3"/>
        <v>318.13302768729801</v>
      </c>
      <c r="Z10" s="22">
        <f t="shared" si="3"/>
        <v>340.4023396254089</v>
      </c>
      <c r="AA10" s="22">
        <f t="shared" si="3"/>
        <v>364.23050339918757</v>
      </c>
      <c r="AB10" s="22">
        <f t="shared" si="3"/>
        <v>389.72663863713075</v>
      </c>
      <c r="AC10" s="22">
        <f t="shared" si="3"/>
        <v>417.00750334172994</v>
      </c>
      <c r="AD10" s="22">
        <f t="shared" si="3"/>
        <v>446.19802857565105</v>
      </c>
      <c r="AE10" s="22">
        <f t="shared" si="3"/>
        <v>477.43189057594662</v>
      </c>
    </row>
    <row r="11" spans="1:33" s="20" customFormat="1" x14ac:dyDescent="0.2">
      <c r="B11" s="20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0">
        <f>+P6*$P$13</f>
        <v>0</v>
      </c>
      <c r="Q11" s="20">
        <f>+Q6*$Q$13</f>
        <v>0</v>
      </c>
      <c r="R11" s="20">
        <f>+R6*$R$13</f>
        <v>47.058599999999998</v>
      </c>
      <c r="S11" s="20">
        <f>+S6*$S$13</f>
        <v>86.826599999999999</v>
      </c>
      <c r="T11" s="20">
        <f>+T6*$T$13</f>
        <v>163.82912000000002</v>
      </c>
      <c r="U11" s="20">
        <f>+U6*$U$13</f>
        <v>222.19577759999996</v>
      </c>
      <c r="V11" s="22">
        <f>+U11*1.1</f>
        <v>244.41535535999998</v>
      </c>
      <c r="W11" s="22">
        <f t="shared" ref="W11:AE11" si="4">+V11*1.07</f>
        <v>261.52443023519999</v>
      </c>
      <c r="X11" s="22">
        <f t="shared" si="4"/>
        <v>279.83114035166398</v>
      </c>
      <c r="Y11" s="22">
        <f t="shared" si="4"/>
        <v>299.41932017628045</v>
      </c>
      <c r="Z11" s="22">
        <f t="shared" si="4"/>
        <v>320.37867258862008</v>
      </c>
      <c r="AA11" s="22">
        <f t="shared" si="4"/>
        <v>342.80517966982353</v>
      </c>
      <c r="AB11" s="22">
        <f t="shared" si="4"/>
        <v>366.80154224671122</v>
      </c>
      <c r="AC11" s="22">
        <f t="shared" si="4"/>
        <v>392.47765020398106</v>
      </c>
      <c r="AD11" s="22">
        <f t="shared" si="4"/>
        <v>419.95108571825978</v>
      </c>
      <c r="AE11" s="22">
        <f t="shared" si="4"/>
        <v>449.34766171853801</v>
      </c>
    </row>
    <row r="12" spans="1:33" s="1" customFormat="1" x14ac:dyDescent="0.2">
      <c r="B12" s="20" t="s">
        <v>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0">
        <f>+P7*$P$13</f>
        <v>132.93997000000002</v>
      </c>
      <c r="Q12" s="20">
        <f>+Q7*$Q$13</f>
        <v>165.41720000000001</v>
      </c>
      <c r="R12" s="20">
        <f>+R7*$R$13</f>
        <v>152.94045</v>
      </c>
      <c r="S12" s="20">
        <f>+S7*$S$13</f>
        <v>231.53759999999997</v>
      </c>
      <c r="T12" s="20">
        <f>+T7*$T$13</f>
        <v>430.05143999999996</v>
      </c>
      <c r="U12" s="20">
        <f>+U7*$U$13</f>
        <v>583.26391619999981</v>
      </c>
      <c r="V12" s="22">
        <f>+U12*1.07</f>
        <v>624.09239033399979</v>
      </c>
      <c r="W12" s="22">
        <f t="shared" ref="W12:AE12" si="5">+V12*1.07</f>
        <v>667.77885765737983</v>
      </c>
      <c r="X12" s="22">
        <f t="shared" si="5"/>
        <v>714.52337769339647</v>
      </c>
      <c r="Y12" s="22">
        <f t="shared" si="5"/>
        <v>764.5400141319343</v>
      </c>
      <c r="Z12" s="22">
        <f t="shared" si="5"/>
        <v>818.05781512116971</v>
      </c>
      <c r="AA12" s="22">
        <f t="shared" si="5"/>
        <v>875.32186217965159</v>
      </c>
      <c r="AB12" s="22">
        <f t="shared" si="5"/>
        <v>936.59439253222729</v>
      </c>
      <c r="AC12" s="22">
        <f t="shared" si="5"/>
        <v>1002.1560000094833</v>
      </c>
      <c r="AD12" s="22">
        <f t="shared" si="5"/>
        <v>1072.3069200101472</v>
      </c>
      <c r="AE12" s="22">
        <f t="shared" si="5"/>
        <v>1147.3684044108577</v>
      </c>
    </row>
    <row r="13" spans="1:33" s="8" customFormat="1" x14ac:dyDescent="0.2">
      <c r="B13" s="8" t="s">
        <v>8</v>
      </c>
      <c r="C13" s="9">
        <v>122.601</v>
      </c>
      <c r="D13" s="9">
        <v>122.349</v>
      </c>
      <c r="E13" s="9">
        <v>146.53700000000001</v>
      </c>
      <c r="F13" s="9">
        <f>+S13-E13-D13-C13</f>
        <v>187.35700000000003</v>
      </c>
      <c r="G13" s="9">
        <v>216.339</v>
      </c>
      <c r="H13" s="9">
        <v>215.50700000000001</v>
      </c>
      <c r="I13" s="9">
        <v>270.94299999999998</v>
      </c>
      <c r="J13" s="9">
        <f>+T13-I13-H13-G13</f>
        <v>321.14299999999997</v>
      </c>
      <c r="K13" s="9">
        <v>324.47699999999998</v>
      </c>
      <c r="L13" s="9">
        <v>301.07499999999999</v>
      </c>
      <c r="M13" s="9">
        <v>355.32</v>
      </c>
      <c r="N13" s="9">
        <f>+J13*1.27</f>
        <v>407.85160999999999</v>
      </c>
      <c r="O13" s="9"/>
      <c r="P13" s="9">
        <v>282.851</v>
      </c>
      <c r="Q13" s="8">
        <v>318.11</v>
      </c>
      <c r="R13" s="8">
        <v>392.15499999999997</v>
      </c>
      <c r="S13" s="8">
        <v>578.84400000000005</v>
      </c>
      <c r="T13" s="8">
        <v>1023.932</v>
      </c>
      <c r="U13" s="8">
        <f>+SUM(K13:N13)</f>
        <v>1388.7236099999998</v>
      </c>
      <c r="V13" s="8">
        <f>+V9+V10+V11+V12</f>
        <v>1510.0980535139997</v>
      </c>
      <c r="W13" s="8">
        <f>+W9+W10+W11+W12</f>
        <v>1615.8049172599799</v>
      </c>
      <c r="X13" s="8">
        <f t="shared" ref="X13:AE13" si="6">+X9+X10+X11+X12</f>
        <v>1728.9112614681785</v>
      </c>
      <c r="Y13" s="8">
        <f t="shared" si="6"/>
        <v>1849.9350497709511</v>
      </c>
      <c r="Z13" s="8">
        <f t="shared" si="6"/>
        <v>1979.4305032549178</v>
      </c>
      <c r="AA13" s="8">
        <f t="shared" si="6"/>
        <v>2117.9906384827618</v>
      </c>
      <c r="AB13" s="8">
        <f t="shared" si="6"/>
        <v>2266.2499831765558</v>
      </c>
      <c r="AC13" s="8">
        <f t="shared" si="6"/>
        <v>2424.8874819989151</v>
      </c>
      <c r="AD13" s="8">
        <f t="shared" si="6"/>
        <v>2594.629605738839</v>
      </c>
      <c r="AE13" s="8">
        <f t="shared" si="6"/>
        <v>2776.2536781405579</v>
      </c>
    </row>
    <row r="14" spans="1:33" s="1" customFormat="1" x14ac:dyDescent="0.2">
      <c r="B14" s="1" t="s">
        <v>10</v>
      </c>
      <c r="C14" s="5">
        <v>39.616</v>
      </c>
      <c r="D14" s="5">
        <v>42.789000000000001</v>
      </c>
      <c r="E14" s="5">
        <v>47.811999999999998</v>
      </c>
      <c r="F14" s="5">
        <f>+S14-E14-D14-C14</f>
        <v>58.231000000000023</v>
      </c>
      <c r="G14" s="5">
        <v>63.767000000000003</v>
      </c>
      <c r="H14" s="5">
        <v>63.142000000000003</v>
      </c>
      <c r="I14" s="5">
        <v>78.986000000000004</v>
      </c>
      <c r="J14" s="5">
        <f>+T14-I14-H14-G14</f>
        <v>93.941000000000031</v>
      </c>
      <c r="K14" s="5">
        <v>93.194000000000003</v>
      </c>
      <c r="L14" s="5">
        <v>87.016000000000005</v>
      </c>
      <c r="M14" s="5">
        <v>102.015</v>
      </c>
      <c r="N14" s="5">
        <f>+N13*0.3</f>
        <v>122.35548299999999</v>
      </c>
      <c r="O14" s="5"/>
      <c r="P14" s="5">
        <v>101.72799999999999</v>
      </c>
      <c r="Q14" s="1">
        <v>111.91200000000001</v>
      </c>
      <c r="R14" s="1">
        <v>140.423</v>
      </c>
      <c r="S14" s="1">
        <v>188.44800000000001</v>
      </c>
      <c r="T14" s="1">
        <v>299.83600000000001</v>
      </c>
      <c r="U14" s="1">
        <f>+SUM(K14:N14)</f>
        <v>404.58048300000002</v>
      </c>
      <c r="V14" s="1">
        <f t="shared" ref="V14:AE14" si="7">+V13*0.35</f>
        <v>528.53431872989984</v>
      </c>
      <c r="W14" s="1">
        <f t="shared" si="7"/>
        <v>565.53172104099292</v>
      </c>
      <c r="X14" s="1">
        <f t="shared" si="7"/>
        <v>605.11894151386241</v>
      </c>
      <c r="Y14" s="1">
        <f t="shared" si="7"/>
        <v>647.47726741983286</v>
      </c>
      <c r="Z14" s="1">
        <f t="shared" si="7"/>
        <v>692.8006761392212</v>
      </c>
      <c r="AA14" s="1">
        <f t="shared" si="7"/>
        <v>741.29672346896655</v>
      </c>
      <c r="AB14" s="1">
        <f t="shared" si="7"/>
        <v>793.18749411179454</v>
      </c>
      <c r="AC14" s="1">
        <f t="shared" si="7"/>
        <v>848.71061869962023</v>
      </c>
      <c r="AD14" s="1">
        <f t="shared" si="7"/>
        <v>908.12036200859359</v>
      </c>
      <c r="AE14" s="1">
        <f t="shared" si="7"/>
        <v>971.6887873491952</v>
      </c>
    </row>
    <row r="15" spans="1:33" s="1" customFormat="1" x14ac:dyDescent="0.2">
      <c r="B15" s="1" t="s">
        <v>11</v>
      </c>
      <c r="C15" s="5">
        <f t="shared" ref="C15:N15" si="8">+C13-C14</f>
        <v>82.984999999999999</v>
      </c>
      <c r="D15" s="5">
        <f t="shared" si="8"/>
        <v>79.56</v>
      </c>
      <c r="E15" s="5">
        <f t="shared" si="8"/>
        <v>98.725000000000009</v>
      </c>
      <c r="F15" s="5">
        <f t="shared" si="8"/>
        <v>129.126</v>
      </c>
      <c r="G15" s="5">
        <f t="shared" si="8"/>
        <v>152.572</v>
      </c>
      <c r="H15" s="5">
        <f t="shared" si="8"/>
        <v>152.36500000000001</v>
      </c>
      <c r="I15" s="5">
        <f t="shared" si="8"/>
        <v>191.95699999999999</v>
      </c>
      <c r="J15" s="5">
        <f t="shared" si="8"/>
        <v>227.20199999999994</v>
      </c>
      <c r="K15" s="5">
        <f t="shared" si="8"/>
        <v>231.28299999999996</v>
      </c>
      <c r="L15" s="5">
        <f t="shared" si="8"/>
        <v>214.05899999999997</v>
      </c>
      <c r="M15" s="5">
        <f t="shared" si="8"/>
        <v>253.30500000000001</v>
      </c>
      <c r="N15" s="5">
        <f t="shared" si="8"/>
        <v>285.496127</v>
      </c>
      <c r="O15" s="5"/>
      <c r="P15" s="1">
        <f t="shared" ref="P15:W15" si="9">+P13-P14</f>
        <v>181.12299999999999</v>
      </c>
      <c r="Q15" s="1">
        <f t="shared" si="9"/>
        <v>206.19800000000001</v>
      </c>
      <c r="R15" s="1">
        <f t="shared" si="9"/>
        <v>251.73199999999997</v>
      </c>
      <c r="S15" s="1">
        <f t="shared" si="9"/>
        <v>390.39600000000007</v>
      </c>
      <c r="T15" s="1">
        <f t="shared" si="9"/>
        <v>724.096</v>
      </c>
      <c r="U15" s="1">
        <f t="shared" si="9"/>
        <v>984.14312699999982</v>
      </c>
      <c r="V15" s="1">
        <f t="shared" si="9"/>
        <v>981.56373478409989</v>
      </c>
      <c r="W15" s="1">
        <f t="shared" si="9"/>
        <v>1050.2731962189869</v>
      </c>
      <c r="X15" s="1">
        <f t="shared" ref="X15:AE15" si="10">+X13-X14</f>
        <v>1123.7923199543161</v>
      </c>
      <c r="Y15" s="1">
        <f t="shared" si="10"/>
        <v>1202.4577823511181</v>
      </c>
      <c r="Z15" s="1">
        <f t="shared" si="10"/>
        <v>1286.6298271156966</v>
      </c>
      <c r="AA15" s="1">
        <f t="shared" si="10"/>
        <v>1376.6939150137953</v>
      </c>
      <c r="AB15" s="1">
        <f t="shared" si="10"/>
        <v>1473.0624890647614</v>
      </c>
      <c r="AC15" s="1">
        <f t="shared" si="10"/>
        <v>1576.1768632992948</v>
      </c>
      <c r="AD15" s="1">
        <f t="shared" si="10"/>
        <v>1686.5092437302455</v>
      </c>
      <c r="AE15" s="1">
        <f t="shared" si="10"/>
        <v>1804.5648907913628</v>
      </c>
    </row>
    <row r="16" spans="1:33" s="1" customFormat="1" x14ac:dyDescent="0.2">
      <c r="B16" s="1" t="s">
        <v>12</v>
      </c>
      <c r="C16" s="5">
        <v>61.555</v>
      </c>
      <c r="D16" s="5">
        <v>64.183000000000007</v>
      </c>
      <c r="E16" s="5">
        <v>75.433999999999997</v>
      </c>
      <c r="F16" s="5">
        <f>+S16-E16-D16-C16</f>
        <v>121.08099999999996</v>
      </c>
      <c r="G16" s="5">
        <v>91.938999999999993</v>
      </c>
      <c r="H16" s="5">
        <v>112.18600000000001</v>
      </c>
      <c r="I16" s="5">
        <v>160.12100000000001</v>
      </c>
      <c r="J16" s="5">
        <f>+T16-I16-H16-G16</f>
        <v>210.172</v>
      </c>
      <c r="K16" s="5">
        <v>180.57499999999999</v>
      </c>
      <c r="L16" s="5">
        <v>186.14099999999999</v>
      </c>
      <c r="M16" s="5">
        <v>218.22</v>
      </c>
      <c r="N16" s="5">
        <f>+M16+5</f>
        <v>223.22</v>
      </c>
      <c r="O16" s="5"/>
      <c r="P16" s="5">
        <f>157.155-5.982</f>
        <v>151.173</v>
      </c>
      <c r="Q16" s="1">
        <f>194.157+2.641</f>
        <v>196.798</v>
      </c>
      <c r="R16" s="1">
        <v>221.91200000000001</v>
      </c>
      <c r="S16" s="1">
        <v>322.25299999999999</v>
      </c>
      <c r="T16" s="1">
        <v>574.41800000000001</v>
      </c>
      <c r="U16" s="1">
        <f>+SUM(K16:N16)</f>
        <v>808.15600000000006</v>
      </c>
      <c r="V16" s="1">
        <f t="shared" ref="V16:AE16" si="11">+U16+15</f>
        <v>823.15600000000006</v>
      </c>
      <c r="W16" s="1">
        <f t="shared" si="11"/>
        <v>838.15600000000006</v>
      </c>
      <c r="X16" s="1">
        <f t="shared" si="11"/>
        <v>853.15600000000006</v>
      </c>
      <c r="Y16" s="1">
        <f t="shared" si="11"/>
        <v>868.15600000000006</v>
      </c>
      <c r="Z16" s="1">
        <f t="shared" si="11"/>
        <v>883.15600000000006</v>
      </c>
      <c r="AA16" s="1">
        <f t="shared" si="11"/>
        <v>898.15600000000006</v>
      </c>
      <c r="AB16" s="1">
        <f t="shared" si="11"/>
        <v>913.15600000000006</v>
      </c>
      <c r="AC16" s="1">
        <f t="shared" si="11"/>
        <v>928.15600000000006</v>
      </c>
      <c r="AD16" s="1">
        <f t="shared" si="11"/>
        <v>943.15600000000006</v>
      </c>
      <c r="AE16" s="1">
        <f t="shared" si="11"/>
        <v>958.15600000000006</v>
      </c>
    </row>
    <row r="17" spans="2:70" s="1" customFormat="1" x14ac:dyDescent="0.2">
      <c r="B17" s="1" t="s">
        <v>13</v>
      </c>
      <c r="C17" s="5">
        <f t="shared" ref="C17:N17" si="12">+C15-C16</f>
        <v>21.43</v>
      </c>
      <c r="D17" s="5">
        <f t="shared" si="12"/>
        <v>15.376999999999995</v>
      </c>
      <c r="E17" s="5">
        <f t="shared" si="12"/>
        <v>23.291000000000011</v>
      </c>
      <c r="F17" s="5">
        <f t="shared" si="12"/>
        <v>8.0450000000000443</v>
      </c>
      <c r="G17" s="5">
        <f t="shared" si="12"/>
        <v>60.63300000000001</v>
      </c>
      <c r="H17" s="5">
        <f t="shared" si="12"/>
        <v>40.179000000000002</v>
      </c>
      <c r="I17" s="5">
        <f t="shared" si="12"/>
        <v>31.835999999999984</v>
      </c>
      <c r="J17" s="5">
        <f t="shared" si="12"/>
        <v>17.029999999999944</v>
      </c>
      <c r="K17" s="5">
        <f t="shared" si="12"/>
        <v>50.70799999999997</v>
      </c>
      <c r="L17" s="5">
        <f t="shared" si="12"/>
        <v>27.917999999999978</v>
      </c>
      <c r="M17" s="5">
        <f t="shared" si="12"/>
        <v>35.085000000000008</v>
      </c>
      <c r="N17" s="5">
        <f t="shared" si="12"/>
        <v>62.276127000000002</v>
      </c>
      <c r="O17" s="5"/>
      <c r="P17" s="1">
        <f t="shared" ref="P17:W17" si="13">+P15-P16</f>
        <v>29.949999999999989</v>
      </c>
      <c r="Q17" s="1">
        <f t="shared" si="13"/>
        <v>9.4000000000000057</v>
      </c>
      <c r="R17" s="1">
        <f t="shared" si="13"/>
        <v>29.819999999999965</v>
      </c>
      <c r="S17" s="1">
        <f t="shared" si="13"/>
        <v>68.143000000000086</v>
      </c>
      <c r="T17" s="1">
        <f t="shared" si="13"/>
        <v>149.678</v>
      </c>
      <c r="U17" s="1">
        <f t="shared" si="13"/>
        <v>175.98712699999976</v>
      </c>
      <c r="V17" s="1">
        <f t="shared" si="13"/>
        <v>158.40773478409983</v>
      </c>
      <c r="W17" s="1">
        <f t="shared" si="13"/>
        <v>212.11719621898681</v>
      </c>
      <c r="X17" s="1">
        <f t="shared" ref="X17" si="14">+X15-X16</f>
        <v>270.63631995431604</v>
      </c>
      <c r="Y17" s="1">
        <f t="shared" ref="Y17" si="15">+Y15-Y16</f>
        <v>334.30178235111805</v>
      </c>
      <c r="Z17" s="1">
        <f t="shared" ref="Z17" si="16">+Z15-Z16</f>
        <v>403.47382711569651</v>
      </c>
      <c r="AA17" s="1">
        <f t="shared" ref="AA17" si="17">+AA15-AA16</f>
        <v>478.53791501379521</v>
      </c>
      <c r="AB17" s="1">
        <f t="shared" ref="AB17" si="18">+AB15-AB16</f>
        <v>559.90648906476133</v>
      </c>
      <c r="AC17" s="1">
        <f t="shared" ref="AC17" si="19">+AC15-AC16</f>
        <v>648.02086329929477</v>
      </c>
      <c r="AD17" s="1">
        <f t="shared" ref="AD17" si="20">+AD15-AD16</f>
        <v>743.35324373024548</v>
      </c>
      <c r="AE17" s="1">
        <f t="shared" ref="AE17" si="21">+AE15-AE16</f>
        <v>846.40889079136275</v>
      </c>
    </row>
    <row r="18" spans="2:70" s="1" customFormat="1" x14ac:dyDescent="0.2">
      <c r="B18" s="1" t="s">
        <v>14</v>
      </c>
      <c r="C18" s="5">
        <f>-1.663-0.663</f>
        <v>-2.3260000000000001</v>
      </c>
      <c r="D18" s="5">
        <f>-1.262-0.786</f>
        <v>-2.048</v>
      </c>
      <c r="E18" s="5">
        <f>0.73-0.463</f>
        <v>0.26699999999999996</v>
      </c>
      <c r="F18" s="5">
        <f>+S18-E18-D18-C18</f>
        <v>3.7999999999999812E-2</v>
      </c>
      <c r="G18" s="5">
        <f>0.341+0.399</f>
        <v>0.74</v>
      </c>
      <c r="H18" s="5">
        <f>-1.062+0.623</f>
        <v>-0.43900000000000006</v>
      </c>
      <c r="I18" s="5">
        <f>2.565-3.985</f>
        <v>-1.42</v>
      </c>
      <c r="J18" s="5">
        <f>+T18-I18-H18-G18</f>
        <v>-7.5689999999999991</v>
      </c>
      <c r="K18" s="5">
        <f>0.187-3.665</f>
        <v>-3.4780000000000002</v>
      </c>
      <c r="L18" s="5">
        <f>3.791-3.761</f>
        <v>2.9999999999999805E-2</v>
      </c>
      <c r="M18" s="5">
        <f>-5.278-3.527</f>
        <v>-8.8049999999999997</v>
      </c>
      <c r="N18" s="5">
        <v>-5</v>
      </c>
      <c r="O18" s="5"/>
      <c r="P18" s="5">
        <f>0.426-6.307</f>
        <v>-5.8810000000000002</v>
      </c>
      <c r="Q18" s="1">
        <f>-1.62-4.09</f>
        <v>-5.71</v>
      </c>
      <c r="R18" s="1">
        <f>-1.438-2.441-0.46</f>
        <v>-4.3389999999999995</v>
      </c>
      <c r="S18" s="1">
        <f>-1.875-2.018-0.176</f>
        <v>-4.069</v>
      </c>
      <c r="T18" s="1">
        <f>1.21-2.875-7.023</f>
        <v>-8.6879999999999988</v>
      </c>
      <c r="U18" s="1">
        <f>+SUM(K18:N18)</f>
        <v>-17.253</v>
      </c>
      <c r="V18" s="1">
        <v>-20</v>
      </c>
      <c r="W18" s="1">
        <v>-25</v>
      </c>
      <c r="X18" s="1">
        <v>-35</v>
      </c>
      <c r="Y18" s="1">
        <v>-35</v>
      </c>
      <c r="Z18" s="1">
        <v>-35</v>
      </c>
      <c r="AA18" s="1">
        <v>-35</v>
      </c>
      <c r="AB18" s="1">
        <v>-35</v>
      </c>
      <c r="AC18" s="1">
        <v>-35</v>
      </c>
      <c r="AD18" s="1">
        <v>-35</v>
      </c>
      <c r="AE18" s="1">
        <v>-35</v>
      </c>
    </row>
    <row r="19" spans="2:70" s="1" customFormat="1" x14ac:dyDescent="0.2">
      <c r="B19" s="1" t="s">
        <v>15</v>
      </c>
      <c r="C19" s="5">
        <f t="shared" ref="C19:N19" si="22">+C17+C18</f>
        <v>19.103999999999999</v>
      </c>
      <c r="D19" s="5">
        <f t="shared" si="22"/>
        <v>13.328999999999995</v>
      </c>
      <c r="E19" s="5">
        <f t="shared" si="22"/>
        <v>23.55800000000001</v>
      </c>
      <c r="F19" s="5">
        <f t="shared" si="22"/>
        <v>8.0830000000000446</v>
      </c>
      <c r="G19" s="5">
        <f t="shared" si="22"/>
        <v>61.373000000000012</v>
      </c>
      <c r="H19" s="5">
        <f t="shared" si="22"/>
        <v>39.74</v>
      </c>
      <c r="I19" s="5">
        <f t="shared" si="22"/>
        <v>30.415999999999983</v>
      </c>
      <c r="J19" s="5">
        <f t="shared" si="22"/>
        <v>9.4609999999999452</v>
      </c>
      <c r="K19" s="5">
        <f t="shared" si="22"/>
        <v>47.229999999999968</v>
      </c>
      <c r="L19" s="5">
        <f t="shared" si="22"/>
        <v>27.947999999999979</v>
      </c>
      <c r="M19" s="5">
        <f t="shared" si="22"/>
        <v>26.280000000000008</v>
      </c>
      <c r="N19" s="5">
        <f t="shared" si="22"/>
        <v>57.276127000000002</v>
      </c>
      <c r="O19" s="5"/>
      <c r="P19" s="1">
        <f>+P17+P18</f>
        <v>24.068999999999988</v>
      </c>
      <c r="Q19" s="1">
        <f>+Q17+Q18</f>
        <v>3.6900000000000057</v>
      </c>
      <c r="R19" s="1">
        <f t="shared" ref="R19:W19" si="23">+R17+R18</f>
        <v>25.480999999999966</v>
      </c>
      <c r="S19" s="1">
        <f t="shared" si="23"/>
        <v>64.074000000000083</v>
      </c>
      <c r="T19" s="1">
        <f t="shared" si="23"/>
        <v>140.99</v>
      </c>
      <c r="U19" s="1">
        <f t="shared" si="23"/>
        <v>158.73412699999977</v>
      </c>
      <c r="V19" s="1">
        <f t="shared" si="23"/>
        <v>138.40773478409983</v>
      </c>
      <c r="W19" s="1">
        <f t="shared" si="23"/>
        <v>187.11719621898681</v>
      </c>
      <c r="X19" s="1">
        <f t="shared" ref="X19" si="24">+X17+X18</f>
        <v>235.63631995431604</v>
      </c>
      <c r="Y19" s="1">
        <f t="shared" ref="Y19" si="25">+Y17+Y18</f>
        <v>299.30178235111805</v>
      </c>
      <c r="Z19" s="1">
        <f t="shared" ref="Z19" si="26">+Z17+Z18</f>
        <v>368.47382711569651</v>
      </c>
      <c r="AA19" s="1">
        <f t="shared" ref="AA19" si="27">+AA17+AA18</f>
        <v>443.53791501379521</v>
      </c>
      <c r="AB19" s="1">
        <f t="shared" ref="AB19" si="28">+AB17+AB18</f>
        <v>524.90648906476133</v>
      </c>
      <c r="AC19" s="1">
        <f t="shared" ref="AC19" si="29">+AC17+AC18</f>
        <v>613.02086329929477</v>
      </c>
      <c r="AD19" s="1">
        <f t="shared" ref="AD19" si="30">+AD17+AD18</f>
        <v>708.35324373024548</v>
      </c>
      <c r="AE19" s="1">
        <f t="shared" ref="AE19" si="31">+AE17+AE18</f>
        <v>811.40889079136275</v>
      </c>
    </row>
    <row r="20" spans="2:70" s="1" customFormat="1" x14ac:dyDescent="0.2">
      <c r="B20" s="1" t="s">
        <v>16</v>
      </c>
      <c r="C20" s="5">
        <v>4.6349999999999998</v>
      </c>
      <c r="D20" s="5">
        <v>1.619</v>
      </c>
      <c r="E20" s="5">
        <v>4.2770000000000001</v>
      </c>
      <c r="F20" s="5">
        <f>+S20-E20-D20-C20</f>
        <v>-7.9870000000000001</v>
      </c>
      <c r="G20" s="5">
        <v>6.6760000000000002</v>
      </c>
      <c r="H20" s="5">
        <v>6.4690000000000003</v>
      </c>
      <c r="I20" s="5">
        <v>3.528</v>
      </c>
      <c r="J20" s="5">
        <f>+T20-I20-H20-G20</f>
        <v>-3.346000000000001</v>
      </c>
      <c r="K20" s="5">
        <v>-0.32500000000000001</v>
      </c>
      <c r="L20" s="5">
        <v>8.9280000000000008</v>
      </c>
      <c r="M20" s="5">
        <v>9.0190000000000001</v>
      </c>
      <c r="N20" s="5">
        <f>+N19*0.15</f>
        <v>8.5914190500000007</v>
      </c>
      <c r="O20" s="5"/>
      <c r="P20" s="5">
        <v>-6.1849999999999996</v>
      </c>
      <c r="Q20" s="1">
        <v>2.5419999999999998</v>
      </c>
      <c r="R20" s="1">
        <v>3.661</v>
      </c>
      <c r="S20" s="1">
        <v>2.544</v>
      </c>
      <c r="T20" s="1">
        <v>13.327</v>
      </c>
      <c r="U20" s="1">
        <f>+SUM(K20:N20)</f>
        <v>26.213419049999999</v>
      </c>
      <c r="V20" s="1">
        <f>+V19*0.15</f>
        <v>20.761160217614975</v>
      </c>
      <c r="W20" s="1">
        <f t="shared" ref="W20:AE20" si="32">+W19*0.2</f>
        <v>37.423439243797361</v>
      </c>
      <c r="X20" s="1">
        <f t="shared" si="32"/>
        <v>47.127263990863213</v>
      </c>
      <c r="Y20" s="1">
        <f t="shared" si="32"/>
        <v>59.860356470223614</v>
      </c>
      <c r="Z20" s="1">
        <f t="shared" si="32"/>
        <v>73.694765423139302</v>
      </c>
      <c r="AA20" s="1">
        <f t="shared" si="32"/>
        <v>88.707583002759051</v>
      </c>
      <c r="AB20" s="1">
        <f t="shared" si="32"/>
        <v>104.98129781295228</v>
      </c>
      <c r="AC20" s="1">
        <f t="shared" si="32"/>
        <v>122.60417265985896</v>
      </c>
      <c r="AD20" s="1">
        <f t="shared" si="32"/>
        <v>141.6706487460491</v>
      </c>
      <c r="AE20" s="1">
        <f t="shared" si="32"/>
        <v>162.28177815827257</v>
      </c>
    </row>
    <row r="21" spans="2:70" s="8" customFormat="1" x14ac:dyDescent="0.2">
      <c r="B21" s="8" t="s">
        <v>17</v>
      </c>
      <c r="C21" s="9">
        <f t="shared" ref="C21:N21" si="33">+C19-C20</f>
        <v>14.468999999999999</v>
      </c>
      <c r="D21" s="9">
        <f t="shared" si="33"/>
        <v>11.709999999999996</v>
      </c>
      <c r="E21" s="9">
        <f t="shared" si="33"/>
        <v>19.281000000000009</v>
      </c>
      <c r="F21" s="9">
        <f t="shared" si="33"/>
        <v>16.070000000000043</v>
      </c>
      <c r="G21" s="9">
        <f t="shared" si="33"/>
        <v>54.69700000000001</v>
      </c>
      <c r="H21" s="9">
        <f t="shared" si="33"/>
        <v>33.271000000000001</v>
      </c>
      <c r="I21" s="9">
        <f t="shared" si="33"/>
        <v>26.887999999999984</v>
      </c>
      <c r="J21" s="9">
        <f t="shared" si="33"/>
        <v>12.806999999999945</v>
      </c>
      <c r="K21" s="9">
        <f t="shared" si="33"/>
        <v>47.554999999999971</v>
      </c>
      <c r="L21" s="9">
        <f t="shared" si="33"/>
        <v>19.019999999999978</v>
      </c>
      <c r="M21" s="9">
        <f t="shared" si="33"/>
        <v>17.26100000000001</v>
      </c>
      <c r="N21" s="9">
        <f t="shared" si="33"/>
        <v>48.684707950000004</v>
      </c>
      <c r="O21" s="9"/>
      <c r="P21" s="8">
        <f>+P19+P20</f>
        <v>17.88399999999999</v>
      </c>
      <c r="Q21" s="8">
        <f t="shared" ref="Q21:AE21" si="34">+Q19-Q20</f>
        <v>1.1480000000000059</v>
      </c>
      <c r="R21" s="8">
        <f t="shared" si="34"/>
        <v>21.819999999999965</v>
      </c>
      <c r="S21" s="8">
        <f t="shared" si="34"/>
        <v>61.530000000000086</v>
      </c>
      <c r="T21" s="8">
        <f t="shared" si="34"/>
        <v>127.66300000000001</v>
      </c>
      <c r="U21" s="8">
        <f t="shared" si="34"/>
        <v>132.52070794999977</v>
      </c>
      <c r="V21" s="8">
        <f t="shared" si="34"/>
        <v>117.64657456648486</v>
      </c>
      <c r="W21" s="8">
        <f t="shared" si="34"/>
        <v>149.69375697518944</v>
      </c>
      <c r="X21" s="8">
        <f t="shared" si="34"/>
        <v>188.50905596345282</v>
      </c>
      <c r="Y21" s="8">
        <f t="shared" si="34"/>
        <v>239.44142588089443</v>
      </c>
      <c r="Z21" s="8">
        <f t="shared" si="34"/>
        <v>294.77906169255721</v>
      </c>
      <c r="AA21" s="8">
        <f t="shared" si="34"/>
        <v>354.83033201103615</v>
      </c>
      <c r="AB21" s="8">
        <f t="shared" si="34"/>
        <v>419.92519125180905</v>
      </c>
      <c r="AC21" s="8">
        <f t="shared" si="34"/>
        <v>490.41669063943584</v>
      </c>
      <c r="AD21" s="8">
        <f t="shared" si="34"/>
        <v>566.68259498419638</v>
      </c>
      <c r="AE21" s="8">
        <f t="shared" si="34"/>
        <v>649.12711263309018</v>
      </c>
      <c r="AF21" s="8">
        <f t="shared" ref="AF21:BR21" si="35">+AE21*(1+$AE$25)</f>
        <v>655.61838375942114</v>
      </c>
      <c r="AG21" s="8">
        <f t="shared" si="35"/>
        <v>662.17456759701531</v>
      </c>
      <c r="AH21" s="8">
        <f t="shared" si="35"/>
        <v>668.79631327298546</v>
      </c>
      <c r="AI21" s="8">
        <f t="shared" si="35"/>
        <v>675.48427640571526</v>
      </c>
      <c r="AJ21" s="8">
        <f t="shared" si="35"/>
        <v>682.23911916977238</v>
      </c>
      <c r="AK21" s="8">
        <f t="shared" si="35"/>
        <v>689.06151036147014</v>
      </c>
      <c r="AL21" s="8">
        <f t="shared" si="35"/>
        <v>695.95212546508481</v>
      </c>
      <c r="AM21" s="8">
        <f t="shared" si="35"/>
        <v>702.9116467197357</v>
      </c>
      <c r="AN21" s="8">
        <f t="shared" si="35"/>
        <v>709.94076318693305</v>
      </c>
      <c r="AO21" s="8">
        <f t="shared" si="35"/>
        <v>717.04017081880238</v>
      </c>
      <c r="AP21" s="8">
        <f t="shared" si="35"/>
        <v>724.2105725269904</v>
      </c>
      <c r="AQ21" s="8">
        <f t="shared" si="35"/>
        <v>731.45267825226028</v>
      </c>
      <c r="AR21" s="8">
        <f t="shared" si="35"/>
        <v>738.76720503478293</v>
      </c>
      <c r="AS21" s="8">
        <f t="shared" si="35"/>
        <v>746.15487708513081</v>
      </c>
      <c r="AT21" s="8">
        <f t="shared" si="35"/>
        <v>753.61642585598213</v>
      </c>
      <c r="AU21" s="8">
        <f t="shared" si="35"/>
        <v>761.15259011454191</v>
      </c>
      <c r="AV21" s="8">
        <f t="shared" si="35"/>
        <v>768.76411601568736</v>
      </c>
      <c r="AW21" s="8">
        <f t="shared" si="35"/>
        <v>776.45175717584425</v>
      </c>
      <c r="AX21" s="8">
        <f t="shared" si="35"/>
        <v>784.21627474760271</v>
      </c>
      <c r="AY21" s="8">
        <f t="shared" si="35"/>
        <v>792.05843749507869</v>
      </c>
      <c r="AZ21" s="8">
        <f t="shared" si="35"/>
        <v>799.97902187002944</v>
      </c>
      <c r="BA21" s="8">
        <f t="shared" si="35"/>
        <v>807.9788120887298</v>
      </c>
      <c r="BB21" s="8">
        <f t="shared" si="35"/>
        <v>816.05860020961711</v>
      </c>
      <c r="BC21" s="8">
        <f t="shared" si="35"/>
        <v>824.21918621171324</v>
      </c>
      <c r="BD21" s="8">
        <f t="shared" si="35"/>
        <v>832.46137807383036</v>
      </c>
      <c r="BE21" s="8">
        <f t="shared" si="35"/>
        <v>840.78599185456869</v>
      </c>
      <c r="BF21" s="8">
        <f t="shared" si="35"/>
        <v>849.19385177311437</v>
      </c>
      <c r="BG21" s="8">
        <f t="shared" si="35"/>
        <v>857.68579029084549</v>
      </c>
      <c r="BH21" s="8">
        <f t="shared" si="35"/>
        <v>866.26264819375399</v>
      </c>
      <c r="BI21" s="8">
        <f t="shared" si="35"/>
        <v>874.92527467569153</v>
      </c>
      <c r="BJ21" s="8">
        <f t="shared" si="35"/>
        <v>883.67452742244848</v>
      </c>
      <c r="BK21" s="8">
        <f t="shared" si="35"/>
        <v>892.51127269667302</v>
      </c>
      <c r="BL21" s="8">
        <f t="shared" si="35"/>
        <v>901.43638542363976</v>
      </c>
      <c r="BM21" s="8">
        <f t="shared" si="35"/>
        <v>910.45074927787618</v>
      </c>
      <c r="BN21" s="8">
        <f t="shared" si="35"/>
        <v>919.55525677065498</v>
      </c>
      <c r="BO21" s="8">
        <f t="shared" si="35"/>
        <v>928.75080933836159</v>
      </c>
      <c r="BP21" s="8">
        <f t="shared" si="35"/>
        <v>938.03831743174521</v>
      </c>
      <c r="BQ21" s="8">
        <f t="shared" si="35"/>
        <v>947.41870060606266</v>
      </c>
      <c r="BR21" s="8">
        <f t="shared" si="35"/>
        <v>956.89288761212333</v>
      </c>
    </row>
    <row r="22" spans="2:70" x14ac:dyDescent="0.2">
      <c r="B22" t="s">
        <v>9</v>
      </c>
      <c r="C22" s="4">
        <f t="shared" ref="C22:M22" si="36">+C21/C23</f>
        <v>0.26876701085834326</v>
      </c>
      <c r="D22" s="4">
        <f t="shared" si="36"/>
        <v>0.21276397040752959</v>
      </c>
      <c r="E22" s="4">
        <f t="shared" si="36"/>
        <v>0.34528926746723437</v>
      </c>
      <c r="F22" s="4">
        <f t="shared" si="36"/>
        <v>0.29039953591009904</v>
      </c>
      <c r="G22" s="4">
        <f t="shared" si="36"/>
        <v>0.95664482236999637</v>
      </c>
      <c r="H22" s="4">
        <f t="shared" si="36"/>
        <v>0.57924913740260997</v>
      </c>
      <c r="I22" s="4">
        <f t="shared" si="36"/>
        <v>0.46334562666298323</v>
      </c>
      <c r="J22" s="4">
        <f t="shared" si="36"/>
        <v>0.22161866451730902</v>
      </c>
      <c r="K22" s="4">
        <f t="shared" si="36"/>
        <v>0.81219204527275057</v>
      </c>
      <c r="L22" s="4">
        <f t="shared" si="36"/>
        <v>0.32522532797401171</v>
      </c>
      <c r="M22" s="4">
        <f t="shared" si="36"/>
        <v>0.29580201907970166</v>
      </c>
      <c r="P22" s="2">
        <f t="shared" ref="P22:AE22" si="37">+P21/P23</f>
        <v>0.35192848208723559</v>
      </c>
      <c r="Q22" s="2">
        <f t="shared" si="37"/>
        <v>2.2079409133470812E-2</v>
      </c>
      <c r="R22" s="2">
        <f t="shared" si="37"/>
        <v>0.40667754084886659</v>
      </c>
      <c r="S22" s="2">
        <f t="shared" si="37"/>
        <v>1.1119031390509253</v>
      </c>
      <c r="T22" s="2">
        <f t="shared" si="37"/>
        <v>2.2091437158017762</v>
      </c>
      <c r="U22" s="2">
        <f t="shared" si="37"/>
        <v>2.2932038976159452</v>
      </c>
      <c r="V22" s="2">
        <f t="shared" si="37"/>
        <v>2.0358145342750449</v>
      </c>
      <c r="W22" s="2">
        <f t="shared" si="37"/>
        <v>2.5903748346545044</v>
      </c>
      <c r="X22" s="2">
        <f t="shared" si="37"/>
        <v>3.2065659689477939</v>
      </c>
      <c r="Y22" s="2">
        <f t="shared" si="37"/>
        <v>4.0048104585693824</v>
      </c>
      <c r="Z22" s="2">
        <f t="shared" si="37"/>
        <v>4.8492607114594035</v>
      </c>
      <c r="AA22" s="2">
        <f t="shared" si="37"/>
        <v>5.7426640260498525</v>
      </c>
      <c r="AB22" s="2">
        <f t="shared" si="37"/>
        <v>6.6879364676156712</v>
      </c>
      <c r="AC22" s="2">
        <f t="shared" si="37"/>
        <v>7.688173327408685</v>
      </c>
      <c r="AD22" s="2">
        <f t="shared" si="37"/>
        <v>8.7466602457313822</v>
      </c>
      <c r="AE22" s="2">
        <f t="shared" si="37"/>
        <v>9.8668850408475954</v>
      </c>
    </row>
    <row r="23" spans="2:70" x14ac:dyDescent="0.2">
      <c r="B23" t="s">
        <v>1</v>
      </c>
      <c r="C23" s="5">
        <v>53.834732000000002</v>
      </c>
      <c r="D23" s="5">
        <v>55.037514000000002</v>
      </c>
      <c r="E23" s="5">
        <v>55.840136999999999</v>
      </c>
      <c r="F23" s="5">
        <f>+S23</f>
        <v>55.337553999999997</v>
      </c>
      <c r="G23" s="5">
        <v>57.175870000000003</v>
      </c>
      <c r="H23" s="5">
        <v>57.438152000000002</v>
      </c>
      <c r="I23" s="5">
        <v>58.030115000000002</v>
      </c>
      <c r="J23" s="5">
        <f>+T23</f>
        <v>57.788454000000002</v>
      </c>
      <c r="K23" s="5">
        <v>58.551423</v>
      </c>
      <c r="L23" s="5">
        <v>58.482529999999997</v>
      </c>
      <c r="M23" s="5">
        <v>58.353219000000003</v>
      </c>
      <c r="P23" s="5">
        <v>50.817143000000002</v>
      </c>
      <c r="Q23" s="1">
        <v>51.994145000000003</v>
      </c>
      <c r="R23" s="1">
        <v>53.654302999999999</v>
      </c>
      <c r="S23" s="1">
        <v>55.337553999999997</v>
      </c>
      <c r="T23" s="1">
        <v>57.788454000000002</v>
      </c>
      <c r="U23" s="1">
        <f>+T23</f>
        <v>57.788454000000002</v>
      </c>
      <c r="V23" s="1">
        <f>+U23</f>
        <v>57.788454000000002</v>
      </c>
      <c r="W23" s="1">
        <f>+V23</f>
        <v>57.788454000000002</v>
      </c>
      <c r="X23" s="1">
        <f t="shared" ref="X23:AE23" si="38">+W23+1</f>
        <v>58.788454000000002</v>
      </c>
      <c r="Y23" s="1">
        <f t="shared" si="38"/>
        <v>59.788454000000002</v>
      </c>
      <c r="Z23" s="1">
        <f t="shared" si="38"/>
        <v>60.788454000000002</v>
      </c>
      <c r="AA23" s="1">
        <f t="shared" si="38"/>
        <v>61.788454000000002</v>
      </c>
      <c r="AB23" s="1">
        <f t="shared" si="38"/>
        <v>62.788454000000002</v>
      </c>
      <c r="AC23" s="1">
        <f t="shared" si="38"/>
        <v>63.788454000000002</v>
      </c>
      <c r="AD23" s="1">
        <f t="shared" si="38"/>
        <v>64.788454000000002</v>
      </c>
      <c r="AE23" s="1">
        <f t="shared" si="38"/>
        <v>65.788454000000002</v>
      </c>
    </row>
    <row r="24" spans="2:70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P24" s="5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70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P25" s="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t="s">
        <v>62</v>
      </c>
      <c r="AE25" s="18">
        <v>0.01</v>
      </c>
    </row>
    <row r="26" spans="2:70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P26" s="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t="s">
        <v>63</v>
      </c>
      <c r="AE26" s="18">
        <v>0.09</v>
      </c>
    </row>
    <row r="27" spans="2:70" x14ac:dyDescent="0.2">
      <c r="AD27" t="s">
        <v>64</v>
      </c>
      <c r="AE27" s="24">
        <f>+NPV(AE26,U21:BR21)</f>
        <v>4936.1576918354176</v>
      </c>
    </row>
    <row r="28" spans="2:70" x14ac:dyDescent="0.2">
      <c r="AD28" t="s">
        <v>65</v>
      </c>
      <c r="AE28" s="2">
        <f>+AE27/Main!K3</f>
        <v>84.591009312364022</v>
      </c>
    </row>
    <row r="29" spans="2:70" x14ac:dyDescent="0.2">
      <c r="AD29" t="s">
        <v>66</v>
      </c>
      <c r="AE29" s="2">
        <f>+Main!K2</f>
        <v>71</v>
      </c>
    </row>
    <row r="30" spans="2:70" x14ac:dyDescent="0.2">
      <c r="AD30" t="s">
        <v>67</v>
      </c>
      <c r="AE30" s="25">
        <f>+AE28/AE29-1</f>
        <v>0.19142266637132432</v>
      </c>
    </row>
    <row r="32" spans="2:70" x14ac:dyDescent="0.2">
      <c r="B32" t="s">
        <v>18</v>
      </c>
      <c r="F32" s="7"/>
      <c r="G32" s="7">
        <f t="shared" ref="G32:L32" si="39">+G13/C13-1</f>
        <v>0.76457777669023907</v>
      </c>
      <c r="H32" s="7">
        <f t="shared" si="39"/>
        <v>0.7614120262527686</v>
      </c>
      <c r="I32" s="7">
        <f t="shared" si="39"/>
        <v>0.84897329684653</v>
      </c>
      <c r="J32" s="7">
        <f t="shared" si="39"/>
        <v>0.71406993066712166</v>
      </c>
      <c r="K32" s="7">
        <f t="shared" si="39"/>
        <v>0.49985439518533403</v>
      </c>
      <c r="L32" s="7">
        <f t="shared" si="39"/>
        <v>0.39705438802451876</v>
      </c>
      <c r="M32" s="7">
        <f t="shared" ref="M32:N32" si="40">+M13/I13-1</f>
        <v>0.31141974511244075</v>
      </c>
      <c r="N32" s="7">
        <f t="shared" si="40"/>
        <v>0.27</v>
      </c>
      <c r="R32" s="11">
        <f>+R13/Q13-1</f>
        <v>0.23276539561786791</v>
      </c>
      <c r="S32" s="11">
        <f>+S13/R13-1</f>
        <v>0.47605921128125384</v>
      </c>
      <c r="T32" s="11">
        <f>+T13/S13-1</f>
        <v>0.76892565181637873</v>
      </c>
      <c r="U32" s="11">
        <f t="shared" ref="U32:W32" si="41">+U13/T13-1</f>
        <v>0.35626546489415278</v>
      </c>
      <c r="V32" s="11">
        <f t="shared" si="41"/>
        <v>8.7399999999999922E-2</v>
      </c>
      <c r="W32" s="11">
        <f t="shared" si="41"/>
        <v>7.0000000000000062E-2</v>
      </c>
      <c r="X32" s="11">
        <f t="shared" ref="X32" si="42">+X13/W13-1</f>
        <v>7.0000000000000062E-2</v>
      </c>
      <c r="Y32" s="11">
        <f t="shared" ref="Y32" si="43">+Y13/X13-1</f>
        <v>7.0000000000000062E-2</v>
      </c>
      <c r="Z32" s="11">
        <f t="shared" ref="Z32" si="44">+Z13/Y13-1</f>
        <v>7.0000000000000062E-2</v>
      </c>
      <c r="AA32" s="11">
        <f t="shared" ref="AA32" si="45">+AA13/Z13-1</f>
        <v>6.999999999999984E-2</v>
      </c>
      <c r="AB32" s="11">
        <f t="shared" ref="AB32" si="46">+AB13/AA13-1</f>
        <v>7.0000000000000284E-2</v>
      </c>
      <c r="AC32" s="11">
        <f t="shared" ref="AC32" si="47">+AC13/AB13-1</f>
        <v>7.0000000000000062E-2</v>
      </c>
      <c r="AD32" s="11">
        <f t="shared" ref="AD32" si="48">+AD13/AC13-1</f>
        <v>7.0000000000000062E-2</v>
      </c>
      <c r="AE32" s="11">
        <f t="shared" ref="AE32" si="49">+AE13/AD13-1</f>
        <v>7.0000000000000062E-2</v>
      </c>
    </row>
    <row r="33" spans="2:31" x14ac:dyDescent="0.2">
      <c r="B33" t="s">
        <v>19</v>
      </c>
      <c r="C33" s="7">
        <f t="shared" ref="C33:N33" si="50">+C15/C13</f>
        <v>0.67687049860930992</v>
      </c>
      <c r="D33" s="7">
        <f t="shared" si="50"/>
        <v>0.65027094622759485</v>
      </c>
      <c r="E33" s="7">
        <f t="shared" si="50"/>
        <v>0.67372063028450158</v>
      </c>
      <c r="F33" s="7">
        <f t="shared" si="50"/>
        <v>0.68919762805766527</v>
      </c>
      <c r="G33" s="7">
        <f t="shared" si="50"/>
        <v>0.70524500899051956</v>
      </c>
      <c r="H33" s="7">
        <f t="shared" si="50"/>
        <v>0.70700719698200065</v>
      </c>
      <c r="I33" s="7">
        <f t="shared" si="50"/>
        <v>0.70847742883189457</v>
      </c>
      <c r="J33" s="7">
        <f t="shared" si="50"/>
        <v>0.70747922265159124</v>
      </c>
      <c r="K33" s="7">
        <f t="shared" si="50"/>
        <v>0.71278703883480177</v>
      </c>
      <c r="L33" s="7">
        <f t="shared" si="50"/>
        <v>0.71098231337706541</v>
      </c>
      <c r="M33" s="7">
        <f t="shared" si="50"/>
        <v>0.71289260385005071</v>
      </c>
      <c r="N33" s="7">
        <f t="shared" si="50"/>
        <v>0.70000000000000007</v>
      </c>
      <c r="Q33" s="7">
        <f>+Q15/Q13</f>
        <v>0.64819716450284492</v>
      </c>
      <c r="R33" s="7">
        <f>+R15/R13</f>
        <v>0.64191964911833332</v>
      </c>
      <c r="S33" s="7">
        <f>+S15/S13</f>
        <v>0.67444078197234492</v>
      </c>
      <c r="T33" s="7">
        <f>+T15/T13</f>
        <v>0.70717196063801113</v>
      </c>
      <c r="U33" s="7">
        <f t="shared" ref="U33:AE33" si="51">+U15/U13</f>
        <v>0.70866738342556157</v>
      </c>
      <c r="V33" s="7">
        <f t="shared" si="51"/>
        <v>0.65</v>
      </c>
      <c r="W33" s="7">
        <f t="shared" si="51"/>
        <v>0.64999999999999991</v>
      </c>
      <c r="X33" s="7">
        <f t="shared" si="51"/>
        <v>0.65</v>
      </c>
      <c r="Y33" s="7">
        <f t="shared" si="51"/>
        <v>0.64999999999999991</v>
      </c>
      <c r="Z33" s="7">
        <f t="shared" si="51"/>
        <v>0.65</v>
      </c>
      <c r="AA33" s="7">
        <f t="shared" si="51"/>
        <v>0.65</v>
      </c>
      <c r="AB33" s="7">
        <f t="shared" si="51"/>
        <v>0.65</v>
      </c>
      <c r="AC33" s="7">
        <f t="shared" si="51"/>
        <v>0.65</v>
      </c>
      <c r="AD33" s="7">
        <f t="shared" si="51"/>
        <v>0.65</v>
      </c>
      <c r="AE33" s="7">
        <f t="shared" si="51"/>
        <v>0.65</v>
      </c>
    </row>
    <row r="34" spans="2:31" s="18" customFormat="1" x14ac:dyDescent="0.2">
      <c r="B34" s="18" t="s">
        <v>68</v>
      </c>
      <c r="C34" s="19">
        <f t="shared" ref="C34:N34" si="52">+C20/C19</f>
        <v>0.24261934673366833</v>
      </c>
      <c r="D34" s="19">
        <f t="shared" si="52"/>
        <v>0.12146447595468532</v>
      </c>
      <c r="E34" s="19">
        <f t="shared" si="52"/>
        <v>0.18155191442397481</v>
      </c>
      <c r="F34" s="19">
        <f t="shared" si="52"/>
        <v>-0.98812322157614207</v>
      </c>
      <c r="G34" s="19">
        <f t="shared" si="52"/>
        <v>0.10877747543708144</v>
      </c>
      <c r="H34" s="19">
        <f t="shared" si="52"/>
        <v>0.16278309008555611</v>
      </c>
      <c r="I34" s="19">
        <f t="shared" si="52"/>
        <v>0.11599158337716997</v>
      </c>
      <c r="J34" s="19">
        <f t="shared" si="52"/>
        <v>-0.35366240355142375</v>
      </c>
      <c r="K34" s="19">
        <f t="shared" si="52"/>
        <v>-6.8812195638365495E-3</v>
      </c>
      <c r="L34" s="19">
        <f t="shared" si="52"/>
        <v>0.3194504079003867</v>
      </c>
      <c r="M34" s="19">
        <f t="shared" si="52"/>
        <v>0.34318873668188726</v>
      </c>
      <c r="N34" s="19">
        <f t="shared" si="52"/>
        <v>0.15</v>
      </c>
      <c r="O34" s="19"/>
      <c r="P34" s="19"/>
      <c r="R34" s="18">
        <f>+R20/R19</f>
        <v>0.14367567991837074</v>
      </c>
      <c r="S34" s="18">
        <f>+S20/S19</f>
        <v>3.9704092143459074E-2</v>
      </c>
      <c r="T34" s="18">
        <f>+T20/T19</f>
        <v>9.4524434357046591E-2</v>
      </c>
      <c r="U34" s="18">
        <f>+U20/U19</f>
        <v>0.165140411488199</v>
      </c>
      <c r="V34" s="18">
        <f t="shared" ref="V34:AE34" si="53">+V20/V19</f>
        <v>0.15</v>
      </c>
      <c r="W34" s="18">
        <f t="shared" si="53"/>
        <v>0.2</v>
      </c>
      <c r="X34" s="18">
        <f t="shared" si="53"/>
        <v>0.2</v>
      </c>
      <c r="Y34" s="18">
        <f t="shared" si="53"/>
        <v>0.2</v>
      </c>
      <c r="Z34" s="18">
        <f t="shared" si="53"/>
        <v>0.2</v>
      </c>
      <c r="AA34" s="18">
        <f t="shared" si="53"/>
        <v>0.2</v>
      </c>
      <c r="AB34" s="18">
        <f t="shared" si="53"/>
        <v>0.2</v>
      </c>
      <c r="AC34" s="18">
        <f t="shared" si="53"/>
        <v>0.2</v>
      </c>
      <c r="AD34" s="18">
        <f t="shared" si="53"/>
        <v>0.2</v>
      </c>
      <c r="AE34" s="18">
        <f t="shared" si="53"/>
        <v>0.20000000000000004</v>
      </c>
    </row>
    <row r="35" spans="2:31" x14ac:dyDescent="0.2">
      <c r="B35" t="s">
        <v>69</v>
      </c>
      <c r="C35" s="19">
        <f>+C21/C13</f>
        <v>0.11801698191695011</v>
      </c>
      <c r="D35" s="19">
        <f t="shared" ref="D35:N35" si="54">+D21/D13</f>
        <v>9.570981372957682E-2</v>
      </c>
      <c r="E35" s="19">
        <f t="shared" si="54"/>
        <v>0.13157769027617605</v>
      </c>
      <c r="F35" s="19">
        <f t="shared" si="54"/>
        <v>8.5772082174672096E-2</v>
      </c>
      <c r="G35" s="19">
        <f t="shared" si="54"/>
        <v>0.252830049135847</v>
      </c>
      <c r="H35" s="19">
        <f t="shared" si="54"/>
        <v>0.15438477636457285</v>
      </c>
      <c r="I35" s="19">
        <f t="shared" si="54"/>
        <v>9.9238585237485327E-2</v>
      </c>
      <c r="J35" s="19">
        <f t="shared" si="54"/>
        <v>3.9879430658616086E-2</v>
      </c>
      <c r="K35" s="19">
        <f t="shared" si="54"/>
        <v>0.14655892405316856</v>
      </c>
      <c r="L35" s="19">
        <f t="shared" si="54"/>
        <v>6.3173627833596216E-2</v>
      </c>
      <c r="M35" s="19">
        <f t="shared" si="54"/>
        <v>4.8578745919171482E-2</v>
      </c>
      <c r="N35" s="19">
        <f t="shared" si="54"/>
        <v>0.11936867908894611</v>
      </c>
      <c r="P35" s="19">
        <f t="shared" ref="P35:AE35" si="55">+P21/P13</f>
        <v>6.3227635751685482E-2</v>
      </c>
      <c r="Q35" s="19">
        <f t="shared" si="55"/>
        <v>3.6088145610009299E-3</v>
      </c>
      <c r="R35" s="19">
        <f t="shared" si="55"/>
        <v>5.564126429600532E-2</v>
      </c>
      <c r="S35" s="19">
        <f t="shared" si="55"/>
        <v>0.10629806994630692</v>
      </c>
      <c r="T35" s="19">
        <f t="shared" si="55"/>
        <v>0.12467917791415838</v>
      </c>
      <c r="U35" s="19">
        <f t="shared" si="55"/>
        <v>9.5426265525938456E-2</v>
      </c>
      <c r="V35" s="19">
        <f t="shared" si="55"/>
        <v>7.7906579836137899E-2</v>
      </c>
      <c r="W35" s="19">
        <f t="shared" si="55"/>
        <v>9.2643459229616892E-2</v>
      </c>
      <c r="X35" s="19">
        <f t="shared" si="55"/>
        <v>0.10903339006732615</v>
      </c>
      <c r="Y35" s="19">
        <f t="shared" si="55"/>
        <v>0.12943234191413411</v>
      </c>
      <c r="Z35" s="19">
        <f t="shared" si="55"/>
        <v>0.14892114737437415</v>
      </c>
      <c r="AA35" s="19">
        <f t="shared" si="55"/>
        <v>0.16753158657264958</v>
      </c>
      <c r="AB35" s="19">
        <f t="shared" si="55"/>
        <v>0.18529517677622157</v>
      </c>
      <c r="AC35" s="19">
        <f t="shared" si="55"/>
        <v>0.20224307077339898</v>
      </c>
      <c r="AD35" s="19">
        <f t="shared" si="55"/>
        <v>0.21840596967320486</v>
      </c>
      <c r="AE35" s="19">
        <f t="shared" si="55"/>
        <v>0.2338140486743466</v>
      </c>
    </row>
    <row r="37" spans="2:31" x14ac:dyDescent="0.2">
      <c r="B37" t="s">
        <v>31</v>
      </c>
      <c r="M37" s="1"/>
      <c r="Q37" s="1">
        <f>+Q21</f>
        <v>1.1480000000000059</v>
      </c>
      <c r="R37" s="1">
        <f>+R21</f>
        <v>21.819999999999965</v>
      </c>
      <c r="S37" s="1">
        <f>+S21</f>
        <v>61.530000000000086</v>
      </c>
      <c r="T37" s="1">
        <f>+T21</f>
        <v>127.66300000000001</v>
      </c>
    </row>
    <row r="38" spans="2:31" x14ac:dyDescent="0.2">
      <c r="B38" t="s">
        <v>30</v>
      </c>
      <c r="Q38">
        <v>29.475000000000001</v>
      </c>
      <c r="R38" s="1">
        <v>19.513000000000002</v>
      </c>
      <c r="S38" s="1">
        <v>101.883</v>
      </c>
      <c r="T38" s="1">
        <v>71.153999999999996</v>
      </c>
    </row>
    <row r="39" spans="2:31" x14ac:dyDescent="0.2">
      <c r="B39" t="s">
        <v>27</v>
      </c>
      <c r="Q39">
        <v>-6.4740000000000002</v>
      </c>
      <c r="R39" s="1">
        <v>-4.8179999999999996</v>
      </c>
      <c r="S39" s="1">
        <v>-1.7230000000000001</v>
      </c>
      <c r="T39" s="1">
        <v>-284.66000000000003</v>
      </c>
    </row>
    <row r="40" spans="2:31" x14ac:dyDescent="0.2">
      <c r="B40" t="s">
        <v>28</v>
      </c>
      <c r="Q40">
        <v>-6.4740000000000002</v>
      </c>
      <c r="R40" s="1">
        <v>-4.8179999999999996</v>
      </c>
      <c r="S40" s="1">
        <v>-1.7230000000000001</v>
      </c>
      <c r="T40" s="1">
        <v>-8.6590000000000007</v>
      </c>
    </row>
    <row r="41" spans="2:31" s="13" customFormat="1" x14ac:dyDescent="0.2">
      <c r="B41" s="13" t="s">
        <v>29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8">
        <f>+Q38+Q40</f>
        <v>23.001000000000001</v>
      </c>
      <c r="R41" s="8">
        <f>+R38+R40</f>
        <v>14.695000000000002</v>
      </c>
      <c r="S41" s="8">
        <f>+S38+S40</f>
        <v>100.16</v>
      </c>
      <c r="T41" s="8">
        <f>+T38+T40</f>
        <v>62.494999999999997</v>
      </c>
    </row>
    <row r="42" spans="2:31" x14ac:dyDescent="0.2">
      <c r="B42" t="s">
        <v>26</v>
      </c>
      <c r="Q42">
        <v>-11.4</v>
      </c>
      <c r="R42" s="1">
        <v>-29.11</v>
      </c>
      <c r="S42" s="1">
        <v>-22.734999999999999</v>
      </c>
      <c r="T42" s="1">
        <v>200.94499999999999</v>
      </c>
    </row>
    <row r="43" spans="2:31" x14ac:dyDescent="0.2">
      <c r="B43" t="s">
        <v>32</v>
      </c>
      <c r="Q43">
        <v>0</v>
      </c>
      <c r="R43" s="1">
        <v>0</v>
      </c>
      <c r="S43" s="1">
        <v>0</v>
      </c>
      <c r="T43" s="1">
        <v>-3.4000000000000002E-2</v>
      </c>
    </row>
    <row r="44" spans="2:31" x14ac:dyDescent="0.2">
      <c r="B44" t="s">
        <v>33</v>
      </c>
      <c r="Q44" s="1">
        <f>+Q38+Q39+Q42</f>
        <v>11.601000000000001</v>
      </c>
      <c r="R44" s="1">
        <f>+R38+R39+R42</f>
        <v>-14.414999999999997</v>
      </c>
      <c r="S44" s="1">
        <f>+S38+S39+S42</f>
        <v>77.424999999999997</v>
      </c>
      <c r="T44" s="1">
        <f>+T38+T39+T42</f>
        <v>-12.561000000000035</v>
      </c>
    </row>
    <row r="46" spans="2:31" s="13" customFormat="1" x14ac:dyDescent="0.2">
      <c r="B46" s="13" t="s">
        <v>52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8">
        <f>+M47-M57</f>
        <v>-180.46600000000001</v>
      </c>
      <c r="N46" s="14"/>
      <c r="O46" s="14"/>
      <c r="P46" s="14"/>
      <c r="Q46" s="8">
        <f>+Q47-Q57</f>
        <v>-68.768000000000001</v>
      </c>
      <c r="R46" s="8">
        <f>+R47-R57</f>
        <v>-53.512999999999991</v>
      </c>
      <c r="S46" s="8">
        <f>+S47-S57</f>
        <v>54.322000000000003</v>
      </c>
      <c r="T46" s="8">
        <f>+T47-T57</f>
        <v>-153.90899999999999</v>
      </c>
    </row>
    <row r="47" spans="2:31" x14ac:dyDescent="0.2">
      <c r="B47" t="s">
        <v>34</v>
      </c>
      <c r="M47" s="26">
        <v>73.844999999999999</v>
      </c>
      <c r="Q47" s="1">
        <v>57.768000000000001</v>
      </c>
      <c r="R47" s="1">
        <f>+S47-S44</f>
        <v>43.353000000000009</v>
      </c>
      <c r="S47" s="1">
        <v>120.77800000000001</v>
      </c>
      <c r="T47" s="1">
        <f>+S47+T44</f>
        <v>108.21699999999997</v>
      </c>
    </row>
    <row r="48" spans="2:31" x14ac:dyDescent="0.2">
      <c r="B48" t="s">
        <v>35</v>
      </c>
      <c r="M48" s="5">
        <v>187.744</v>
      </c>
      <c r="Q48" s="1">
        <v>40.185000000000002</v>
      </c>
      <c r="R48" s="1">
        <v>45.567</v>
      </c>
      <c r="S48" s="1">
        <v>67.927999999999997</v>
      </c>
      <c r="T48" s="1">
        <v>123.797</v>
      </c>
    </row>
    <row r="49" spans="2:20" x14ac:dyDescent="0.2">
      <c r="B49" t="s">
        <v>36</v>
      </c>
      <c r="M49" s="5">
        <v>214.786</v>
      </c>
      <c r="Q49" s="1">
        <v>56.81</v>
      </c>
      <c r="R49" s="1">
        <v>84.498000000000005</v>
      </c>
      <c r="S49" s="1">
        <v>81.322999999999993</v>
      </c>
      <c r="T49" s="1">
        <v>191.489</v>
      </c>
    </row>
    <row r="50" spans="2:20" x14ac:dyDescent="0.2">
      <c r="B50" t="s">
        <v>37</v>
      </c>
      <c r="M50" s="5">
        <v>82.701999999999998</v>
      </c>
      <c r="Q50" s="1">
        <v>15.381</v>
      </c>
      <c r="R50" s="1">
        <v>19.611000000000001</v>
      </c>
      <c r="S50" s="1">
        <v>33.295999999999999</v>
      </c>
      <c r="T50" s="1">
        <v>53.607999999999997</v>
      </c>
    </row>
    <row r="51" spans="2:20" x14ac:dyDescent="0.2">
      <c r="B51" t="s">
        <v>38</v>
      </c>
      <c r="M51" s="5">
        <v>19.878</v>
      </c>
      <c r="Q51" s="1">
        <v>13.77</v>
      </c>
      <c r="R51" s="1">
        <v>10.577</v>
      </c>
      <c r="S51" s="1">
        <v>7.7839999999999998</v>
      </c>
      <c r="T51" s="1">
        <v>13.974</v>
      </c>
    </row>
    <row r="52" spans="2:20" x14ac:dyDescent="0.2">
      <c r="B52" t="s">
        <v>39</v>
      </c>
      <c r="M52" s="5">
        <v>212.047</v>
      </c>
      <c r="Q52" s="1">
        <v>94.286000000000001</v>
      </c>
      <c r="R52" s="1">
        <v>86.162999999999997</v>
      </c>
      <c r="S52" s="1">
        <v>78.040999999999997</v>
      </c>
      <c r="T52" s="1">
        <v>225.09399999999999</v>
      </c>
    </row>
    <row r="53" spans="2:20" x14ac:dyDescent="0.2">
      <c r="B53" t="s">
        <v>40</v>
      </c>
      <c r="M53" s="5">
        <v>340.58199999999999</v>
      </c>
      <c r="Q53" s="1">
        <v>171.62</v>
      </c>
      <c r="R53" s="1">
        <v>171.62</v>
      </c>
      <c r="S53" s="1">
        <v>171.62</v>
      </c>
      <c r="T53" s="1">
        <v>340.6</v>
      </c>
    </row>
    <row r="54" spans="2:20" x14ac:dyDescent="0.2">
      <c r="B54" t="s">
        <v>41</v>
      </c>
      <c r="M54" s="5">
        <v>133.25</v>
      </c>
      <c r="Q54" s="1">
        <f>2.875+34.698</f>
        <v>37.573</v>
      </c>
      <c r="R54" s="1">
        <v>2.875</v>
      </c>
      <c r="S54" s="1">
        <v>34.741</v>
      </c>
      <c r="T54" s="1">
        <v>72.501999999999995</v>
      </c>
    </row>
    <row r="55" spans="2:20" x14ac:dyDescent="0.2">
      <c r="B55" t="s">
        <v>42</v>
      </c>
      <c r="M55" s="5">
        <f>+SUM(M47:M54)</f>
        <v>1264.8340000000001</v>
      </c>
      <c r="Q55" s="1">
        <f>+SUM(Q47:Q54)</f>
        <v>487.39300000000003</v>
      </c>
      <c r="R55" s="1">
        <f>+SUM(R47:R54)</f>
        <v>464.26400000000001</v>
      </c>
      <c r="S55" s="1">
        <f>+SUM(S47:S54)</f>
        <v>595.51099999999997</v>
      </c>
      <c r="T55" s="1">
        <f>+SUM(T47:T54)</f>
        <v>1129.2809999999999</v>
      </c>
    </row>
    <row r="56" spans="2:20" x14ac:dyDescent="0.2">
      <c r="M56" s="5"/>
      <c r="Q56" s="1"/>
      <c r="R56" s="1"/>
      <c r="S56" s="1"/>
      <c r="T56" s="1"/>
    </row>
    <row r="57" spans="2:20" x14ac:dyDescent="0.2">
      <c r="B57" t="s">
        <v>43</v>
      </c>
      <c r="M57" s="5">
        <f>100.25+154.061</f>
        <v>254.31100000000001</v>
      </c>
      <c r="Q57" s="1">
        <f>16.281+110.255</f>
        <v>126.536</v>
      </c>
      <c r="R57" s="1">
        <f>5.786+91.08</f>
        <v>96.866</v>
      </c>
      <c r="S57" s="1">
        <f>5.575+60.881</f>
        <v>66.456000000000003</v>
      </c>
      <c r="T57" s="1">
        <f>100.307+161.819</f>
        <v>262.12599999999998</v>
      </c>
    </row>
    <row r="58" spans="2:20" x14ac:dyDescent="0.2">
      <c r="B58" t="s">
        <v>44</v>
      </c>
      <c r="M58" s="5">
        <v>65.293000000000006</v>
      </c>
      <c r="Q58" s="1">
        <v>15.699</v>
      </c>
      <c r="R58" s="1">
        <v>19.227</v>
      </c>
      <c r="S58" s="1">
        <v>31.427</v>
      </c>
      <c r="T58" s="1">
        <v>81.075000000000003</v>
      </c>
    </row>
    <row r="59" spans="2:20" x14ac:dyDescent="0.2">
      <c r="B59" t="s">
        <v>45</v>
      </c>
      <c r="M59" s="5">
        <v>128.364</v>
      </c>
      <c r="Q59" s="1">
        <v>41.350999999999999</v>
      </c>
      <c r="R59" s="1">
        <v>40.003999999999998</v>
      </c>
      <c r="S59" s="1">
        <v>70.974000000000004</v>
      </c>
      <c r="T59" s="1">
        <v>117.733</v>
      </c>
    </row>
    <row r="60" spans="2:20" x14ac:dyDescent="0.2">
      <c r="B60" t="s">
        <v>46</v>
      </c>
      <c r="M60" s="5">
        <v>0.49299999999999999</v>
      </c>
      <c r="Q60" s="1">
        <v>13.478999999999999</v>
      </c>
      <c r="R60" s="1">
        <v>9.593</v>
      </c>
      <c r="S60" s="1">
        <v>3.742</v>
      </c>
      <c r="T60" s="1">
        <v>3.6659999999999999</v>
      </c>
    </row>
    <row r="61" spans="2:20" x14ac:dyDescent="0.2">
      <c r="B61" t="s">
        <v>47</v>
      </c>
      <c r="M61" s="5">
        <v>48.116</v>
      </c>
      <c r="Q61" s="1">
        <v>20.084</v>
      </c>
      <c r="R61" s="1">
        <v>15.744</v>
      </c>
      <c r="S61" s="1">
        <v>11.201000000000001</v>
      </c>
      <c r="T61" s="1">
        <v>21.459</v>
      </c>
    </row>
    <row r="62" spans="2:20" x14ac:dyDescent="0.2">
      <c r="B62" t="s">
        <v>48</v>
      </c>
      <c r="M62" s="5">
        <v>0.87</v>
      </c>
      <c r="Q62" s="1">
        <v>0.59799999999999998</v>
      </c>
      <c r="R62" s="1">
        <v>0.76900000000000002</v>
      </c>
      <c r="S62" s="1">
        <v>0.78400000000000003</v>
      </c>
      <c r="T62" s="1">
        <v>0.61599999999999999</v>
      </c>
    </row>
    <row r="63" spans="2:20" x14ac:dyDescent="0.2">
      <c r="B63" t="s">
        <v>49</v>
      </c>
      <c r="M63" s="5">
        <f>+SUM(M57:M62)</f>
        <v>497.44700000000006</v>
      </c>
      <c r="Q63" s="1">
        <f>+SUM(Q57:Q62)</f>
        <v>217.74700000000001</v>
      </c>
      <c r="R63" s="1">
        <f>+SUM(R57:R62)</f>
        <v>182.203</v>
      </c>
      <c r="S63" s="1">
        <f>+SUM(S57:S62)</f>
        <v>184.584</v>
      </c>
      <c r="T63" s="1">
        <f>+SUM(T57:T62)</f>
        <v>486.67499999999995</v>
      </c>
    </row>
    <row r="64" spans="2:20" x14ac:dyDescent="0.2">
      <c r="B64" t="s">
        <v>50</v>
      </c>
      <c r="M64" s="5">
        <v>767.38699999999994</v>
      </c>
      <c r="Q64" s="1">
        <v>269.64600000000002</v>
      </c>
      <c r="R64" s="1">
        <v>312.42899999999997</v>
      </c>
      <c r="S64" s="1">
        <v>411.017</v>
      </c>
      <c r="T64" s="1">
        <v>642.572</v>
      </c>
    </row>
    <row r="65" spans="2:20" x14ac:dyDescent="0.2">
      <c r="B65" t="s">
        <v>51</v>
      </c>
      <c r="M65" s="5">
        <f>+M64+M63</f>
        <v>1264.8340000000001</v>
      </c>
      <c r="Q65" s="1">
        <f>+SUM(Q64+Q63)</f>
        <v>487.39300000000003</v>
      </c>
      <c r="R65" s="1">
        <f>+SUM(R64+R63)</f>
        <v>494.63199999999995</v>
      </c>
      <c r="S65" s="1">
        <f>+SUM(S64+S63)</f>
        <v>595.601</v>
      </c>
      <c r="T65" s="1">
        <f>+SUM(T64+T63)</f>
        <v>1129.2469999999998</v>
      </c>
    </row>
    <row r="68" spans="2:20" s="15" customFormat="1" x14ac:dyDescent="0.2">
      <c r="B68" s="15" t="s">
        <v>53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T68" s="17">
        <v>77</v>
      </c>
    </row>
  </sheetData>
  <hyperlinks>
    <hyperlink ref="A1" location="Main!A1" display="Main" xr:uid="{A6A53138-31EF-417F-8D26-051DB5CF81BF}"/>
  </hyperlinks>
  <pageMargins left="0.7" right="0.7" top="0.75" bottom="0.75" header="0.3" footer="0.3"/>
  <ignoredErrors>
    <ignoredError sqref="P16:Q16 V16:AE16 P14:P15 P17:P21 M15:N15 U15:U20 F15:J19 N14 M17:N17 N16 M19:N19 N18 M21:N21 N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2024-10-11T14:58:12Z</dcterms:created>
  <dcterms:modified xsi:type="dcterms:W3CDTF">2025-02-07T15:58:02Z</dcterms:modified>
</cp:coreProperties>
</file>