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D115F55A-E05B-47B5-866D-3DD089609C6E}" xr6:coauthVersionLast="47" xr6:coauthVersionMax="47" xr10:uidLastSave="{00000000-0000-0000-0000-000000000000}"/>
  <bookViews>
    <workbookView xWindow="-120" yWindow="-120" windowWidth="29040" windowHeight="15840" activeTab="1" xr2:uid="{6011B373-2187-4B36-B285-54205912926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Z2" i="2"/>
  <c r="Y2" i="2"/>
  <c r="N11" i="2"/>
  <c r="N10" i="2"/>
  <c r="N9" i="2"/>
  <c r="N8" i="2"/>
  <c r="J15" i="2"/>
  <c r="N15" i="2"/>
  <c r="K29" i="2"/>
  <c r="L29" i="2"/>
  <c r="M29" i="2"/>
  <c r="J24" i="2"/>
  <c r="J19" i="2"/>
  <c r="J18" i="2"/>
  <c r="J16" i="2"/>
  <c r="I17" i="2"/>
  <c r="I20" i="2"/>
  <c r="M22" i="2"/>
  <c r="M19" i="2"/>
  <c r="M20" i="2" s="1"/>
  <c r="M17" i="2"/>
  <c r="Y27" i="2"/>
  <c r="Z27" i="2" s="1"/>
  <c r="Q37" i="2"/>
  <c r="P37" i="2"/>
  <c r="Q22" i="2"/>
  <c r="Q29" i="2"/>
  <c r="R29" i="2"/>
  <c r="P22" i="2"/>
  <c r="P20" i="2"/>
  <c r="P17" i="2"/>
  <c r="P30" i="2" s="1"/>
  <c r="Q20" i="2"/>
  <c r="Q17" i="2"/>
  <c r="Q30" i="2" s="1"/>
  <c r="S29" i="2"/>
  <c r="R22" i="2"/>
  <c r="R37" i="2"/>
  <c r="R20" i="2"/>
  <c r="R17" i="2"/>
  <c r="R30" i="2" s="1"/>
  <c r="T29" i="2"/>
  <c r="S22" i="2"/>
  <c r="S37" i="2"/>
  <c r="S20" i="2"/>
  <c r="S17" i="2"/>
  <c r="S30" i="2" s="1"/>
  <c r="U29" i="2"/>
  <c r="T22" i="2"/>
  <c r="T37" i="2"/>
  <c r="T20" i="2"/>
  <c r="T17" i="2"/>
  <c r="T30" i="2" s="1"/>
  <c r="U22" i="2"/>
  <c r="U37" i="2"/>
  <c r="U20" i="2"/>
  <c r="U17" i="2"/>
  <c r="U30" i="2" s="1"/>
  <c r="V15" i="2"/>
  <c r="V17" i="2" s="1"/>
  <c r="V30" i="2" s="1"/>
  <c r="W15" i="2"/>
  <c r="W17" i="2" s="1"/>
  <c r="W30" i="2" s="1"/>
  <c r="X15" i="2"/>
  <c r="X17" i="2" s="1"/>
  <c r="X30" i="2" s="1"/>
  <c r="V37" i="2"/>
  <c r="W37" i="2"/>
  <c r="X37" i="2"/>
  <c r="X22" i="2"/>
  <c r="Y22" i="2" s="1"/>
  <c r="Z22" i="2" s="1"/>
  <c r="W22" i="2"/>
  <c r="V22" i="2"/>
  <c r="V20" i="2"/>
  <c r="W20" i="2"/>
  <c r="X20" i="2"/>
  <c r="G22" i="2"/>
  <c r="G20" i="2"/>
  <c r="G17" i="2"/>
  <c r="K22" i="2"/>
  <c r="K20" i="2"/>
  <c r="K17" i="2"/>
  <c r="H22" i="2"/>
  <c r="H20" i="2"/>
  <c r="H17" i="2"/>
  <c r="L22" i="2"/>
  <c r="L20" i="2"/>
  <c r="L17" i="2"/>
  <c r="L6" i="1"/>
  <c r="L4" i="1"/>
  <c r="L7" i="1" s="1"/>
  <c r="J20" i="2" l="1"/>
  <c r="I21" i="2"/>
  <c r="I23" i="2" s="1"/>
  <c r="I25" i="2" s="1"/>
  <c r="I26" i="2" s="1"/>
  <c r="J22" i="2"/>
  <c r="AA27" i="2"/>
  <c r="AB27" i="2" s="1"/>
  <c r="AC27" i="2" s="1"/>
  <c r="AD27" i="2" s="1"/>
  <c r="AE27" i="2" s="1"/>
  <c r="M21" i="2"/>
  <c r="M23" i="2" s="1"/>
  <c r="M25" i="2" s="1"/>
  <c r="M26" i="2" s="1"/>
  <c r="L21" i="2"/>
  <c r="L23" i="2" s="1"/>
  <c r="L25" i="2" s="1"/>
  <c r="L26" i="2" s="1"/>
  <c r="P21" i="2"/>
  <c r="P23" i="2" s="1"/>
  <c r="P25" i="2" s="1"/>
  <c r="P26" i="2" s="1"/>
  <c r="Q21" i="2"/>
  <c r="Q23" i="2" s="1"/>
  <c r="Q25" i="2" s="1"/>
  <c r="Q26" i="2" s="1"/>
  <c r="R21" i="2"/>
  <c r="R23" i="2" s="1"/>
  <c r="R25" i="2" s="1"/>
  <c r="R26" i="2" s="1"/>
  <c r="V29" i="2"/>
  <c r="W29" i="2"/>
  <c r="X29" i="2"/>
  <c r="S21" i="2"/>
  <c r="S23" i="2" s="1"/>
  <c r="S25" i="2" s="1"/>
  <c r="S26" i="2" s="1"/>
  <c r="T21" i="2"/>
  <c r="T23" i="2" s="1"/>
  <c r="T25" i="2" s="1"/>
  <c r="T26" i="2" s="1"/>
  <c r="X21" i="2"/>
  <c r="U21" i="2"/>
  <c r="U23" i="2" s="1"/>
  <c r="U25" i="2" s="1"/>
  <c r="U26" i="2" s="1"/>
  <c r="V21" i="2"/>
  <c r="V23" i="2" s="1"/>
  <c r="V25" i="2" s="1"/>
  <c r="V26" i="2" s="1"/>
  <c r="W21" i="2"/>
  <c r="W23" i="2" s="1"/>
  <c r="W25" i="2" s="1"/>
  <c r="W26" i="2" s="1"/>
  <c r="G21" i="2"/>
  <c r="G23" i="2" s="1"/>
  <c r="G25" i="2" s="1"/>
  <c r="G26" i="2" s="1"/>
  <c r="K21" i="2"/>
  <c r="K23" i="2" s="1"/>
  <c r="K25" i="2" s="1"/>
  <c r="K26" i="2" s="1"/>
  <c r="H21" i="2"/>
  <c r="H23" i="2" s="1"/>
  <c r="H25" i="2" s="1"/>
  <c r="H26" i="2" s="1"/>
  <c r="X23" i="2" l="1"/>
  <c r="X25" i="2" s="1"/>
  <c r="X26" i="2" s="1"/>
  <c r="Y21" i="2"/>
  <c r="J17" i="2"/>
  <c r="J21" i="2" s="1"/>
  <c r="J23" i="2" s="1"/>
  <c r="J25" i="2" s="1"/>
  <c r="J26" i="2" s="1"/>
  <c r="N29" i="2" l="1"/>
  <c r="Y15" i="2"/>
  <c r="Z21" i="2"/>
  <c r="Y23" i="2"/>
  <c r="AA21" i="2" l="1"/>
  <c r="AB21" i="2" s="1"/>
  <c r="AC21" i="2" s="1"/>
  <c r="AD21" i="2" s="1"/>
  <c r="AE21" i="2" s="1"/>
  <c r="Z23" i="2"/>
  <c r="Y24" i="2"/>
  <c r="Y25" i="2" s="1"/>
  <c r="Y26" i="2" s="1"/>
  <c r="Z24" i="2" l="1"/>
  <c r="Z25" i="2" s="1"/>
  <c r="Z32" i="2" l="1"/>
  <c r="Z26" i="2"/>
  <c r="AA22" i="2" l="1"/>
  <c r="AA23" i="2" s="1"/>
  <c r="AA24" i="2" s="1"/>
  <c r="AA25" i="2" s="1"/>
  <c r="AA26" i="2" s="1"/>
  <c r="AA32" i="2" l="1"/>
  <c r="AB22" i="2"/>
  <c r="AB23" i="2" s="1"/>
  <c r="AB24" i="2" s="1"/>
  <c r="AB25" i="2" s="1"/>
  <c r="AB26" i="2" s="1"/>
  <c r="AB32" i="2" l="1"/>
  <c r="AC22" i="2" l="1"/>
  <c r="AC23" i="2" s="1"/>
  <c r="AC24" i="2" s="1"/>
  <c r="AC25" i="2" s="1"/>
  <c r="AC26" i="2" s="1"/>
  <c r="AC32" i="2" l="1"/>
  <c r="AD22" i="2" s="1"/>
  <c r="AD23" i="2" s="1"/>
  <c r="AD24" i="2" s="1"/>
  <c r="AD25" i="2" s="1"/>
  <c r="AD26" i="2" s="1"/>
  <c r="AD32" i="2" l="1"/>
  <c r="AE22" i="2"/>
  <c r="AE23" i="2" s="1"/>
  <c r="AE24" i="2" l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AB37" i="2" s="1"/>
  <c r="AB38" i="2" s="1"/>
  <c r="AE26" i="2" l="1"/>
  <c r="AE32" i="2"/>
</calcChain>
</file>

<file path=xl/sharedStrings.xml><?xml version="1.0" encoding="utf-8"?>
<sst xmlns="http://schemas.openxmlformats.org/spreadsheetml/2006/main" count="52" uniqueCount="46">
  <si>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</si>
  <si>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</si>
  <si>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</si>
  <si>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</si>
  <si>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</si>
  <si>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</si>
  <si>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</si>
  <si>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</si>
  <si>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</si>
  <si>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</si>
  <si>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</si>
  <si>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</si>
  <si>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</si>
  <si>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</si>
  <si>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</si>
  <si>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</si>
  <si>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</si>
  <si>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</si>
  <si>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</si>
  <si>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</si>
  <si>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</si>
  <si>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</si>
  <si>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Pretax Income</t>
  </si>
  <si>
    <t>Taxes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</si>
  <si>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</si>
  <si>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</si>
  <si>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</si>
  <si>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</si>
  <si>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</si>
  <si>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</si>
  <si>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</si>
  <si>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Airbag</t>
  </si>
  <si>
    <t>Seatbelts</t>
  </si>
  <si>
    <t>Gross Margin</t>
  </si>
  <si>
    <t>CFFO</t>
  </si>
  <si>
    <t>CX</t>
  </si>
  <si>
    <t>FCF</t>
  </si>
  <si>
    <t>Revenue y/y</t>
  </si>
  <si>
    <t>Maturity</t>
  </si>
  <si>
    <t>Discount</t>
  </si>
  <si>
    <t>NPV</t>
  </si>
  <si>
    <t>ROIC</t>
  </si>
  <si>
    <t xml:space="preserve">Americas </t>
  </si>
  <si>
    <t>Europe</t>
  </si>
  <si>
    <t xml:space="preserve">China </t>
  </si>
  <si>
    <t xml:space="preserve">Asia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</si>
</sst>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0" fillId="0" borderId="0" xfId="1" applyFont="1"/>
    <xf numFmtId="9" fontId="0" fillId="0" borderId="0" xfId="1" applyFont="1" applyAlignment="1">
      <alignment horizontal="right"/>
    </xf>
    <xf numFmtId="3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D3AE723-9ECD-4137-A3F4-4D8CE05624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15039</xdr:colOff>
      <xdr:row>0</xdr:row>
      <xdr:rowOff>0</xdr:rowOff>
    </xdr:from>
    <xdr:to>
      <xdr:col>13</xdr:col>
      <xdr:colOff>15039</xdr:colOff>
      <xdr:row>48</xdr:row>
      <xdr:rowOff>150394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6BD33F4-087D-9603-D8D9-F61F45A0171C}"/>
            </a:ext>
          </a:extLst>
        </xdr:cNvPr>
        <xdr:cNvCxnSpPr/>
      </xdr:nvCxnSpPr>
      <xdr:spPr>
        <a:xfrm>
          <a:off x="8286750" y="0"/>
          <a:ext cx="0" cy="62463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E89A-C434-43B7-91D4-1234CEFD836F}">
  <dimension ref="K2:M7"/>
  <sheetViews>
    <sheetView zoomScale="160" zoomScaleNormal="160" workbookViewId="0">
      <selection activeCell="H14" sqref="H14"/>
    </sheetView>
  </sheetViews>
  <sheetFormatPr defaultRowHeight="12.75" x14ac:dyDescent="0.2"/>
  <sheetData>
    <row r="2" spans="11:13" x14ac:dyDescent="0.2">
      <c r="K2" t="s">
        <v>0</v>
      </c>
      <c r="L2" s="1">
        <v>97.63</v>
      </c>
    </row>
    <row r="3" spans="11:13" x14ac:dyDescent="0.2">
      <c r="K3" t="s">
        <v>1</v>
      </c>
      <c r="L3" s="2">
        <v>78.5</v>
      </c>
      <c r="M3" s="3" t="s">
        <v>19</v>
      </c>
    </row>
    <row r="4" spans="11:13" x14ac:dyDescent="0.2">
      <c r="K4" t="s">
        <v>2</v>
      </c>
      <c r="L4" s="2">
        <f>+L2*L3</f>
        <v>7663.9549999999999</v>
      </c>
    </row>
    <row r="5" spans="11:13" x14ac:dyDescent="0.2">
      <c r="K5" t="s">
        <v>3</v>
      </c>
      <c r="L5" s="2">
        <v>300</v>
      </c>
      <c r="M5" s="3" t="s">
        <v>19</v>
      </c>
    </row>
    <row r="6" spans="11:13" x14ac:dyDescent="0.2">
      <c r="K6" t="s">
        <v>4</v>
      </c>
      <c r="L6" s="2">
        <f>455+1540</f>
        <v>1995</v>
      </c>
      <c r="M6" s="3" t="s">
        <v>19</v>
      </c>
    </row>
    <row r="7" spans="11:13" x14ac:dyDescent="0.2">
      <c r="K7" t="s">
        <v>5</v>
      </c>
      <c r="L7" s="2">
        <f>+L4-L5+L6</f>
        <v>9358.9549999999999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57EF-CF60-4B55-8169-C82A69822198}">
  <dimension ref="A1:CY38"/>
  <sheetViews>
    <sheetView tabSelected="1" zoomScale="160" zoomScaleNormal="160" workbookViewId="0">
      <pane xSplit="2" ySplit="2" topLeftCell="E15" activePane="bottomRight" state="frozen"/>
      <selection pane="topRight" activeCell="C1" sqref="C1"/>
      <selection pane="bottomLeft" activeCell="A3" sqref="A3"/>
      <selection pane="bottomRight" activeCell="O38" sqref="O38"/>
    </sheetView>
  </sheetViews>
  <sheetFormatPr defaultRowHeight="12.75" x14ac:dyDescent="0.2"/>
  <cols>
    <col min="1" max="1" width="5" bestFit="1" customWidth="1"/>
    <col min="2" max="2" width="18.140625" bestFit="1" customWidth="1"/>
    <col min="3" max="15" width="9.140625" style="3"/>
    <col min="25" max="32" width="8.5703125" customWidth="1"/>
  </cols>
  <sheetData>
    <row r="1" spans="1:33" x14ac:dyDescent="0.2">
      <c r="A1" t="s">
        <v>7</v>
      </c>
    </row>
    <row r="2" spans="1:3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 s="2">
        <f>+X2+1</f>
        <v>2024</v>
      </c>
      <c r="Z2" s="2">
        <f>+Y2+1</f>
        <v>2025</v>
      </c>
      <c r="AA2" s="2">
        <f>+Z2+1</f>
        <v>2026</v>
      </c>
      <c r="AB2" s="2">
        <f>+AA2+1</f>
        <v>2027</v>
      </c>
      <c r="AC2" s="2">
        <f>+AB2+1</f>
        <v>2028</v>
      </c>
      <c r="AD2" s="2">
        <f>+AC2+1</f>
        <v>2029</v>
      </c>
      <c r="AE2" s="2">
        <f>+AD2+1</f>
        <v>2030</v>
      </c>
      <c r="AF2" s="2"/>
      <c r="AG2" s="2"/>
    </row>
    <row r="3" spans="1:33" x14ac:dyDescent="0.2">
      <c r="B3" t="s">
        <v>42</v>
      </c>
      <c r="J3" s="3">
        <v>861</v>
      </c>
      <c r="N3" s="3">
        <v>786</v>
      </c>
    </row>
    <row r="4" spans="1:33" x14ac:dyDescent="0.2">
      <c r="B4" t="s">
        <v>43</v>
      </c>
      <c r="J4" s="3">
        <v>755</v>
      </c>
      <c r="N4" s="3">
        <v>715</v>
      </c>
    </row>
    <row r="5" spans="1:33" x14ac:dyDescent="0.2">
      <c r="B5" t="s">
        <v>44</v>
      </c>
      <c r="J5" s="3">
        <v>617</v>
      </c>
      <c r="N5" s="3">
        <v>587</v>
      </c>
    </row>
    <row r="6" spans="1:33" x14ac:dyDescent="0.2">
      <c r="B6" t="s">
        <v>45</v>
      </c>
      <c r="J6" s="3">
        <v>519</v>
      </c>
      <c r="N6" s="3">
        <v>527</v>
      </c>
    </row>
    <row r="8" spans="1:33" s="9" customFormat="1" x14ac:dyDescent="0.2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f>+N3/J3-1</f>
        <v>-8.710801393728218E-2</v>
      </c>
      <c r="O8" s="10"/>
    </row>
    <row r="9" spans="1:33" s="9" customFormat="1" x14ac:dyDescent="0.2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>
        <f>+N4/J4-1</f>
        <v>-5.2980132450331174E-2</v>
      </c>
      <c r="O9" s="10"/>
    </row>
    <row r="10" spans="1:33" s="9" customFormat="1" x14ac:dyDescent="0.2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>
        <f>+N5/J5-1</f>
        <v>-4.8622366288492702E-2</v>
      </c>
      <c r="O10" s="10"/>
    </row>
    <row r="11" spans="1:33" s="9" customFormat="1" x14ac:dyDescent="0.2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f>+N6/J6-1</f>
        <v>1.5414258188824581E-2</v>
      </c>
      <c r="O11" s="10"/>
    </row>
    <row r="12" spans="1:33" s="9" customFormat="1" x14ac:dyDescent="0.2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33" s="2" customFormat="1" x14ac:dyDescent="0.2">
      <c r="B13" s="2" t="s">
        <v>31</v>
      </c>
      <c r="C13" s="6"/>
      <c r="D13" s="6"/>
      <c r="E13" s="6"/>
      <c r="F13" s="6"/>
      <c r="G13" s="6"/>
      <c r="H13" s="6"/>
      <c r="I13" s="6"/>
      <c r="J13" s="6">
        <v>1864</v>
      </c>
      <c r="K13" s="6"/>
      <c r="L13" s="6"/>
      <c r="M13" s="6"/>
      <c r="N13" s="6">
        <v>1760</v>
      </c>
      <c r="O13" s="6"/>
      <c r="V13" s="2">
        <v>5380</v>
      </c>
      <c r="W13" s="2">
        <v>5807</v>
      </c>
      <c r="X13" s="2">
        <v>7055</v>
      </c>
      <c r="Y13" s="11">
        <v>7023</v>
      </c>
    </row>
    <row r="14" spans="1:33" s="2" customFormat="1" x14ac:dyDescent="0.2">
      <c r="B14" s="2" t="s">
        <v>32</v>
      </c>
      <c r="C14" s="6"/>
      <c r="D14" s="6"/>
      <c r="E14" s="6"/>
      <c r="F14" s="6"/>
      <c r="G14" s="6"/>
      <c r="H14" s="6"/>
      <c r="I14" s="6"/>
      <c r="J14" s="6">
        <v>887</v>
      </c>
      <c r="K14" s="6"/>
      <c r="L14" s="6"/>
      <c r="M14" s="6"/>
      <c r="N14" s="6">
        <v>856</v>
      </c>
      <c r="O14" s="6"/>
      <c r="V14" s="2">
        <v>2850</v>
      </c>
      <c r="W14" s="2">
        <v>3035</v>
      </c>
      <c r="X14" s="2">
        <v>3420</v>
      </c>
      <c r="Y14" s="2">
        <v>3367</v>
      </c>
    </row>
    <row r="15" spans="1:33" s="7" customFormat="1" x14ac:dyDescent="0.2">
      <c r="B15" s="7" t="s">
        <v>8</v>
      </c>
      <c r="C15" s="5"/>
      <c r="D15" s="5"/>
      <c r="E15" s="5"/>
      <c r="F15" s="5"/>
      <c r="G15" s="5">
        <v>2493</v>
      </c>
      <c r="H15" s="5">
        <v>2635</v>
      </c>
      <c r="I15" s="5">
        <v>2596</v>
      </c>
      <c r="J15" s="5">
        <f>+J13+J14</f>
        <v>2751</v>
      </c>
      <c r="K15" s="5">
        <v>2615</v>
      </c>
      <c r="L15" s="5">
        <v>2605</v>
      </c>
      <c r="M15" s="5">
        <v>2555</v>
      </c>
      <c r="N15" s="5">
        <f>+N13+N14</f>
        <v>2616</v>
      </c>
      <c r="O15" s="5"/>
      <c r="P15" s="7">
        <v>9169.6</v>
      </c>
      <c r="Q15" s="7">
        <v>10073.6</v>
      </c>
      <c r="R15" s="7">
        <v>8136.8</v>
      </c>
      <c r="S15" s="7">
        <v>8678.2000000000007</v>
      </c>
      <c r="T15" s="7">
        <v>8548</v>
      </c>
      <c r="U15" s="7">
        <v>7447</v>
      </c>
      <c r="V15" s="7">
        <f>+V14+V13</f>
        <v>8230</v>
      </c>
      <c r="W15" s="7">
        <f>+W14+W13</f>
        <v>8842</v>
      </c>
      <c r="X15" s="7">
        <f>+X14+X13</f>
        <v>10475</v>
      </c>
      <c r="Y15" s="7">
        <f>+SUM(K15:N15)</f>
        <v>10391</v>
      </c>
    </row>
    <row r="16" spans="1:33" s="2" customFormat="1" x14ac:dyDescent="0.2">
      <c r="B16" s="2" t="s">
        <v>24</v>
      </c>
      <c r="C16" s="6"/>
      <c r="D16" s="6"/>
      <c r="E16" s="6"/>
      <c r="F16" s="6"/>
      <c r="G16" s="6">
        <v>2113</v>
      </c>
      <c r="H16" s="6">
        <v>2188</v>
      </c>
      <c r="I16" s="6">
        <v>2131</v>
      </c>
      <c r="J16" s="6">
        <f>+X16-I16-H16-G16</f>
        <v>2222</v>
      </c>
      <c r="K16" s="6">
        <v>2172</v>
      </c>
      <c r="L16" s="6">
        <v>2130</v>
      </c>
      <c r="M16" s="6">
        <v>2095</v>
      </c>
      <c r="N16" s="6"/>
      <c r="O16" s="6"/>
      <c r="P16" s="2">
        <v>7325.5</v>
      </c>
      <c r="Q16" s="2">
        <v>8016.6</v>
      </c>
      <c r="R16" s="2">
        <v>6457.1</v>
      </c>
      <c r="S16" s="2">
        <v>6966.9</v>
      </c>
      <c r="T16" s="2">
        <v>6963</v>
      </c>
      <c r="U16" s="2">
        <v>6201</v>
      </c>
      <c r="V16" s="2">
        <v>6719</v>
      </c>
      <c r="W16" s="2">
        <v>7446</v>
      </c>
      <c r="X16" s="2">
        <v>8654</v>
      </c>
    </row>
    <row r="17" spans="2:103" s="2" customFormat="1" x14ac:dyDescent="0.2">
      <c r="B17" s="2" t="s">
        <v>25</v>
      </c>
      <c r="C17" s="6"/>
      <c r="D17" s="6"/>
      <c r="E17" s="6"/>
      <c r="F17" s="6"/>
      <c r="G17" s="6">
        <f t="shared" ref="G17:M17" si="0">+G15-G16</f>
        <v>380</v>
      </c>
      <c r="H17" s="6">
        <f t="shared" si="0"/>
        <v>447</v>
      </c>
      <c r="I17" s="6">
        <f t="shared" si="0"/>
        <v>465</v>
      </c>
      <c r="J17" s="6">
        <f t="shared" si="0"/>
        <v>529</v>
      </c>
      <c r="K17" s="6">
        <f t="shared" si="0"/>
        <v>443</v>
      </c>
      <c r="L17" s="6">
        <f t="shared" si="0"/>
        <v>475</v>
      </c>
      <c r="M17" s="6">
        <f t="shared" si="0"/>
        <v>460</v>
      </c>
      <c r="N17" s="6"/>
      <c r="O17" s="6"/>
      <c r="P17" s="2">
        <f t="shared" ref="P17:X17" si="1">+P15-P16</f>
        <v>1844.1000000000004</v>
      </c>
      <c r="Q17" s="2">
        <f t="shared" si="1"/>
        <v>2057</v>
      </c>
      <c r="R17" s="2">
        <f t="shared" si="1"/>
        <v>1679.6999999999998</v>
      </c>
      <c r="S17" s="2">
        <f t="shared" si="1"/>
        <v>1711.3000000000011</v>
      </c>
      <c r="T17" s="2">
        <f t="shared" si="1"/>
        <v>1585</v>
      </c>
      <c r="U17" s="2">
        <f t="shared" si="1"/>
        <v>1246</v>
      </c>
      <c r="V17" s="2">
        <f t="shared" si="1"/>
        <v>1511</v>
      </c>
      <c r="W17" s="2">
        <f t="shared" si="1"/>
        <v>1396</v>
      </c>
      <c r="X17" s="2">
        <f t="shared" si="1"/>
        <v>1821</v>
      </c>
    </row>
    <row r="18" spans="2:103" s="2" customFormat="1" x14ac:dyDescent="0.2">
      <c r="B18" s="2" t="s">
        <v>26</v>
      </c>
      <c r="C18" s="6"/>
      <c r="D18" s="6"/>
      <c r="E18" s="6"/>
      <c r="F18" s="6"/>
      <c r="G18" s="6">
        <v>132</v>
      </c>
      <c r="H18" s="6">
        <v>130</v>
      </c>
      <c r="I18" s="6">
        <v>118</v>
      </c>
      <c r="J18" s="6">
        <f>+X18-I18-H18-G18</f>
        <v>118</v>
      </c>
      <c r="K18" s="6">
        <v>132</v>
      </c>
      <c r="L18" s="6">
        <v>138</v>
      </c>
      <c r="M18" s="6">
        <v>129</v>
      </c>
      <c r="N18" s="6"/>
      <c r="O18" s="6"/>
      <c r="P18" s="2">
        <v>411.5</v>
      </c>
      <c r="Q18" s="2">
        <v>476.1</v>
      </c>
      <c r="R18" s="2">
        <v>406.6</v>
      </c>
      <c r="S18" s="2">
        <v>390.3</v>
      </c>
      <c r="T18" s="2">
        <v>399</v>
      </c>
      <c r="U18" s="2">
        <v>389</v>
      </c>
      <c r="V18" s="2">
        <v>432</v>
      </c>
      <c r="W18" s="2">
        <v>437</v>
      </c>
      <c r="X18" s="2">
        <v>498</v>
      </c>
    </row>
    <row r="19" spans="2:103" s="2" customFormat="1" x14ac:dyDescent="0.2">
      <c r="B19" s="2" t="s">
        <v>27</v>
      </c>
      <c r="C19" s="6"/>
      <c r="D19" s="6"/>
      <c r="E19" s="6"/>
      <c r="F19" s="6"/>
      <c r="G19" s="6">
        <v>116</v>
      </c>
      <c r="H19" s="6">
        <v>120</v>
      </c>
      <c r="I19" s="6">
        <v>116</v>
      </c>
      <c r="J19" s="6">
        <f>+X19-I19-H19-G19</f>
        <v>73</v>
      </c>
      <c r="K19" s="6">
        <v>113</v>
      </c>
      <c r="L19" s="6">
        <v>116</v>
      </c>
      <c r="M19" s="6">
        <f>96+9</f>
        <v>105</v>
      </c>
      <c r="N19" s="6"/>
      <c r="O19" s="6"/>
      <c r="P19" s="2">
        <v>523.79999999999995</v>
      </c>
      <c r="Q19" s="2">
        <v>651</v>
      </c>
      <c r="R19" s="2">
        <v>370.6</v>
      </c>
      <c r="S19" s="2">
        <v>412.6</v>
      </c>
      <c r="T19" s="2">
        <v>406</v>
      </c>
      <c r="U19" s="2">
        <v>376</v>
      </c>
      <c r="V19" s="2">
        <v>391</v>
      </c>
      <c r="W19" s="2">
        <v>390</v>
      </c>
      <c r="X19" s="2">
        <v>425</v>
      </c>
    </row>
    <row r="20" spans="2:103" s="2" customFormat="1" x14ac:dyDescent="0.2">
      <c r="B20" s="2" t="s">
        <v>28</v>
      </c>
      <c r="C20" s="6"/>
      <c r="D20" s="6"/>
      <c r="E20" s="6"/>
      <c r="F20" s="6"/>
      <c r="G20" s="6">
        <f t="shared" ref="G20:M20" si="2">+G18+G19</f>
        <v>248</v>
      </c>
      <c r="H20" s="6">
        <f t="shared" si="2"/>
        <v>250</v>
      </c>
      <c r="I20" s="6">
        <f t="shared" si="2"/>
        <v>234</v>
      </c>
      <c r="J20" s="6">
        <f t="shared" si="2"/>
        <v>191</v>
      </c>
      <c r="K20" s="6">
        <f t="shared" si="2"/>
        <v>245</v>
      </c>
      <c r="L20" s="6">
        <f t="shared" si="2"/>
        <v>254</v>
      </c>
      <c r="M20" s="6">
        <f t="shared" si="2"/>
        <v>234</v>
      </c>
      <c r="N20" s="6"/>
      <c r="O20" s="6"/>
      <c r="P20" s="2">
        <f t="shared" ref="P20:X20" si="3">+P19+P18</f>
        <v>935.3</v>
      </c>
      <c r="Q20" s="2">
        <f t="shared" si="3"/>
        <v>1127.0999999999999</v>
      </c>
      <c r="R20" s="2">
        <f t="shared" si="3"/>
        <v>777.2</v>
      </c>
      <c r="S20" s="2">
        <f t="shared" si="3"/>
        <v>802.90000000000009</v>
      </c>
      <c r="T20" s="2">
        <f t="shared" si="3"/>
        <v>805</v>
      </c>
      <c r="U20" s="2">
        <f t="shared" si="3"/>
        <v>765</v>
      </c>
      <c r="V20" s="2">
        <f t="shared" si="3"/>
        <v>823</v>
      </c>
      <c r="W20" s="2">
        <f t="shared" si="3"/>
        <v>827</v>
      </c>
      <c r="X20" s="2">
        <f t="shared" si="3"/>
        <v>923</v>
      </c>
    </row>
    <row r="21" spans="2:103" s="2" customFormat="1" x14ac:dyDescent="0.2">
      <c r="B21" s="2" t="s">
        <v>29</v>
      </c>
      <c r="C21" s="6"/>
      <c r="D21" s="6"/>
      <c r="E21" s="6"/>
      <c r="F21" s="6"/>
      <c r="G21" s="6">
        <f t="shared" ref="G21:M21" si="4">+G17-G20</f>
        <v>132</v>
      </c>
      <c r="H21" s="6">
        <f t="shared" si="4"/>
        <v>197</v>
      </c>
      <c r="I21" s="6">
        <f t="shared" si="4"/>
        <v>231</v>
      </c>
      <c r="J21" s="6">
        <f t="shared" si="4"/>
        <v>338</v>
      </c>
      <c r="K21" s="6">
        <f t="shared" si="4"/>
        <v>198</v>
      </c>
      <c r="L21" s="6">
        <f t="shared" si="4"/>
        <v>221</v>
      </c>
      <c r="M21" s="6">
        <f t="shared" si="4"/>
        <v>226</v>
      </c>
      <c r="N21" s="6"/>
      <c r="O21" s="6"/>
      <c r="P21" s="2">
        <f t="shared" ref="P21:X21" si="5">+P17-P20</f>
        <v>908.80000000000041</v>
      </c>
      <c r="Q21" s="2">
        <f t="shared" si="5"/>
        <v>929.90000000000009</v>
      </c>
      <c r="R21" s="2">
        <f t="shared" si="5"/>
        <v>902.49999999999977</v>
      </c>
      <c r="S21" s="2">
        <f t="shared" si="5"/>
        <v>908.400000000001</v>
      </c>
      <c r="T21" s="2">
        <f t="shared" si="5"/>
        <v>780</v>
      </c>
      <c r="U21" s="2">
        <f t="shared" si="5"/>
        <v>481</v>
      </c>
      <c r="V21" s="2">
        <f t="shared" si="5"/>
        <v>688</v>
      </c>
      <c r="W21" s="2">
        <f t="shared" si="5"/>
        <v>569</v>
      </c>
      <c r="X21" s="2">
        <f t="shared" si="5"/>
        <v>898</v>
      </c>
      <c r="Y21" s="2">
        <f>+X21*1.01</f>
        <v>906.98</v>
      </c>
      <c r="Z21" s="2">
        <f t="shared" ref="Z21:AE21" si="6">+Y21*1.01</f>
        <v>916.0498</v>
      </c>
      <c r="AA21" s="2">
        <f t="shared" si="6"/>
        <v>925.21029799999997</v>
      </c>
      <c r="AB21" s="2">
        <f t="shared" si="6"/>
        <v>934.46240097999998</v>
      </c>
      <c r="AC21" s="2">
        <f t="shared" si="6"/>
        <v>943.80702498979997</v>
      </c>
      <c r="AD21" s="2">
        <f t="shared" si="6"/>
        <v>953.245095239698</v>
      </c>
      <c r="AE21" s="2">
        <f t="shared" si="6"/>
        <v>962.77754619209497</v>
      </c>
    </row>
    <row r="22" spans="2:103" s="2" customFormat="1" x14ac:dyDescent="0.2">
      <c r="B22" s="2" t="s">
        <v>30</v>
      </c>
      <c r="C22" s="6"/>
      <c r="D22" s="6"/>
      <c r="E22" s="6"/>
      <c r="F22" s="6"/>
      <c r="G22" s="6">
        <f>-19-34</f>
        <v>-53</v>
      </c>
      <c r="H22" s="6">
        <f>-103-25+6+1</f>
        <v>-121</v>
      </c>
      <c r="I22" s="6">
        <v>-31</v>
      </c>
      <c r="J22" s="6">
        <f>+X22-I22-H22-G22</f>
        <v>125</v>
      </c>
      <c r="K22" s="6">
        <f>-4+5-26</f>
        <v>-25</v>
      </c>
      <c r="L22" s="6">
        <f>-14+3-28+1</f>
        <v>-38</v>
      </c>
      <c r="M22" s="6">
        <f>2+3-27-7</f>
        <v>-29</v>
      </c>
      <c r="N22" s="6"/>
      <c r="O22" s="6"/>
      <c r="P22" s="2">
        <f>2.7-65.1</f>
        <v>-62.399999999999991</v>
      </c>
      <c r="Q22" s="2">
        <f>4.5-62.4</f>
        <v>-57.9</v>
      </c>
      <c r="R22" s="2">
        <f>7.4-61.1</f>
        <v>-53.7</v>
      </c>
      <c r="S22" s="2">
        <f>6.9-66.1</f>
        <v>-59.199999999999996</v>
      </c>
      <c r="T22" s="2">
        <f>4-70</f>
        <v>-66</v>
      </c>
      <c r="U22" s="2">
        <f>5-73</f>
        <v>-68</v>
      </c>
      <c r="V22" s="2">
        <f>4-60</f>
        <v>-56</v>
      </c>
      <c r="W22" s="2">
        <f>6-60</f>
        <v>-54</v>
      </c>
      <c r="X22" s="2">
        <f>13-93</f>
        <v>-80</v>
      </c>
      <c r="Y22" s="2">
        <f>+X22+20</f>
        <v>-60</v>
      </c>
      <c r="Z22" s="2">
        <f>+Y22+20</f>
        <v>-40</v>
      </c>
      <c r="AA22" s="2">
        <f>+Z32*$AB$34</f>
        <v>-27.7678835</v>
      </c>
      <c r="AB22" s="2">
        <f t="shared" ref="AB22:AE22" si="7">+AA32*$AB$34</f>
        <v>10.37341911625</v>
      </c>
      <c r="AC22" s="2">
        <f t="shared" si="7"/>
        <v>50.528941470340627</v>
      </c>
      <c r="AD22" s="2">
        <f t="shared" si="7"/>
        <v>92.788220044896605</v>
      </c>
      <c r="AE22" s="2">
        <f t="shared" si="7"/>
        <v>137.2446359444919</v>
      </c>
    </row>
    <row r="23" spans="2:103" s="2" customFormat="1" x14ac:dyDescent="0.2">
      <c r="B23" s="2" t="s">
        <v>22</v>
      </c>
      <c r="C23" s="6"/>
      <c r="D23" s="6"/>
      <c r="E23" s="6"/>
      <c r="F23" s="6"/>
      <c r="G23" s="6">
        <f t="shared" ref="G23:M23" si="8">+G21+G22</f>
        <v>79</v>
      </c>
      <c r="H23" s="6">
        <f t="shared" si="8"/>
        <v>76</v>
      </c>
      <c r="I23" s="6">
        <f t="shared" si="8"/>
        <v>200</v>
      </c>
      <c r="J23" s="6">
        <f t="shared" si="8"/>
        <v>463</v>
      </c>
      <c r="K23" s="6">
        <f t="shared" si="8"/>
        <v>173</v>
      </c>
      <c r="L23" s="6">
        <f t="shared" si="8"/>
        <v>183</v>
      </c>
      <c r="M23" s="6">
        <f t="shared" si="8"/>
        <v>197</v>
      </c>
      <c r="N23" s="6"/>
      <c r="O23" s="6"/>
      <c r="P23" s="2">
        <f t="shared" ref="P23:W23" si="9">+P21+P22</f>
        <v>846.40000000000043</v>
      </c>
      <c r="Q23" s="2">
        <f t="shared" si="9"/>
        <v>872.00000000000011</v>
      </c>
      <c r="R23" s="2">
        <f t="shared" si="9"/>
        <v>848.79999999999973</v>
      </c>
      <c r="S23" s="2">
        <f t="shared" si="9"/>
        <v>849.20000000000095</v>
      </c>
      <c r="T23" s="2">
        <f t="shared" si="9"/>
        <v>714</v>
      </c>
      <c r="U23" s="2">
        <f t="shared" si="9"/>
        <v>413</v>
      </c>
      <c r="V23" s="2">
        <f t="shared" si="9"/>
        <v>632</v>
      </c>
      <c r="W23" s="2">
        <f t="shared" si="9"/>
        <v>515</v>
      </c>
      <c r="X23" s="2">
        <f>+X21+X22</f>
        <v>818</v>
      </c>
      <c r="Y23" s="2">
        <f>+Y21+Y22</f>
        <v>846.98</v>
      </c>
      <c r="Z23" s="2">
        <f>+Z21+Z22</f>
        <v>876.0498</v>
      </c>
      <c r="AA23" s="2">
        <f>+AA21+AA22</f>
        <v>897.44241449999993</v>
      </c>
      <c r="AB23" s="2">
        <f t="shared" ref="AB23:AE23" si="10">+AB21+AB22</f>
        <v>944.83582009625002</v>
      </c>
      <c r="AC23" s="2">
        <f t="shared" si="10"/>
        <v>994.33596646014064</v>
      </c>
      <c r="AD23" s="2">
        <f t="shared" si="10"/>
        <v>1046.0333152845947</v>
      </c>
      <c r="AE23" s="2">
        <f t="shared" si="10"/>
        <v>1100.0221821365869</v>
      </c>
    </row>
    <row r="24" spans="2:103" s="2" customFormat="1" x14ac:dyDescent="0.2">
      <c r="B24" s="2" t="s">
        <v>23</v>
      </c>
      <c r="C24" s="6"/>
      <c r="D24" s="6"/>
      <c r="E24" s="6"/>
      <c r="F24" s="6"/>
      <c r="G24" s="6">
        <v>0</v>
      </c>
      <c r="H24" s="6">
        <v>30</v>
      </c>
      <c r="I24" s="6">
        <v>67</v>
      </c>
      <c r="J24" s="6">
        <f>+X24-I24-H24-G24</f>
        <v>26</v>
      </c>
      <c r="K24" s="6">
        <v>47</v>
      </c>
      <c r="L24" s="6">
        <v>44</v>
      </c>
      <c r="M24" s="6">
        <v>58</v>
      </c>
      <c r="N24" s="6"/>
      <c r="O24" s="6"/>
      <c r="P24" s="2">
        <v>218.2</v>
      </c>
      <c r="Q24" s="2">
        <v>242.2</v>
      </c>
      <c r="R24" s="2">
        <v>204.4</v>
      </c>
      <c r="S24" s="2">
        <v>234.9</v>
      </c>
      <c r="T24" s="2">
        <v>186</v>
      </c>
      <c r="U24" s="2">
        <v>103</v>
      </c>
      <c r="V24" s="2">
        <v>177</v>
      </c>
      <c r="W24" s="2">
        <v>178</v>
      </c>
      <c r="X24" s="2">
        <v>123</v>
      </c>
      <c r="Y24" s="2">
        <f>+Y23*0.15</f>
        <v>127.047</v>
      </c>
      <c r="Z24" s="2">
        <f>+Z23*0.15</f>
        <v>131.40746999999999</v>
      </c>
      <c r="AA24" s="2">
        <f>+AA23*0.15</f>
        <v>134.61636217499998</v>
      </c>
      <c r="AB24" s="2">
        <f t="shared" ref="AB24:AE24" si="11">+AB23*0.15</f>
        <v>141.72537301443751</v>
      </c>
      <c r="AC24" s="2">
        <f t="shared" si="11"/>
        <v>149.15039496902108</v>
      </c>
      <c r="AD24" s="2">
        <f t="shared" si="11"/>
        <v>156.90499729268919</v>
      </c>
      <c r="AE24" s="2">
        <f t="shared" si="11"/>
        <v>165.00332732048804</v>
      </c>
    </row>
    <row r="25" spans="2:103" s="2" customFormat="1" x14ac:dyDescent="0.2">
      <c r="B25" s="2" t="s">
        <v>21</v>
      </c>
      <c r="C25" s="6"/>
      <c r="D25" s="6"/>
      <c r="E25" s="6"/>
      <c r="F25" s="6"/>
      <c r="G25" s="6">
        <f t="shared" ref="G25:M25" si="12">+G23-G24</f>
        <v>79</v>
      </c>
      <c r="H25" s="6">
        <f t="shared" si="12"/>
        <v>46</v>
      </c>
      <c r="I25" s="6">
        <f t="shared" si="12"/>
        <v>133</v>
      </c>
      <c r="J25" s="6">
        <f t="shared" si="12"/>
        <v>437</v>
      </c>
      <c r="K25" s="6">
        <f t="shared" si="12"/>
        <v>126</v>
      </c>
      <c r="L25" s="6">
        <f t="shared" si="12"/>
        <v>139</v>
      </c>
      <c r="M25" s="6">
        <f t="shared" si="12"/>
        <v>139</v>
      </c>
      <c r="N25" s="6"/>
      <c r="O25" s="6"/>
      <c r="P25" s="2">
        <f t="shared" ref="P25:W25" si="13">+P23-P24</f>
        <v>628.2000000000005</v>
      </c>
      <c r="Q25" s="2">
        <f t="shared" si="13"/>
        <v>629.80000000000018</v>
      </c>
      <c r="R25" s="2">
        <f t="shared" si="13"/>
        <v>644.39999999999975</v>
      </c>
      <c r="S25" s="2">
        <f t="shared" si="13"/>
        <v>614.30000000000098</v>
      </c>
      <c r="T25" s="2">
        <f t="shared" si="13"/>
        <v>528</v>
      </c>
      <c r="U25" s="2">
        <f t="shared" si="13"/>
        <v>310</v>
      </c>
      <c r="V25" s="2">
        <f t="shared" si="13"/>
        <v>455</v>
      </c>
      <c r="W25" s="2">
        <f t="shared" si="13"/>
        <v>337</v>
      </c>
      <c r="X25" s="2">
        <f>+X23-X24</f>
        <v>695</v>
      </c>
      <c r="Y25" s="2">
        <f>+Y23-Y24</f>
        <v>719.93299999999999</v>
      </c>
      <c r="Z25" s="2">
        <f>+Z23-Z24</f>
        <v>744.64233000000002</v>
      </c>
      <c r="AA25" s="2">
        <f>+AA23-AA24</f>
        <v>762.82605232499998</v>
      </c>
      <c r="AB25" s="2">
        <f t="shared" ref="AB25:AE25" si="14">+AB23-AB24</f>
        <v>803.11044708181248</v>
      </c>
      <c r="AC25" s="2">
        <f t="shared" si="14"/>
        <v>845.18557149111962</v>
      </c>
      <c r="AD25" s="2">
        <f t="shared" si="14"/>
        <v>889.12831799190553</v>
      </c>
      <c r="AE25" s="2">
        <f t="shared" si="14"/>
        <v>935.01885481609884</v>
      </c>
      <c r="AF25" s="2">
        <f>+AE25*(1+$AB$35)</f>
        <v>925.66866626793785</v>
      </c>
      <c r="AG25" s="2">
        <f t="shared" ref="AG25:CR25" si="15">+AF25*(1+$AB$35)</f>
        <v>916.41197960525847</v>
      </c>
      <c r="AH25" s="2">
        <f t="shared" si="15"/>
        <v>907.24785980920592</v>
      </c>
      <c r="AI25" s="2">
        <f t="shared" si="15"/>
        <v>898.17538121111386</v>
      </c>
      <c r="AJ25" s="2">
        <f t="shared" si="15"/>
        <v>889.19362739900271</v>
      </c>
      <c r="AK25" s="2">
        <f t="shared" si="15"/>
        <v>880.30169112501267</v>
      </c>
      <c r="AL25" s="2">
        <f t="shared" si="15"/>
        <v>871.49867421376257</v>
      </c>
      <c r="AM25" s="2">
        <f t="shared" si="15"/>
        <v>862.78368747162494</v>
      </c>
      <c r="AN25" s="2">
        <f t="shared" si="15"/>
        <v>854.15585059690864</v>
      </c>
      <c r="AO25" s="2">
        <f t="shared" si="15"/>
        <v>845.61429209093956</v>
      </c>
      <c r="AP25" s="2">
        <f t="shared" si="15"/>
        <v>837.15814917003013</v>
      </c>
      <c r="AQ25" s="2">
        <f t="shared" si="15"/>
        <v>828.78656767832979</v>
      </c>
      <c r="AR25" s="2">
        <f t="shared" si="15"/>
        <v>820.49870200154646</v>
      </c>
      <c r="AS25" s="2">
        <f t="shared" si="15"/>
        <v>812.29371498153102</v>
      </c>
      <c r="AT25" s="2">
        <f t="shared" si="15"/>
        <v>804.17077783171567</v>
      </c>
      <c r="AU25" s="2">
        <f t="shared" si="15"/>
        <v>796.12907005339855</v>
      </c>
      <c r="AV25" s="2">
        <f t="shared" si="15"/>
        <v>788.16777935286461</v>
      </c>
      <c r="AW25" s="2">
        <f t="shared" si="15"/>
        <v>780.28610155933598</v>
      </c>
      <c r="AX25" s="2">
        <f t="shared" si="15"/>
        <v>772.48324054374257</v>
      </c>
      <c r="AY25" s="2">
        <f t="shared" si="15"/>
        <v>764.75840813830519</v>
      </c>
      <c r="AZ25" s="2">
        <f t="shared" si="15"/>
        <v>757.11082405692218</v>
      </c>
      <c r="BA25" s="2">
        <f t="shared" si="15"/>
        <v>749.53971581635301</v>
      </c>
      <c r="BB25" s="2">
        <f t="shared" si="15"/>
        <v>742.04431865818947</v>
      </c>
      <c r="BC25" s="2">
        <f t="shared" si="15"/>
        <v>734.62387547160756</v>
      </c>
      <c r="BD25" s="2">
        <f t="shared" si="15"/>
        <v>727.27763671689149</v>
      </c>
      <c r="BE25" s="2">
        <f t="shared" si="15"/>
        <v>720.00486034972255</v>
      </c>
      <c r="BF25" s="2">
        <f t="shared" si="15"/>
        <v>712.80481174622537</v>
      </c>
      <c r="BG25" s="2">
        <f t="shared" si="15"/>
        <v>705.67676362876307</v>
      </c>
      <c r="BH25" s="2">
        <f t="shared" si="15"/>
        <v>698.61999599247542</v>
      </c>
      <c r="BI25" s="2">
        <f t="shared" si="15"/>
        <v>691.63379603255066</v>
      </c>
      <c r="BJ25" s="2">
        <f t="shared" si="15"/>
        <v>684.7174580722251</v>
      </c>
      <c r="BK25" s="2">
        <f t="shared" si="15"/>
        <v>677.87028349150285</v>
      </c>
      <c r="BL25" s="2">
        <f t="shared" si="15"/>
        <v>671.09158065658778</v>
      </c>
      <c r="BM25" s="2">
        <f t="shared" si="15"/>
        <v>664.38066485002184</v>
      </c>
      <c r="BN25" s="2">
        <f t="shared" si="15"/>
        <v>657.73685820152161</v>
      </c>
      <c r="BO25" s="2">
        <f t="shared" si="15"/>
        <v>651.15948961950642</v>
      </c>
      <c r="BP25" s="2">
        <f t="shared" si="15"/>
        <v>644.64789472331131</v>
      </c>
      <c r="BQ25" s="2">
        <f t="shared" si="15"/>
        <v>638.20141577607819</v>
      </c>
      <c r="BR25" s="2">
        <f t="shared" si="15"/>
        <v>631.81940161831744</v>
      </c>
      <c r="BS25" s="2">
        <f t="shared" si="15"/>
        <v>625.50120760213429</v>
      </c>
      <c r="BT25" s="2">
        <f t="shared" si="15"/>
        <v>619.24619552611296</v>
      </c>
      <c r="BU25" s="2">
        <f t="shared" si="15"/>
        <v>613.05373357085182</v>
      </c>
      <c r="BV25" s="2">
        <f t="shared" si="15"/>
        <v>606.92319623514334</v>
      </c>
      <c r="BW25" s="2">
        <f t="shared" si="15"/>
        <v>600.85396427279193</v>
      </c>
      <c r="BX25" s="2">
        <f t="shared" si="15"/>
        <v>594.84542463006403</v>
      </c>
      <c r="BY25" s="2">
        <f t="shared" si="15"/>
        <v>588.89697038376335</v>
      </c>
      <c r="BZ25" s="2">
        <f t="shared" si="15"/>
        <v>583.00800067992566</v>
      </c>
      <c r="CA25" s="2">
        <f t="shared" si="15"/>
        <v>577.17792067312644</v>
      </c>
      <c r="CB25" s="2">
        <f t="shared" si="15"/>
        <v>571.40614146639518</v>
      </c>
      <c r="CC25" s="2">
        <f t="shared" si="15"/>
        <v>565.69208005173118</v>
      </c>
      <c r="CD25" s="2">
        <f t="shared" si="15"/>
        <v>560.03515925121383</v>
      </c>
      <c r="CE25" s="2">
        <f t="shared" si="15"/>
        <v>554.43480765870163</v>
      </c>
      <c r="CF25" s="2">
        <f t="shared" si="15"/>
        <v>548.89045958211466</v>
      </c>
      <c r="CG25" s="2">
        <f t="shared" si="15"/>
        <v>543.40155498629349</v>
      </c>
      <c r="CH25" s="2">
        <f t="shared" si="15"/>
        <v>537.96753943643057</v>
      </c>
      <c r="CI25" s="2">
        <f t="shared" si="15"/>
        <v>532.58786404206626</v>
      </c>
      <c r="CJ25" s="2">
        <f t="shared" si="15"/>
        <v>527.26198540164557</v>
      </c>
      <c r="CK25" s="2">
        <f t="shared" si="15"/>
        <v>521.98936554762906</v>
      </c>
      <c r="CL25" s="2">
        <f t="shared" si="15"/>
        <v>516.76947189215275</v>
      </c>
      <c r="CM25" s="2">
        <f t="shared" si="15"/>
        <v>511.6017771732312</v>
      </c>
      <c r="CN25" s="2">
        <f t="shared" si="15"/>
        <v>506.48575940149885</v>
      </c>
      <c r="CO25" s="2">
        <f t="shared" si="15"/>
        <v>501.42090180748386</v>
      </c>
      <c r="CP25" s="2">
        <f t="shared" si="15"/>
        <v>496.40669278940902</v>
      </c>
      <c r="CQ25" s="2">
        <f t="shared" si="15"/>
        <v>491.44262586151495</v>
      </c>
      <c r="CR25" s="2">
        <f t="shared" si="15"/>
        <v>486.5281996028998</v>
      </c>
      <c r="CS25" s="2">
        <f t="shared" ref="CS25:CY25" si="16">+CR25*(1+$AB$35)</f>
        <v>481.66291760687079</v>
      </c>
      <c r="CT25" s="2">
        <f t="shared" si="16"/>
        <v>476.84628843080208</v>
      </c>
      <c r="CU25" s="2">
        <f t="shared" si="16"/>
        <v>472.07782554649407</v>
      </c>
      <c r="CV25" s="2">
        <f t="shared" si="16"/>
        <v>467.35704729102912</v>
      </c>
      <c r="CW25" s="2">
        <f t="shared" si="16"/>
        <v>462.68347681811883</v>
      </c>
      <c r="CX25" s="2">
        <f t="shared" si="16"/>
        <v>458.05664204993764</v>
      </c>
      <c r="CY25" s="2">
        <f t="shared" si="16"/>
        <v>453.47607562943824</v>
      </c>
    </row>
    <row r="26" spans="2:103" x14ac:dyDescent="0.2">
      <c r="B26" t="s">
        <v>20</v>
      </c>
      <c r="G26" s="4">
        <f t="shared" ref="G26:M26" si="17">+G25/G27</f>
        <v>0.91541135573580534</v>
      </c>
      <c r="H26" s="4">
        <f t="shared" si="17"/>
        <v>0.53613053613053618</v>
      </c>
      <c r="I26" s="4">
        <f t="shared" si="17"/>
        <v>1.5647058823529412</v>
      </c>
      <c r="J26" s="4">
        <f t="shared" si="17"/>
        <v>5.1411764705882357</v>
      </c>
      <c r="K26" s="4">
        <f t="shared" si="17"/>
        <v>1.5180722891566265</v>
      </c>
      <c r="L26" s="4">
        <f t="shared" si="17"/>
        <v>1.713933415536375</v>
      </c>
      <c r="M26" s="4">
        <f t="shared" si="17"/>
        <v>1.7528373266078185</v>
      </c>
      <c r="P26" s="1">
        <f t="shared" ref="P26:AA26" si="18">+P25/P27</f>
        <v>7.1063348416289642</v>
      </c>
      <c r="Q26" s="1">
        <f t="shared" si="18"/>
        <v>7.1244343891402728</v>
      </c>
      <c r="R26" s="1">
        <f t="shared" si="18"/>
        <v>7.3477765108323796</v>
      </c>
      <c r="S26" s="1">
        <f t="shared" si="18"/>
        <v>7.0366552119129553</v>
      </c>
      <c r="T26" s="1">
        <f t="shared" si="18"/>
        <v>6.0411899313501136</v>
      </c>
      <c r="U26" s="1">
        <f t="shared" si="18"/>
        <v>3.5428571428571427</v>
      </c>
      <c r="V26" s="1">
        <f t="shared" si="18"/>
        <v>5.1881413911060434</v>
      </c>
      <c r="W26" s="1">
        <f t="shared" si="18"/>
        <v>3.8646788990825689</v>
      </c>
      <c r="X26" s="1">
        <f t="shared" si="18"/>
        <v>8.157276995305164</v>
      </c>
      <c r="Y26" s="1">
        <f t="shared" si="18"/>
        <v>8.449917840375587</v>
      </c>
      <c r="Z26" s="1">
        <f t="shared" si="18"/>
        <v>8.7399334507042248</v>
      </c>
      <c r="AA26" s="1">
        <f t="shared" si="18"/>
        <v>8.9533574216549283</v>
      </c>
      <c r="AB26" s="1">
        <f t="shared" ref="AB26" si="19">+AB25/AB27</f>
        <v>9.4261789563593013</v>
      </c>
      <c r="AC26" s="1">
        <f t="shared" ref="AC26" si="20">+AC25/AC27</f>
        <v>9.9200184447314506</v>
      </c>
      <c r="AD26" s="1">
        <f t="shared" ref="AD26" si="21">+AD25/AD27</f>
        <v>10.435778380186685</v>
      </c>
      <c r="AE26" s="1">
        <f t="shared" ref="AE26" si="22">+AE25/AE27</f>
        <v>10.974399704414305</v>
      </c>
    </row>
    <row r="27" spans="2:103" s="2" customFormat="1" x14ac:dyDescent="0.2">
      <c r="B27" s="2" t="s">
        <v>1</v>
      </c>
      <c r="C27" s="6"/>
      <c r="D27" s="6"/>
      <c r="E27" s="6"/>
      <c r="F27" s="6"/>
      <c r="G27" s="6">
        <v>86.3</v>
      </c>
      <c r="H27" s="6">
        <v>85.8</v>
      </c>
      <c r="I27" s="6">
        <v>85</v>
      </c>
      <c r="J27" s="6">
        <v>85</v>
      </c>
      <c r="K27" s="6">
        <v>83</v>
      </c>
      <c r="L27" s="6">
        <v>81.099999999999994</v>
      </c>
      <c r="M27" s="6">
        <v>79.3</v>
      </c>
      <c r="N27" s="6"/>
      <c r="O27" s="6"/>
      <c r="P27" s="2">
        <v>88.4</v>
      </c>
      <c r="Q27" s="2">
        <v>88.4</v>
      </c>
      <c r="R27" s="2">
        <v>87.7</v>
      </c>
      <c r="S27" s="2">
        <v>87.3</v>
      </c>
      <c r="T27" s="2">
        <v>87.4</v>
      </c>
      <c r="U27" s="2">
        <v>87.5</v>
      </c>
      <c r="V27" s="2">
        <v>87.7</v>
      </c>
      <c r="W27" s="2">
        <v>87.2</v>
      </c>
      <c r="X27" s="2">
        <v>85.2</v>
      </c>
      <c r="Y27" s="2">
        <f>+X27</f>
        <v>85.2</v>
      </c>
      <c r="Z27" s="2">
        <f>+Y27</f>
        <v>85.2</v>
      </c>
      <c r="AA27" s="2">
        <f>+Z27</f>
        <v>85.2</v>
      </c>
      <c r="AB27" s="2">
        <f t="shared" ref="AB27:AE27" si="23">+AA27</f>
        <v>85.2</v>
      </c>
      <c r="AC27" s="2">
        <f t="shared" si="23"/>
        <v>85.2</v>
      </c>
      <c r="AD27" s="2">
        <f t="shared" si="23"/>
        <v>85.2</v>
      </c>
      <c r="AE27" s="2">
        <f t="shared" si="23"/>
        <v>85.2</v>
      </c>
    </row>
    <row r="29" spans="2:103" s="9" customFormat="1" x14ac:dyDescent="0.2">
      <c r="B29" s="9" t="s">
        <v>37</v>
      </c>
      <c r="C29" s="10"/>
      <c r="D29" s="10"/>
      <c r="E29" s="10"/>
      <c r="F29" s="10"/>
      <c r="G29" s="10"/>
      <c r="H29" s="10"/>
      <c r="I29" s="10"/>
      <c r="J29" s="10"/>
      <c r="K29" s="10">
        <f>+K15/G15-1</f>
        <v>4.8937023666265622E-2</v>
      </c>
      <c r="L29" s="10">
        <f>+L15/H15-1</f>
        <v>-1.1385199240986688E-2</v>
      </c>
      <c r="M29" s="10">
        <f>+M15/I15-1</f>
        <v>-1.5793528505392951E-2</v>
      </c>
      <c r="N29" s="10">
        <f>+N15/J15-1</f>
        <v>-4.9073064340239947E-2</v>
      </c>
      <c r="O29" s="10"/>
      <c r="Q29" s="9">
        <f>Q15/P15-1</f>
        <v>9.8586634095271242E-2</v>
      </c>
      <c r="R29" s="9">
        <f>R15/Q15-1</f>
        <v>-0.1922649301143583</v>
      </c>
      <c r="S29" s="9">
        <f>S15/R15-1</f>
        <v>6.6537213646642446E-2</v>
      </c>
      <c r="T29" s="9">
        <f>T15/S15-1</f>
        <v>-1.5003111244267342E-2</v>
      </c>
      <c r="U29" s="9">
        <f>U15/T15-1</f>
        <v>-0.12880205896116048</v>
      </c>
      <c r="V29" s="9">
        <f t="shared" ref="V29:X29" si="24">V15/U15-1</f>
        <v>0.10514301060829867</v>
      </c>
      <c r="W29" s="9">
        <f t="shared" si="24"/>
        <v>7.4362089914945306E-2</v>
      </c>
      <c r="X29" s="9">
        <f t="shared" si="24"/>
        <v>0.18468672246098161</v>
      </c>
    </row>
    <row r="30" spans="2:103" x14ac:dyDescent="0.2">
      <c r="B30" s="2" t="s">
        <v>33</v>
      </c>
      <c r="P30" s="8">
        <f t="shared" ref="P30:Q30" si="25">+P17/P15</f>
        <v>0.20111019019368351</v>
      </c>
      <c r="Q30" s="8">
        <f t="shared" si="25"/>
        <v>0.20419710927573062</v>
      </c>
      <c r="R30" s="8">
        <f>+R17/R15</f>
        <v>0.20643250417854683</v>
      </c>
      <c r="S30" s="8">
        <f>+S17/S15</f>
        <v>0.19719527090871389</v>
      </c>
      <c r="T30" s="8">
        <f>+T17/T15</f>
        <v>0.18542349087505849</v>
      </c>
      <c r="U30" s="8">
        <f>+U17/U15</f>
        <v>0.16731569759634751</v>
      </c>
      <c r="V30" s="8">
        <f t="shared" ref="V30:X30" si="26">+V17/V15</f>
        <v>0.18359659781287971</v>
      </c>
      <c r="W30" s="8">
        <f t="shared" si="26"/>
        <v>0.15788283193847547</v>
      </c>
      <c r="X30" s="8">
        <f t="shared" si="26"/>
        <v>0.17384248210023867</v>
      </c>
    </row>
    <row r="31" spans="2:103" x14ac:dyDescent="0.2">
      <c r="B31" s="2"/>
      <c r="Q31" s="8"/>
      <c r="R31" s="8"/>
      <c r="S31" s="8"/>
      <c r="T31" s="8"/>
      <c r="U31" s="8"/>
      <c r="V31" s="8"/>
      <c r="W31" s="8"/>
      <c r="X31" s="8"/>
    </row>
    <row r="32" spans="2:103" x14ac:dyDescent="0.2">
      <c r="B32" s="2" t="s">
        <v>3</v>
      </c>
      <c r="Q32" s="8"/>
      <c r="R32" s="8"/>
      <c r="S32" s="8"/>
      <c r="T32" s="8"/>
      <c r="U32" s="8"/>
      <c r="V32" s="8"/>
      <c r="W32" s="8"/>
      <c r="X32" s="8"/>
      <c r="Y32">
        <v>-1300</v>
      </c>
      <c r="Z32" s="2">
        <f>+Y32+Z25</f>
        <v>-555.35766999999998</v>
      </c>
      <c r="AA32" s="2">
        <f t="shared" ref="AA32:AE32" si="27">+Z32+AA25</f>
        <v>207.46838232499999</v>
      </c>
      <c r="AB32" s="2">
        <f t="shared" si="27"/>
        <v>1010.5788294068125</v>
      </c>
      <c r="AC32" s="2">
        <f t="shared" si="27"/>
        <v>1855.7644008979321</v>
      </c>
      <c r="AD32" s="2">
        <f t="shared" si="27"/>
        <v>2744.8927188898379</v>
      </c>
      <c r="AE32" s="2">
        <f t="shared" si="27"/>
        <v>3679.9115737059365</v>
      </c>
    </row>
    <row r="33" spans="2:28" x14ac:dyDescent="0.2">
      <c r="B33" s="2"/>
      <c r="Q33" s="8"/>
      <c r="R33" s="8"/>
      <c r="S33" s="8"/>
      <c r="T33" s="8"/>
      <c r="U33" s="8"/>
      <c r="V33" s="8"/>
      <c r="W33" s="8"/>
      <c r="X33" s="8"/>
    </row>
    <row r="34" spans="2:28" x14ac:dyDescent="0.2">
      <c r="AA34" t="s">
        <v>41</v>
      </c>
      <c r="AB34" s="8">
        <v>0.05</v>
      </c>
    </row>
    <row r="35" spans="2:28" x14ac:dyDescent="0.2">
      <c r="B35" s="2" t="s">
        <v>34</v>
      </c>
      <c r="P35" s="2">
        <v>750.5</v>
      </c>
      <c r="Q35" s="2">
        <v>868.4</v>
      </c>
      <c r="R35" s="2">
        <v>590.6</v>
      </c>
      <c r="S35" s="2">
        <v>590.6</v>
      </c>
      <c r="T35">
        <v>641</v>
      </c>
      <c r="U35">
        <v>849</v>
      </c>
      <c r="V35">
        <v>754</v>
      </c>
      <c r="W35">
        <v>713</v>
      </c>
      <c r="X35">
        <v>982</v>
      </c>
      <c r="AA35" t="s">
        <v>38</v>
      </c>
      <c r="AB35" s="8">
        <v>-0.01</v>
      </c>
    </row>
    <row r="36" spans="2:28" x14ac:dyDescent="0.2">
      <c r="B36" t="s">
        <v>35</v>
      </c>
      <c r="P36" s="2">
        <v>465.8</v>
      </c>
      <c r="Q36" s="2">
        <v>506.8</v>
      </c>
      <c r="R36" s="2">
        <v>560</v>
      </c>
      <c r="S36" s="2">
        <v>560</v>
      </c>
      <c r="T36">
        <v>483</v>
      </c>
      <c r="U36">
        <v>344</v>
      </c>
      <c r="V36">
        <v>458</v>
      </c>
      <c r="W36">
        <v>585</v>
      </c>
      <c r="X36">
        <v>573</v>
      </c>
      <c r="AA36" t="s">
        <v>39</v>
      </c>
      <c r="AB36" s="8">
        <v>8.5000000000000006E-2</v>
      </c>
    </row>
    <row r="37" spans="2:28" x14ac:dyDescent="0.2">
      <c r="B37" s="2" t="s">
        <v>36</v>
      </c>
      <c r="P37" s="2">
        <f t="shared" ref="P37:Q37" si="28">+P35-P36</f>
        <v>284.7</v>
      </c>
      <c r="Q37" s="2">
        <f t="shared" si="28"/>
        <v>361.59999999999997</v>
      </c>
      <c r="R37" s="2">
        <f t="shared" ref="R37:X37" si="29">+R35-R36</f>
        <v>30.600000000000023</v>
      </c>
      <c r="S37" s="2">
        <f t="shared" si="29"/>
        <v>30.600000000000023</v>
      </c>
      <c r="T37">
        <f t="shared" si="29"/>
        <v>158</v>
      </c>
      <c r="U37">
        <f t="shared" si="29"/>
        <v>505</v>
      </c>
      <c r="V37">
        <f t="shared" si="29"/>
        <v>296</v>
      </c>
      <c r="W37">
        <f t="shared" si="29"/>
        <v>128</v>
      </c>
      <c r="X37">
        <f t="shared" si="29"/>
        <v>409</v>
      </c>
      <c r="AA37" t="s">
        <v>40</v>
      </c>
      <c r="AB37" s="2">
        <f>NPV(AB36,Z25:CY25)+Main!L5-Main!L6</f>
        <v>8006.6624996446862</v>
      </c>
    </row>
    <row r="38" spans="2:28" x14ac:dyDescent="0.2">
      <c r="AA38" t="s">
        <v>1</v>
      </c>
      <c r="AB38" s="1">
        <f>AB37/Main!L3</f>
        <v>101.99570063241639</v>
      </c>
    </row>
  </sheetData>
  <pageMargins left="0.7" right="0.7" top="0.75" bottom="0.75" header="0.3" footer="0.3"/>
  <pageSetup orientation="portrait" r:id="rId1"/>
  <ignoredErrors>
    <ignoredError sqref="J23 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2024-09-30T14:20:35Z</dcterms:created>
  <dcterms:modified xsi:type="dcterms:W3CDTF">2025-01-31T14:31:36Z</dcterms:modified>
</cp:coreProperties>
</file>