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51D6276F-C759-4365-B961-DB9913C84389}" xr6:coauthVersionLast="47" xr6:coauthVersionMax="47" xr10:uidLastSave="{00000000-0000-0000-0000-000000000000}"/>
  <bookViews>
    <workbookView xWindow="-120" yWindow="-120" windowWidth="29040" windowHeight="15840" activeTab="1" xr2:uid="{ABE4E937-AD49-4FDB-839C-B2EF8F19CE2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5" i="2" l="1"/>
  <c r="T35" i="2"/>
  <c r="S32" i="2"/>
  <c r="T32" i="2"/>
  <c r="R23" i="2"/>
  <c r="R22" i="2"/>
  <c r="S23" i="2"/>
  <c r="S22" i="2"/>
  <c r="T15" i="2"/>
  <c r="T8" i="2"/>
  <c r="T7" i="2"/>
  <c r="T5" i="2"/>
  <c r="T23" i="2" s="1"/>
  <c r="T4" i="2"/>
  <c r="N14" i="2"/>
  <c r="N16" i="2" s="1"/>
  <c r="N11" i="2"/>
  <c r="N10" i="2"/>
  <c r="N9" i="2"/>
  <c r="G23" i="2"/>
  <c r="G22" i="2"/>
  <c r="H23" i="2"/>
  <c r="H22" i="2"/>
  <c r="I23" i="2"/>
  <c r="I22" i="2"/>
  <c r="K23" i="2"/>
  <c r="K22" i="2"/>
  <c r="L23" i="2"/>
  <c r="L22" i="2"/>
  <c r="M23" i="2"/>
  <c r="M22" i="2"/>
  <c r="M11" i="2"/>
  <c r="M10" i="2"/>
  <c r="M9" i="2"/>
  <c r="M6" i="2"/>
  <c r="I6" i="1"/>
  <c r="V3" i="2"/>
  <c r="W3" i="2" s="1"/>
  <c r="X3" i="2" s="1"/>
  <c r="Y3" i="2" s="1"/>
  <c r="Z3" i="2" s="1"/>
  <c r="AA3" i="2" s="1"/>
  <c r="AB3" i="2" s="1"/>
  <c r="AC3" i="2" s="1"/>
  <c r="AD3" i="2" s="1"/>
  <c r="AE3" i="2" s="1"/>
  <c r="M20" i="2"/>
  <c r="T20" i="2" s="1"/>
  <c r="U20" i="2" s="1"/>
  <c r="V20" i="2" s="1"/>
  <c r="W20" i="2" s="1"/>
  <c r="X20" i="2" s="1"/>
  <c r="F20" i="2"/>
  <c r="F17" i="2"/>
  <c r="F15" i="2"/>
  <c r="F8" i="2"/>
  <c r="F7" i="2"/>
  <c r="F5" i="2"/>
  <c r="F4" i="2"/>
  <c r="C13" i="2"/>
  <c r="C11" i="2"/>
  <c r="C10" i="2"/>
  <c r="C9" i="2"/>
  <c r="C6" i="2"/>
  <c r="D13" i="2"/>
  <c r="D10" i="2"/>
  <c r="D11" i="2"/>
  <c r="D9" i="2"/>
  <c r="D6" i="2"/>
  <c r="J20" i="2"/>
  <c r="J17" i="2"/>
  <c r="J15" i="2"/>
  <c r="J8" i="2"/>
  <c r="J7" i="2"/>
  <c r="J5" i="2"/>
  <c r="N23" i="2" s="1"/>
  <c r="J4" i="2"/>
  <c r="N6" i="2" s="1"/>
  <c r="N26" i="2" s="1"/>
  <c r="E13" i="2"/>
  <c r="E11" i="2"/>
  <c r="E10" i="2"/>
  <c r="E9" i="2"/>
  <c r="E6" i="2"/>
  <c r="I11" i="2"/>
  <c r="I10" i="2"/>
  <c r="I9" i="2"/>
  <c r="I6" i="2"/>
  <c r="G13" i="2"/>
  <c r="G10" i="2"/>
  <c r="G11" i="2"/>
  <c r="G9" i="2"/>
  <c r="G6" i="2"/>
  <c r="K13" i="2"/>
  <c r="K11" i="2"/>
  <c r="K10" i="2"/>
  <c r="K9" i="2"/>
  <c r="K6" i="2"/>
  <c r="H13" i="2"/>
  <c r="H10" i="2"/>
  <c r="H11" i="2"/>
  <c r="H9" i="2"/>
  <c r="H6" i="2"/>
  <c r="L13" i="2"/>
  <c r="L11" i="2"/>
  <c r="L10" i="2"/>
  <c r="L9" i="2"/>
  <c r="L6" i="2"/>
  <c r="Q13" i="2"/>
  <c r="R13" i="2"/>
  <c r="S13" i="2"/>
  <c r="R11" i="2"/>
  <c r="Q11" i="2"/>
  <c r="S11" i="2"/>
  <c r="Q10" i="2"/>
  <c r="R10" i="2"/>
  <c r="S10" i="2"/>
  <c r="S9" i="2"/>
  <c r="R9" i="2"/>
  <c r="Q9" i="2"/>
  <c r="S6" i="2"/>
  <c r="R6" i="2"/>
  <c r="Q6" i="2"/>
  <c r="I4" i="1"/>
  <c r="I7" i="1" s="1"/>
  <c r="T9" i="2" l="1"/>
  <c r="T10" i="2"/>
  <c r="T6" i="2"/>
  <c r="U4" i="2"/>
  <c r="U22" i="2" s="1"/>
  <c r="T11" i="2"/>
  <c r="U5" i="2"/>
  <c r="U6" i="2" s="1"/>
  <c r="U13" i="2" s="1"/>
  <c r="T13" i="2"/>
  <c r="V4" i="2"/>
  <c r="N12" i="2"/>
  <c r="N27" i="2" s="1"/>
  <c r="T12" i="2"/>
  <c r="T22" i="2"/>
  <c r="N22" i="2"/>
  <c r="F9" i="2"/>
  <c r="M24" i="2"/>
  <c r="F11" i="2"/>
  <c r="T24" i="2"/>
  <c r="J10" i="2"/>
  <c r="J23" i="2"/>
  <c r="J22" i="2"/>
  <c r="M12" i="2"/>
  <c r="M14" i="2" s="1"/>
  <c r="M26" i="2" s="1"/>
  <c r="H12" i="2"/>
  <c r="H27" i="2" s="1"/>
  <c r="I12" i="2"/>
  <c r="I14" i="2" s="1"/>
  <c r="I26" i="2" s="1"/>
  <c r="F6" i="2"/>
  <c r="G24" i="2"/>
  <c r="F13" i="2"/>
  <c r="J11" i="2"/>
  <c r="J9" i="2"/>
  <c r="U15" i="2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F10" i="2"/>
  <c r="I24" i="2"/>
  <c r="H24" i="2"/>
  <c r="C12" i="2"/>
  <c r="C27" i="2" s="1"/>
  <c r="D12" i="2"/>
  <c r="J13" i="2"/>
  <c r="K24" i="2"/>
  <c r="J6" i="2"/>
  <c r="N24" i="2" s="1"/>
  <c r="E12" i="2"/>
  <c r="E27" i="2" s="1"/>
  <c r="L12" i="2"/>
  <c r="L27" i="2" s="1"/>
  <c r="L24" i="2"/>
  <c r="G12" i="2"/>
  <c r="K12" i="2"/>
  <c r="Q12" i="2"/>
  <c r="R12" i="2"/>
  <c r="R24" i="2"/>
  <c r="S24" i="2"/>
  <c r="S12" i="2"/>
  <c r="V5" i="2" l="1"/>
  <c r="U23" i="2"/>
  <c r="W4" i="2"/>
  <c r="V6" i="2"/>
  <c r="V13" i="2" s="1"/>
  <c r="V22" i="2"/>
  <c r="M16" i="2"/>
  <c r="M18" i="2" s="1"/>
  <c r="M19" i="2" s="1"/>
  <c r="F12" i="2"/>
  <c r="F14" i="2" s="1"/>
  <c r="I16" i="2"/>
  <c r="I18" i="2" s="1"/>
  <c r="I19" i="2" s="1"/>
  <c r="U12" i="2"/>
  <c r="I27" i="2"/>
  <c r="H14" i="2"/>
  <c r="H26" i="2" s="1"/>
  <c r="M27" i="2"/>
  <c r="T27" i="2"/>
  <c r="L14" i="2"/>
  <c r="L26" i="2" s="1"/>
  <c r="T17" i="2"/>
  <c r="C14" i="2"/>
  <c r="D14" i="2"/>
  <c r="D27" i="2"/>
  <c r="J24" i="2"/>
  <c r="J12" i="2"/>
  <c r="E14" i="2"/>
  <c r="K14" i="2"/>
  <c r="K26" i="2" s="1"/>
  <c r="K27" i="2"/>
  <c r="G14" i="2"/>
  <c r="G26" i="2" s="1"/>
  <c r="G27" i="2"/>
  <c r="S27" i="2"/>
  <c r="S14" i="2"/>
  <c r="S26" i="2" s="1"/>
  <c r="R27" i="2"/>
  <c r="R14" i="2"/>
  <c r="R26" i="2" s="1"/>
  <c r="Q27" i="2"/>
  <c r="Q14" i="2"/>
  <c r="F16" i="2" l="1"/>
  <c r="F18" i="2" s="1"/>
  <c r="F19" i="2" s="1"/>
  <c r="F26" i="2"/>
  <c r="E16" i="2"/>
  <c r="E18" i="2" s="1"/>
  <c r="E19" i="2" s="1"/>
  <c r="E26" i="2"/>
  <c r="D16" i="2"/>
  <c r="D18" i="2" s="1"/>
  <c r="D19" i="2" s="1"/>
  <c r="D26" i="2"/>
  <c r="C16" i="2"/>
  <c r="C18" i="2" s="1"/>
  <c r="C19" i="2" s="1"/>
  <c r="C26" i="2"/>
  <c r="Q16" i="2"/>
  <c r="Q18" i="2" s="1"/>
  <c r="Q19" i="2" s="1"/>
  <c r="Q26" i="2"/>
  <c r="F27" i="2"/>
  <c r="W5" i="2"/>
  <c r="W6" i="2" s="1"/>
  <c r="W13" i="2" s="1"/>
  <c r="V23" i="2"/>
  <c r="X4" i="2"/>
  <c r="W22" i="2"/>
  <c r="L16" i="2"/>
  <c r="L18" i="2" s="1"/>
  <c r="L19" i="2" s="1"/>
  <c r="R16" i="2"/>
  <c r="R18" i="2" s="1"/>
  <c r="R19" i="2" s="1"/>
  <c r="U24" i="2"/>
  <c r="H16" i="2"/>
  <c r="H18" i="2" s="1"/>
  <c r="H19" i="2" s="1"/>
  <c r="G16" i="2"/>
  <c r="G18" i="2" s="1"/>
  <c r="G19" i="2" s="1"/>
  <c r="S16" i="2"/>
  <c r="S18" i="2" s="1"/>
  <c r="S19" i="2" s="1"/>
  <c r="V12" i="2"/>
  <c r="V14" i="2" s="1"/>
  <c r="V26" i="2" s="1"/>
  <c r="K16" i="2"/>
  <c r="K18" i="2" s="1"/>
  <c r="K19" i="2" s="1"/>
  <c r="T14" i="2"/>
  <c r="T26" i="2" s="1"/>
  <c r="N18" i="2"/>
  <c r="N19" i="2" s="1"/>
  <c r="U14" i="2"/>
  <c r="U26" i="2" s="1"/>
  <c r="U9" i="2"/>
  <c r="V24" i="2"/>
  <c r="J27" i="2"/>
  <c r="J14" i="2"/>
  <c r="J26" i="2" s="1"/>
  <c r="T16" i="2" l="1"/>
  <c r="T18" i="2" s="1"/>
  <c r="W23" i="2"/>
  <c r="X5" i="2"/>
  <c r="V16" i="2"/>
  <c r="V17" i="2" s="1"/>
  <c r="U16" i="2"/>
  <c r="U17" i="2" s="1"/>
  <c r="U18" i="2" s="1"/>
  <c r="Y4" i="2"/>
  <c r="X6" i="2"/>
  <c r="X13" i="2" s="1"/>
  <c r="X22" i="2"/>
  <c r="W12" i="2"/>
  <c r="W14" i="2" s="1"/>
  <c r="W26" i="2" s="1"/>
  <c r="J16" i="2"/>
  <c r="J18" i="2" s="1"/>
  <c r="J19" i="2" s="1"/>
  <c r="T19" i="2"/>
  <c r="V9" i="2"/>
  <c r="W24" i="2"/>
  <c r="Y5" i="2" l="1"/>
  <c r="X23" i="2"/>
  <c r="W16" i="2"/>
  <c r="W17" i="2" s="1"/>
  <c r="Z4" i="2"/>
  <c r="Y22" i="2"/>
  <c r="Y6" i="2"/>
  <c r="V18" i="2"/>
  <c r="X12" i="2"/>
  <c r="X14" i="2" s="1"/>
  <c r="X26" i="2" s="1"/>
  <c r="V19" i="2"/>
  <c r="U19" i="2"/>
  <c r="X24" i="2"/>
  <c r="W9" i="2"/>
  <c r="Y23" i="2" l="1"/>
  <c r="Z5" i="2"/>
  <c r="X16" i="2"/>
  <c r="X17" i="2" s="1"/>
  <c r="Y24" i="2"/>
  <c r="Y12" i="2"/>
  <c r="Y13" i="2"/>
  <c r="Z22" i="2"/>
  <c r="AA4" i="2"/>
  <c r="Z6" i="2"/>
  <c r="W18" i="2"/>
  <c r="W19" i="2" s="1"/>
  <c r="X9" i="2"/>
  <c r="Y14" i="2" l="1"/>
  <c r="Y26" i="2" s="1"/>
  <c r="Z23" i="2"/>
  <c r="AA5" i="2"/>
  <c r="Y16" i="2"/>
  <c r="Z12" i="2"/>
  <c r="Z9" i="2" s="1"/>
  <c r="Z13" i="2"/>
  <c r="Z24" i="2"/>
  <c r="AA22" i="2"/>
  <c r="AA6" i="2"/>
  <c r="AB4" i="2"/>
  <c r="Y9" i="2"/>
  <c r="X18" i="2"/>
  <c r="X19" i="2" s="1"/>
  <c r="AB5" i="2" l="1"/>
  <c r="AA23" i="2"/>
  <c r="AB6" i="2"/>
  <c r="AB22" i="2"/>
  <c r="AC4" i="2"/>
  <c r="Z14" i="2"/>
  <c r="Z26" i="2" s="1"/>
  <c r="Y17" i="2"/>
  <c r="Y18" i="2" s="1"/>
  <c r="AA12" i="2"/>
  <c r="AA13" i="2"/>
  <c r="AA9" i="2"/>
  <c r="AA24" i="2"/>
  <c r="AA14" i="2" l="1"/>
  <c r="AA26" i="2" s="1"/>
  <c r="AC5" i="2"/>
  <c r="AB23" i="2"/>
  <c r="AA16" i="2"/>
  <c r="Z16" i="2"/>
  <c r="AD4" i="2"/>
  <c r="AC22" i="2"/>
  <c r="AC6" i="2"/>
  <c r="AB12" i="2"/>
  <c r="AB13" i="2"/>
  <c r="AB24" i="2"/>
  <c r="AB14" i="2" l="1"/>
  <c r="AB26" i="2" s="1"/>
  <c r="AB9" i="2"/>
  <c r="AC23" i="2"/>
  <c r="AD5" i="2"/>
  <c r="AC13" i="2"/>
  <c r="AC24" i="2"/>
  <c r="AC12" i="2"/>
  <c r="AC14" i="2" s="1"/>
  <c r="AC26" i="2" s="1"/>
  <c r="AE4" i="2"/>
  <c r="AD22" i="2"/>
  <c r="AD6" i="2"/>
  <c r="Z17" i="2"/>
  <c r="Z18" i="2" s="1"/>
  <c r="AB16" i="2"/>
  <c r="AA17" i="2"/>
  <c r="AA18" i="2" s="1"/>
  <c r="AD23" i="2" l="1"/>
  <c r="AE5" i="2"/>
  <c r="AE23" i="2" s="1"/>
  <c r="AE22" i="2"/>
  <c r="AE6" i="2"/>
  <c r="AC16" i="2"/>
  <c r="AC9" i="2"/>
  <c r="AB17" i="2"/>
  <c r="AB18" i="2" s="1"/>
  <c r="AD13" i="2"/>
  <c r="AD24" i="2"/>
  <c r="AD12" i="2"/>
  <c r="AD14" i="2" s="1"/>
  <c r="AD26" i="2" s="1"/>
  <c r="AD16" i="2" l="1"/>
  <c r="AD9" i="2"/>
  <c r="AE13" i="2"/>
  <c r="AE24" i="2"/>
  <c r="AE12" i="2"/>
  <c r="AE14" i="2" s="1"/>
  <c r="AE26" i="2" s="1"/>
  <c r="AC17" i="2"/>
  <c r="AC18" i="2" s="1"/>
  <c r="AE16" i="2" l="1"/>
  <c r="AE9" i="2"/>
  <c r="AD17" i="2"/>
  <c r="AD18" i="2" s="1"/>
  <c r="AE17" i="2" l="1"/>
  <c r="AE18" i="2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AE32" i="2" s="1"/>
</calcChain>
</file>

<file path=xl/sharedStrings.xml><?xml version="1.0" encoding="utf-8"?>
<sst xmlns="http://schemas.openxmlformats.org/spreadsheetml/2006/main" count="57" uniqueCount="53">
  <si>
    <t>Price</t>
  </si>
  <si>
    <t>Shares</t>
  </si>
  <si>
    <t>MC</t>
  </si>
  <si>
    <t>Cash</t>
  </si>
  <si>
    <t>Debt</t>
  </si>
  <si>
    <t>EV</t>
  </si>
  <si>
    <t>Q123</t>
  </si>
  <si>
    <t>Q423</t>
  </si>
  <si>
    <t>Main</t>
  </si>
  <si>
    <t>Revenue</t>
  </si>
  <si>
    <t>Revenue y/y</t>
  </si>
  <si>
    <t>Product</t>
  </si>
  <si>
    <t>Services</t>
  </si>
  <si>
    <t>CoP</t>
  </si>
  <si>
    <t>CoS</t>
  </si>
  <si>
    <t>COGS</t>
  </si>
  <si>
    <t>Product GM</t>
  </si>
  <si>
    <t>Services GM</t>
  </si>
  <si>
    <t>Gross Margin</t>
  </si>
  <si>
    <t>Gross Margin %</t>
  </si>
  <si>
    <t>SG&amp;A</t>
  </si>
  <si>
    <t>Operating Income</t>
  </si>
  <si>
    <t>Interest</t>
  </si>
  <si>
    <t>Pretax Income</t>
  </si>
  <si>
    <t>Taxes</t>
  </si>
  <si>
    <t>Net Income</t>
  </si>
  <si>
    <t>EPS</t>
  </si>
  <si>
    <t>Q223</t>
  </si>
  <si>
    <t>Q323</t>
  </si>
  <si>
    <t>Q124</t>
  </si>
  <si>
    <t>Q224</t>
  </si>
  <si>
    <t>Q324</t>
  </si>
  <si>
    <t>Q424</t>
  </si>
  <si>
    <t>Q422</t>
  </si>
  <si>
    <t>Q322</t>
  </si>
  <si>
    <t>Q222</t>
  </si>
  <si>
    <t>Q122</t>
  </si>
  <si>
    <t>Discount</t>
  </si>
  <si>
    <t>Power</t>
  </si>
  <si>
    <t>Cooling/Airflow</t>
  </si>
  <si>
    <t xml:space="preserve">Change </t>
  </si>
  <si>
    <t xml:space="preserve">Product y/y </t>
  </si>
  <si>
    <t xml:space="preserve">Services y/y </t>
  </si>
  <si>
    <t>terminal</t>
  </si>
  <si>
    <t>$ (in millions)</t>
  </si>
  <si>
    <t>CFFO</t>
  </si>
  <si>
    <t>CFFI</t>
  </si>
  <si>
    <t>CapEx</t>
  </si>
  <si>
    <t xml:space="preserve">FCF </t>
  </si>
  <si>
    <t>CFFF</t>
  </si>
  <si>
    <t xml:space="preserve">FX </t>
  </si>
  <si>
    <t xml:space="preserve">NPV </t>
  </si>
  <si>
    <t>Operating income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</si>
</sst>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0.00000000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8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2" applyFont="1" applyAlignment="1">
      <alignment horizontal="right"/>
    </xf>
    <xf numFmtId="9" fontId="0" fillId="0" borderId="0" xfId="2" applyFont="1"/>
    <xf numFmtId="9" fontId="3" fillId="0" borderId="0" xfId="2" applyFont="1"/>
    <xf numFmtId="14" fontId="0" fillId="0" borderId="0" xfId="0" applyNumberFormat="1" applyAlignment="1">
      <alignment horizontal="right"/>
    </xf>
    <xf numFmtId="0" fontId="0" fillId="0" borderId="0" xfId="0" applyFont="1"/>
    <xf numFmtId="9" fontId="0" fillId="0" borderId="0" xfId="0" applyNumberFormat="1" applyFont="1"/>
    <xf numFmtId="3" fontId="0" fillId="0" borderId="0" xfId="2" applyNumberFormat="1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BCF31A06-8FAD-4EB4-87F1-8ABC88D345F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14914</xdr:colOff>
      <xdr:row>0</xdr:row>
      <xdr:rowOff>99391</xdr:rowOff>
    </xdr:from>
    <xdr:to>
      <xdr:col>14</xdr:col>
      <xdr:colOff>14914</xdr:colOff>
      <xdr:row>27</xdr:row>
      <xdr:rowOff>121039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C30943E-0504-71E3-B02F-2DBFA8AC036F}"/>
            </a:ext>
          </a:extLst>
        </xdr:cNvPr>
        <xdr:cNvCxnSpPr/>
      </xdr:nvCxnSpPr>
      <xdr:spPr>
        <a:xfrm>
          <a:off x="9009827" y="99391"/>
          <a:ext cx="0" cy="465990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3534</xdr:colOff>
      <xdr:row>0</xdr:row>
      <xdr:rowOff>160720</xdr:rowOff>
    </xdr:from>
    <xdr:to>
      <xdr:col>20</xdr:col>
      <xdr:colOff>3534</xdr:colOff>
      <xdr:row>28</xdr:row>
      <xdr:rowOff>16716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A6D96E7-1483-4356-9906-6D6E280218CB}"/>
            </a:ext>
          </a:extLst>
        </xdr:cNvPr>
        <xdr:cNvCxnSpPr/>
      </xdr:nvCxnSpPr>
      <xdr:spPr>
        <a:xfrm>
          <a:off x="12675925" y="160720"/>
          <a:ext cx="0" cy="465990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DA52C-F755-4436-B83F-418D13AF57A5}">
  <dimension ref="B2:J7"/>
  <sheetViews>
    <sheetView zoomScale="175" zoomScaleNormal="175" workbookViewId="0">
      <selection activeCell="I2" sqref="I2"/>
    </sheetView>
  </sheetViews>
  <sheetFormatPr defaultRowHeight="12.75" x14ac:dyDescent="0.2"/>
  <cols>
    <col min="2" max="2" width="13.140625" customWidth="1"/>
    <col min="4" max="4" width="16.7109375" customWidth="1"/>
    <col min="6" max="6" width="22" customWidth="1"/>
  </cols>
  <sheetData>
    <row r="2" spans="2:10" x14ac:dyDescent="0.2">
      <c r="B2" t="s">
        <v>38</v>
      </c>
      <c r="H2" t="s">
        <v>0</v>
      </c>
      <c r="I2" s="1">
        <v>108</v>
      </c>
    </row>
    <row r="3" spans="2:10" x14ac:dyDescent="0.2">
      <c r="B3" t="s">
        <v>39</v>
      </c>
      <c r="H3" t="s">
        <v>1</v>
      </c>
      <c r="I3" s="2">
        <v>375.33599199999998</v>
      </c>
      <c r="J3" s="6" t="s">
        <v>32</v>
      </c>
    </row>
    <row r="4" spans="2:10" x14ac:dyDescent="0.2">
      <c r="F4" s="5"/>
      <c r="H4" t="s">
        <v>2</v>
      </c>
      <c r="I4" s="2">
        <f>+I2*I3</f>
        <v>40536.287135999999</v>
      </c>
      <c r="J4" s="6"/>
    </row>
    <row r="5" spans="2:10" x14ac:dyDescent="0.2">
      <c r="H5" t="s">
        <v>3</v>
      </c>
      <c r="I5" s="2">
        <v>908.7</v>
      </c>
      <c r="J5" s="6" t="s">
        <v>32</v>
      </c>
    </row>
    <row r="6" spans="2:10" x14ac:dyDescent="0.2">
      <c r="H6" t="s">
        <v>4</v>
      </c>
      <c r="I6" s="2">
        <f>21.2+2909</f>
        <v>2930.2</v>
      </c>
      <c r="J6" s="6" t="s">
        <v>32</v>
      </c>
    </row>
    <row r="7" spans="2:10" x14ac:dyDescent="0.2">
      <c r="D7" s="4"/>
      <c r="H7" t="s">
        <v>5</v>
      </c>
      <c r="I7" s="2">
        <f>+I4-I5+I6</f>
        <v>42557.787135999999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694A-20C0-424F-9BB7-5AD086B4E12F}">
  <dimension ref="A1:XFD35"/>
  <sheetViews>
    <sheetView tabSelected="1" zoomScale="115" zoomScaleNormal="115"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AH25" sqref="AH25"/>
    </sheetView>
  </sheetViews>
  <sheetFormatPr defaultRowHeight="12.75" x14ac:dyDescent="0.2"/>
  <cols>
    <col min="1" max="1" width="5" bestFit="1" customWidth="1"/>
    <col min="2" max="2" width="19.5703125" bestFit="1" customWidth="1"/>
    <col min="3" max="14" width="9.140625" style="6"/>
    <col min="20" max="20" width="9.140625" style="6"/>
    <col min="21" max="24" width="9.28515625" bestFit="1" customWidth="1"/>
    <col min="25" max="26" width="10.140625" bestFit="1" customWidth="1"/>
    <col min="27" max="27" width="11.140625" bestFit="1" customWidth="1"/>
  </cols>
  <sheetData>
    <row r="1" spans="1:31 16384:16384" x14ac:dyDescent="0.2">
      <c r="A1" s="7" t="s">
        <v>8</v>
      </c>
    </row>
    <row r="2" spans="1:31 16384:16384" x14ac:dyDescent="0.2">
      <c r="B2" t="s">
        <v>44</v>
      </c>
      <c r="N2" s="16">
        <v>45700</v>
      </c>
      <c r="T2" s="16">
        <v>45700</v>
      </c>
    </row>
    <row r="3" spans="1:31 16384:16384" x14ac:dyDescent="0.2">
      <c r="C3" s="6" t="s">
        <v>36</v>
      </c>
      <c r="D3" s="6" t="s">
        <v>35</v>
      </c>
      <c r="E3" s="6" t="s">
        <v>34</v>
      </c>
      <c r="F3" s="6" t="s">
        <v>33</v>
      </c>
      <c r="G3" s="6" t="s">
        <v>6</v>
      </c>
      <c r="H3" s="6" t="s">
        <v>27</v>
      </c>
      <c r="I3" s="6" t="s">
        <v>28</v>
      </c>
      <c r="J3" s="6" t="s">
        <v>7</v>
      </c>
      <c r="K3" s="6" t="s">
        <v>29</v>
      </c>
      <c r="L3" s="6" t="s">
        <v>30</v>
      </c>
      <c r="M3" s="6" t="s">
        <v>31</v>
      </c>
      <c r="N3" s="6" t="s">
        <v>32</v>
      </c>
      <c r="Q3">
        <v>2021</v>
      </c>
      <c r="R3">
        <v>2022</v>
      </c>
      <c r="S3">
        <v>2023</v>
      </c>
      <c r="T3" s="6">
        <v>2024</v>
      </c>
      <c r="U3">
        <v>2025</v>
      </c>
      <c r="V3">
        <f>+U3+1</f>
        <v>2026</v>
      </c>
      <c r="W3">
        <f t="shared" ref="W3:AE3" si="0">+V3+1</f>
        <v>2027</v>
      </c>
      <c r="X3">
        <f t="shared" si="0"/>
        <v>2028</v>
      </c>
      <c r="Y3">
        <f t="shared" si="0"/>
        <v>2029</v>
      </c>
      <c r="Z3">
        <f t="shared" si="0"/>
        <v>2030</v>
      </c>
      <c r="AA3">
        <f t="shared" si="0"/>
        <v>2031</v>
      </c>
      <c r="AB3">
        <f t="shared" si="0"/>
        <v>2032</v>
      </c>
      <c r="AC3">
        <f t="shared" si="0"/>
        <v>2033</v>
      </c>
      <c r="AD3">
        <f t="shared" si="0"/>
        <v>2034</v>
      </c>
      <c r="AE3">
        <f t="shared" si="0"/>
        <v>2035</v>
      </c>
    </row>
    <row r="4" spans="1:31 16384:16384" s="2" customFormat="1" x14ac:dyDescent="0.2">
      <c r="B4" s="2" t="s">
        <v>11</v>
      </c>
      <c r="C4" s="10">
        <v>849.4</v>
      </c>
      <c r="D4" s="10">
        <v>1055</v>
      </c>
      <c r="E4" s="10">
        <v>1135.4000000000001</v>
      </c>
      <c r="F4" s="10">
        <f>R4-E4-D4-C4</f>
        <v>1295.5</v>
      </c>
      <c r="G4" s="10">
        <v>1186.5</v>
      </c>
      <c r="H4" s="10">
        <v>1360.4</v>
      </c>
      <c r="I4" s="10">
        <v>1381.3</v>
      </c>
      <c r="J4" s="10">
        <f>+S4-I4-H4-G4</f>
        <v>1477.9</v>
      </c>
      <c r="K4" s="10">
        <v>1270.3</v>
      </c>
      <c r="L4" s="10">
        <v>1555.2</v>
      </c>
      <c r="M4" s="10">
        <v>1653.7</v>
      </c>
      <c r="N4" s="10">
        <v>1914.3</v>
      </c>
      <c r="Q4" s="2">
        <v>3694.6</v>
      </c>
      <c r="R4" s="2">
        <v>4335.3</v>
      </c>
      <c r="S4" s="2">
        <v>5406.1</v>
      </c>
      <c r="T4" s="10">
        <f>+SUM(K4:N4)</f>
        <v>6393.5</v>
      </c>
      <c r="U4" s="2">
        <f>+T4*1.15</f>
        <v>7352.5249999999996</v>
      </c>
      <c r="V4" s="2">
        <f t="shared" ref="V4:Z4" si="1">+U4*1.15</f>
        <v>8455.4037499999995</v>
      </c>
      <c r="W4" s="2">
        <f t="shared" si="1"/>
        <v>9723.7143124999984</v>
      </c>
      <c r="X4" s="2">
        <f t="shared" si="1"/>
        <v>11182.271459374997</v>
      </c>
      <c r="Y4" s="2">
        <f t="shared" si="1"/>
        <v>12859.612178281246</v>
      </c>
      <c r="Z4" s="2">
        <f t="shared" si="1"/>
        <v>14788.554005023432</v>
      </c>
      <c r="AA4" s="2">
        <f>+Z4*0.94</f>
        <v>13901.240764722026</v>
      </c>
      <c r="AB4" s="2">
        <f t="shared" ref="AB4:AE4" si="2">+AA4*0.94</f>
        <v>13067.166318838705</v>
      </c>
      <c r="AC4" s="2">
        <f t="shared" si="2"/>
        <v>12283.136339708382</v>
      </c>
      <c r="AD4" s="2">
        <f t="shared" si="2"/>
        <v>11546.14815932588</v>
      </c>
      <c r="AE4" s="2">
        <f t="shared" si="2"/>
        <v>10853.379269766327</v>
      </c>
    </row>
    <row r="5" spans="1:31 16384:16384" s="2" customFormat="1" x14ac:dyDescent="0.2">
      <c r="B5" s="2" t="s">
        <v>12</v>
      </c>
      <c r="C5" s="10">
        <v>307</v>
      </c>
      <c r="D5" s="10">
        <v>344.4</v>
      </c>
      <c r="E5" s="10">
        <v>345.7</v>
      </c>
      <c r="F5" s="10">
        <f>R5-E5-D5-C5</f>
        <v>359.1</v>
      </c>
      <c r="G5" s="10">
        <v>334.6</v>
      </c>
      <c r="H5" s="10">
        <v>373.7</v>
      </c>
      <c r="I5" s="10">
        <v>361.3</v>
      </c>
      <c r="J5" s="10">
        <f>+S5-I5-H5-G5</f>
        <v>387.49999999999989</v>
      </c>
      <c r="K5" s="10">
        <v>368.8</v>
      </c>
      <c r="L5" s="10">
        <v>397.6</v>
      </c>
      <c r="M5" s="10">
        <v>419.8</v>
      </c>
      <c r="N5" s="10">
        <v>432.1</v>
      </c>
      <c r="Q5" s="2">
        <v>1303.5</v>
      </c>
      <c r="R5" s="2">
        <v>1356.2</v>
      </c>
      <c r="S5" s="2">
        <v>1457.1</v>
      </c>
      <c r="T5" s="10">
        <f>+SUM(K5:N5)</f>
        <v>1618.3000000000002</v>
      </c>
      <c r="U5" s="2">
        <f>+T5*1.15</f>
        <v>1861.0450000000001</v>
      </c>
      <c r="V5" s="2">
        <f t="shared" ref="V5:Z5" si="3">+U5*1.15</f>
        <v>2140.2017499999997</v>
      </c>
      <c r="W5" s="2">
        <f t="shared" si="3"/>
        <v>2461.2320124999997</v>
      </c>
      <c r="X5" s="2">
        <f t="shared" si="3"/>
        <v>2830.4168143749994</v>
      </c>
      <c r="Y5" s="2">
        <f t="shared" si="3"/>
        <v>3254.9793365312489</v>
      </c>
      <c r="Z5" s="2">
        <f t="shared" si="3"/>
        <v>3743.2262370109361</v>
      </c>
      <c r="AA5" s="2">
        <f>+Z5*0.94</f>
        <v>3518.6326627902799</v>
      </c>
      <c r="AB5" s="2">
        <f t="shared" ref="AB5:AE5" si="4">+AA5*0.94</f>
        <v>3307.5147030228632</v>
      </c>
      <c r="AC5" s="2">
        <f t="shared" si="4"/>
        <v>3109.0638208414912</v>
      </c>
      <c r="AD5" s="2">
        <f t="shared" si="4"/>
        <v>2922.5199915910016</v>
      </c>
      <c r="AE5" s="2">
        <f t="shared" si="4"/>
        <v>2747.1687920955414</v>
      </c>
    </row>
    <row r="6" spans="1:31 16384:16384" s="8" customFormat="1" x14ac:dyDescent="0.2">
      <c r="B6" s="8" t="s">
        <v>9</v>
      </c>
      <c r="C6" s="11">
        <f t="shared" ref="C6:I6" si="5">+C4+C5</f>
        <v>1156.4000000000001</v>
      </c>
      <c r="D6" s="11">
        <f t="shared" si="5"/>
        <v>1399.4</v>
      </c>
      <c r="E6" s="11">
        <f t="shared" si="5"/>
        <v>1481.1000000000001</v>
      </c>
      <c r="F6" s="11">
        <f t="shared" si="5"/>
        <v>1654.6</v>
      </c>
      <c r="G6" s="11">
        <f t="shared" si="5"/>
        <v>1521.1</v>
      </c>
      <c r="H6" s="11">
        <f t="shared" si="5"/>
        <v>1734.1000000000001</v>
      </c>
      <c r="I6" s="11">
        <f t="shared" si="5"/>
        <v>1742.6</v>
      </c>
      <c r="J6" s="11">
        <f>+S6-I6-H6-G6</f>
        <v>1865.4</v>
      </c>
      <c r="K6" s="11">
        <f>+K4+K5</f>
        <v>1639.1</v>
      </c>
      <c r="L6" s="11">
        <f>+L4+L5</f>
        <v>1952.8000000000002</v>
      </c>
      <c r="M6" s="11">
        <f>+M4+M5</f>
        <v>2073.5</v>
      </c>
      <c r="N6" s="11">
        <f>+N4+N5</f>
        <v>2346.4</v>
      </c>
      <c r="P6" s="9"/>
      <c r="Q6" s="9">
        <f>+Q4+Q5</f>
        <v>4998.1000000000004</v>
      </c>
      <c r="R6" s="9">
        <f>+R4+R5</f>
        <v>5691.5</v>
      </c>
      <c r="S6" s="9">
        <f>+S4+S5</f>
        <v>6863.2000000000007</v>
      </c>
      <c r="T6" s="9">
        <f>+T4+T5</f>
        <v>8011.8</v>
      </c>
      <c r="U6" s="9">
        <f>+U4+U5</f>
        <v>9213.57</v>
      </c>
      <c r="V6" s="9">
        <f t="shared" ref="V6:AE6" si="6">+V4+V5</f>
        <v>10595.6055</v>
      </c>
      <c r="W6" s="9">
        <f t="shared" si="6"/>
        <v>12184.946324999997</v>
      </c>
      <c r="X6" s="9">
        <f t="shared" si="6"/>
        <v>14012.688273749996</v>
      </c>
      <c r="Y6" s="9">
        <f t="shared" si="6"/>
        <v>16114.591514812495</v>
      </c>
      <c r="Z6" s="9">
        <f t="shared" si="6"/>
        <v>18531.780242034369</v>
      </c>
      <c r="AA6" s="9">
        <f t="shared" si="6"/>
        <v>17419.873427512306</v>
      </c>
      <c r="AB6" s="9">
        <f t="shared" si="6"/>
        <v>16374.681021861568</v>
      </c>
      <c r="AC6" s="9">
        <f t="shared" si="6"/>
        <v>15392.200160549874</v>
      </c>
      <c r="AD6" s="9">
        <f t="shared" si="6"/>
        <v>14468.668150916881</v>
      </c>
      <c r="AE6" s="9">
        <f t="shared" si="6"/>
        <v>13600.548061861868</v>
      </c>
    </row>
    <row r="7" spans="1:31 16384:16384" x14ac:dyDescent="0.2">
      <c r="B7" t="s">
        <v>13</v>
      </c>
      <c r="C7" s="10">
        <v>655.8</v>
      </c>
      <c r="D7" s="10">
        <v>807.4</v>
      </c>
      <c r="E7" s="10">
        <v>838.5</v>
      </c>
      <c r="F7" s="10">
        <f t="shared" ref="F7:F8" si="7">R7-E7-D7-C7</f>
        <v>917.39999999999986</v>
      </c>
      <c r="G7" s="10">
        <v>819.5</v>
      </c>
      <c r="H7" s="10">
        <v>912.9</v>
      </c>
      <c r="I7" s="10">
        <v>894.2</v>
      </c>
      <c r="J7" s="10">
        <f>+S7-I7-H7-G7</f>
        <v>949.09999999999991</v>
      </c>
      <c r="K7" s="10">
        <v>846.3</v>
      </c>
      <c r="L7" s="10">
        <v>981</v>
      </c>
      <c r="M7" s="6">
        <v>1066.3</v>
      </c>
      <c r="N7" s="6">
        <v>1223.8</v>
      </c>
      <c r="P7" s="2"/>
      <c r="Q7" s="2">
        <v>2699.7</v>
      </c>
      <c r="R7" s="2">
        <v>3219.1</v>
      </c>
      <c r="S7" s="2">
        <v>3575.7</v>
      </c>
      <c r="T7" s="10">
        <f>+SUM(K7:N7)</f>
        <v>4117.3999999999996</v>
      </c>
    </row>
    <row r="8" spans="1:31 16384:16384" x14ac:dyDescent="0.2">
      <c r="B8" t="s">
        <v>14</v>
      </c>
      <c r="C8" s="10">
        <v>197</v>
      </c>
      <c r="D8" s="10">
        <v>220.5</v>
      </c>
      <c r="E8" s="10">
        <v>213.3</v>
      </c>
      <c r="F8" s="10">
        <f t="shared" si="7"/>
        <v>225.5</v>
      </c>
      <c r="G8" s="10">
        <v>206.1</v>
      </c>
      <c r="H8" s="10">
        <v>227.2</v>
      </c>
      <c r="I8" s="10">
        <v>220.8</v>
      </c>
      <c r="J8" s="10">
        <f>+S8-I8-H8-G8</f>
        <v>232.90000000000006</v>
      </c>
      <c r="K8" s="10">
        <v>226.4</v>
      </c>
      <c r="L8" s="10">
        <v>230.6</v>
      </c>
      <c r="M8" s="6">
        <v>250.8</v>
      </c>
      <c r="N8" s="6">
        <v>252.4</v>
      </c>
      <c r="P8" s="2"/>
      <c r="Q8" s="2">
        <v>775.7</v>
      </c>
      <c r="R8" s="2">
        <v>856.3</v>
      </c>
      <c r="S8" s="2">
        <v>887</v>
      </c>
      <c r="T8" s="10">
        <f>+SUM(K8:N8)</f>
        <v>960.19999999999993</v>
      </c>
    </row>
    <row r="9" spans="1:31 16384:16384" x14ac:dyDescent="0.2">
      <c r="B9" t="s">
        <v>15</v>
      </c>
      <c r="C9" s="10">
        <f>+C7+C8</f>
        <v>852.8</v>
      </c>
      <c r="D9" s="10">
        <f>+D7+D8</f>
        <v>1027.9000000000001</v>
      </c>
      <c r="E9" s="10">
        <f>+E7+E8</f>
        <v>1051.8</v>
      </c>
      <c r="F9" s="10">
        <f t="shared" ref="F9" si="8">+F7+F8</f>
        <v>1142.8999999999999</v>
      </c>
      <c r="G9" s="10">
        <f t="shared" ref="G9:L9" si="9">+G7+G8</f>
        <v>1025.5999999999999</v>
      </c>
      <c r="H9" s="10">
        <f t="shared" si="9"/>
        <v>1140.0999999999999</v>
      </c>
      <c r="I9" s="10">
        <f t="shared" si="9"/>
        <v>1115</v>
      </c>
      <c r="J9" s="10">
        <f t="shared" si="9"/>
        <v>1182</v>
      </c>
      <c r="K9" s="10">
        <f t="shared" si="9"/>
        <v>1072.7</v>
      </c>
      <c r="L9" s="10">
        <f t="shared" si="9"/>
        <v>1211.5999999999999</v>
      </c>
      <c r="M9" s="10">
        <f>+M7+M8</f>
        <v>1317.1</v>
      </c>
      <c r="N9" s="10">
        <f>+N7+N8</f>
        <v>1476.2</v>
      </c>
      <c r="P9" s="2"/>
      <c r="Q9" s="2">
        <f>+Q7+Q8</f>
        <v>3475.3999999999996</v>
      </c>
      <c r="R9" s="2">
        <f>+R7+R8</f>
        <v>4075.3999999999996</v>
      </c>
      <c r="S9" s="2">
        <f>+S7+S8</f>
        <v>4462.7</v>
      </c>
      <c r="T9" s="2">
        <f>+T7+T8</f>
        <v>5077.5999999999995</v>
      </c>
      <c r="U9" s="2">
        <f>+U6-U12</f>
        <v>5712.4133999999995</v>
      </c>
      <c r="V9" s="2">
        <f>+V6-V12</f>
        <v>6569.2754100000002</v>
      </c>
      <c r="W9" s="2">
        <f>+W6-W12</f>
        <v>7432.8172582499983</v>
      </c>
      <c r="X9" s="2">
        <f>+X6-X12</f>
        <v>8547.739846987497</v>
      </c>
      <c r="Y9" s="2">
        <f>+Y6-Y12</f>
        <v>9829.9008240356216</v>
      </c>
      <c r="Z9" s="2">
        <f>+Z6-Z12</f>
        <v>11304.385947640963</v>
      </c>
      <c r="AA9" s="2">
        <f>+AA6-AA12</f>
        <v>10626.122790782507</v>
      </c>
      <c r="AB9" s="2">
        <f>+AB6-AB12</f>
        <v>9988.555423335556</v>
      </c>
      <c r="AC9" s="2">
        <f>+AC6-AC12</f>
        <v>9389.2420979354229</v>
      </c>
      <c r="AD9" s="2">
        <f>+AD6-AD12</f>
        <v>8825.8875720592969</v>
      </c>
      <c r="AE9" s="2">
        <f>+AE6-AE12</f>
        <v>8296.3343177357383</v>
      </c>
      <c r="XFD9" s="2"/>
    </row>
    <row r="10" spans="1:31 16384:16384" x14ac:dyDescent="0.2">
      <c r="B10" t="s">
        <v>16</v>
      </c>
      <c r="C10" s="2">
        <f>+C4-C7</f>
        <v>193.60000000000002</v>
      </c>
      <c r="D10" s="2">
        <f>+D4-D7</f>
        <v>247.60000000000002</v>
      </c>
      <c r="E10" s="2">
        <f>+E4-E7</f>
        <v>296.90000000000009</v>
      </c>
      <c r="F10" s="2">
        <f t="shared" ref="F10" si="10">+F4-F7</f>
        <v>378.10000000000014</v>
      </c>
      <c r="G10" s="2">
        <f t="shared" ref="G10:L10" si="11">+G4-G7</f>
        <v>367</v>
      </c>
      <c r="H10" s="2">
        <f t="shared" si="11"/>
        <v>447.50000000000011</v>
      </c>
      <c r="I10" s="2">
        <f t="shared" si="11"/>
        <v>487.09999999999991</v>
      </c>
      <c r="J10" s="2">
        <f t="shared" si="11"/>
        <v>528.80000000000018</v>
      </c>
      <c r="K10" s="2">
        <f t="shared" si="11"/>
        <v>424</v>
      </c>
      <c r="L10" s="2">
        <f t="shared" si="11"/>
        <v>574.20000000000005</v>
      </c>
      <c r="M10" s="6">
        <f>+M4-M7</f>
        <v>587.40000000000009</v>
      </c>
      <c r="N10" s="6">
        <f>+N4-N7</f>
        <v>690.5</v>
      </c>
      <c r="P10" s="2"/>
      <c r="Q10" s="2">
        <f>+Q4-Q7</f>
        <v>994.90000000000009</v>
      </c>
      <c r="R10" s="2">
        <f>+R4-R7</f>
        <v>1116.2000000000003</v>
      </c>
      <c r="S10" s="2">
        <f>+S4-S7</f>
        <v>1830.4000000000005</v>
      </c>
      <c r="T10" s="10">
        <f>+SUM(K10:N10)</f>
        <v>2276.1000000000004</v>
      </c>
    </row>
    <row r="11" spans="1:31 16384:16384" x14ac:dyDescent="0.2">
      <c r="B11" t="s">
        <v>17</v>
      </c>
      <c r="C11" s="2">
        <f t="shared" ref="C11:D11" si="12">+C5-C8</f>
        <v>110</v>
      </c>
      <c r="D11" s="2">
        <f t="shared" si="12"/>
        <v>123.89999999999998</v>
      </c>
      <c r="E11" s="2">
        <f t="shared" ref="E11:F11" si="13">+E5-E8</f>
        <v>132.39999999999998</v>
      </c>
      <c r="F11" s="2">
        <f t="shared" si="13"/>
        <v>133.60000000000002</v>
      </c>
      <c r="G11" s="2">
        <f t="shared" ref="G11:H11" si="14">+G5-G8</f>
        <v>128.50000000000003</v>
      </c>
      <c r="H11" s="2">
        <f t="shared" si="14"/>
        <v>146.5</v>
      </c>
      <c r="I11" s="2">
        <f t="shared" ref="I11:J11" si="15">+I5-I8</f>
        <v>140.5</v>
      </c>
      <c r="J11" s="2">
        <f t="shared" si="15"/>
        <v>154.59999999999982</v>
      </c>
      <c r="K11" s="2">
        <f t="shared" ref="K11:L11" si="16">+K5-K8</f>
        <v>142.4</v>
      </c>
      <c r="L11" s="2">
        <f t="shared" si="16"/>
        <v>167.00000000000003</v>
      </c>
      <c r="M11" s="6">
        <f>+M5-M8</f>
        <v>169</v>
      </c>
      <c r="N11" s="6">
        <f>+N5-N8</f>
        <v>179.70000000000002</v>
      </c>
      <c r="P11" s="2"/>
      <c r="Q11" s="2">
        <f t="shared" ref="Q11:R11" si="17">+Q5-Q8</f>
        <v>527.79999999999995</v>
      </c>
      <c r="R11" s="2">
        <f t="shared" si="17"/>
        <v>499.90000000000009</v>
      </c>
      <c r="S11" s="2">
        <f>+S5-S8</f>
        <v>570.09999999999991</v>
      </c>
      <c r="T11" s="10">
        <f>+SUM(K11:N11)</f>
        <v>658.1</v>
      </c>
    </row>
    <row r="12" spans="1:31 16384:16384" s="17" customFormat="1" x14ac:dyDescent="0.2">
      <c r="B12" s="17" t="s">
        <v>18</v>
      </c>
      <c r="C12" s="20">
        <f>+C6-C9</f>
        <v>303.60000000000014</v>
      </c>
      <c r="D12" s="20">
        <f>+D6-D9</f>
        <v>371.5</v>
      </c>
      <c r="E12" s="20">
        <f>+E6-E9</f>
        <v>429.30000000000018</v>
      </c>
      <c r="F12" s="20">
        <f t="shared" ref="F12" si="18">+F6-F9</f>
        <v>511.70000000000005</v>
      </c>
      <c r="G12" s="20">
        <f t="shared" ref="G12:L12" si="19">+G6-G9</f>
        <v>495.5</v>
      </c>
      <c r="H12" s="20">
        <f t="shared" si="19"/>
        <v>594.00000000000023</v>
      </c>
      <c r="I12" s="20">
        <f t="shared" si="19"/>
        <v>627.59999999999991</v>
      </c>
      <c r="J12" s="20">
        <f t="shared" si="19"/>
        <v>683.40000000000009</v>
      </c>
      <c r="K12" s="20">
        <f t="shared" si="19"/>
        <v>566.39999999999986</v>
      </c>
      <c r="L12" s="20">
        <f t="shared" si="19"/>
        <v>741.20000000000027</v>
      </c>
      <c r="M12" s="21">
        <f>+M6-M9</f>
        <v>756.40000000000009</v>
      </c>
      <c r="N12" s="21">
        <f>+N6-N9</f>
        <v>870.2</v>
      </c>
      <c r="P12" s="20"/>
      <c r="Q12" s="20">
        <f t="shared" ref="Q12:R12" si="20">+Q6-Q9</f>
        <v>1522.7000000000007</v>
      </c>
      <c r="R12" s="20">
        <f t="shared" si="20"/>
        <v>1616.1000000000004</v>
      </c>
      <c r="S12" s="20">
        <f>+S6-S9</f>
        <v>2400.5000000000009</v>
      </c>
      <c r="T12" s="20">
        <f>+T6-T9</f>
        <v>2934.2000000000007</v>
      </c>
      <c r="U12" s="20">
        <f>+U6*U27</f>
        <v>3501.1565999999998</v>
      </c>
      <c r="V12" s="20">
        <f>+V6*V27</f>
        <v>4026.3300899999999</v>
      </c>
      <c r="W12" s="20">
        <f>+W6*W27</f>
        <v>4752.1290667499989</v>
      </c>
      <c r="X12" s="20">
        <f>+X6*X27</f>
        <v>5464.9484267624985</v>
      </c>
      <c r="Y12" s="20">
        <f>+Y6*Y27</f>
        <v>6284.6906907768735</v>
      </c>
      <c r="Z12" s="20">
        <f>+Z6*Z27</f>
        <v>7227.3942943934044</v>
      </c>
      <c r="AA12" s="20">
        <f>+AA6*AA27</f>
        <v>6793.7506367297992</v>
      </c>
      <c r="AB12" s="20">
        <f>+AB6*AB27</f>
        <v>6386.1255985260123</v>
      </c>
      <c r="AC12" s="20">
        <f>+AC6*AC27</f>
        <v>6002.9580626144507</v>
      </c>
      <c r="AD12" s="20">
        <f>+AD6*AD27</f>
        <v>5642.7805788575843</v>
      </c>
      <c r="AE12" s="20">
        <f>+AE6*AE27</f>
        <v>5304.2137441261284</v>
      </c>
    </row>
    <row r="13" spans="1:31 16384:16384" x14ac:dyDescent="0.2">
      <c r="B13" t="s">
        <v>20</v>
      </c>
      <c r="C13" s="2">
        <f>292.2-0.6</f>
        <v>291.59999999999997</v>
      </c>
      <c r="D13" s="2">
        <f>287.6-1.8</f>
        <v>285.8</v>
      </c>
      <c r="E13" s="2">
        <f>295.2+1.2</f>
        <v>296.39999999999998</v>
      </c>
      <c r="F13" s="10">
        <f t="shared" ref="F13" si="21">R13-E13-D13-C13</f>
        <v>298.7</v>
      </c>
      <c r="G13" s="2">
        <f>308.7-4.9</f>
        <v>303.8</v>
      </c>
      <c r="H13" s="2">
        <f>327.6-1.4</f>
        <v>326.20000000000005</v>
      </c>
      <c r="I13" s="2">
        <v>327.2</v>
      </c>
      <c r="J13" s="10">
        <f>+S13-I13-H13-G13</f>
        <v>345.19999999999976</v>
      </c>
      <c r="K13" s="2">
        <f>314+0.03</f>
        <v>314.02999999999997</v>
      </c>
      <c r="L13" s="2">
        <f>363.8-2.1</f>
        <v>361.7</v>
      </c>
      <c r="M13" s="10">
        <v>334.6</v>
      </c>
      <c r="N13" s="10">
        <v>361.6</v>
      </c>
      <c r="P13" s="2"/>
      <c r="Q13" s="2">
        <f>1109-3.8</f>
        <v>1105.2</v>
      </c>
      <c r="R13" s="2">
        <f>1178.3-5.8</f>
        <v>1172.5</v>
      </c>
      <c r="S13" s="2">
        <f>1312.3-9.9</f>
        <v>1302.3999999999999</v>
      </c>
      <c r="T13" s="10">
        <f>+SUM(K13:N13)</f>
        <v>1371.93</v>
      </c>
      <c r="U13" s="2">
        <f>+U6*0.16</f>
        <v>1474.1712</v>
      </c>
      <c r="V13" s="2">
        <f>+V6*0.16</f>
        <v>1695.2968799999999</v>
      </c>
      <c r="W13" s="2">
        <f>+W6*0.16</f>
        <v>1949.5914119999995</v>
      </c>
      <c r="X13" s="2">
        <f>+X6*0.16</f>
        <v>2242.0301237999993</v>
      </c>
      <c r="Y13" s="2">
        <f>+Y6*0.16</f>
        <v>2578.3346423699991</v>
      </c>
      <c r="Z13" s="2">
        <f>+Z6*0.16</f>
        <v>2965.0848387254991</v>
      </c>
      <c r="AA13" s="2">
        <f>+AA6*0.16</f>
        <v>2787.1797484019689</v>
      </c>
      <c r="AB13" s="2">
        <f>+AB6*0.16</f>
        <v>2619.9489634978509</v>
      </c>
      <c r="AC13" s="2">
        <f>+AC6*0.16</f>
        <v>2462.7520256879798</v>
      </c>
      <c r="AD13" s="2">
        <f>+AD6*0.16</f>
        <v>2314.9869041467009</v>
      </c>
      <c r="AE13" s="2">
        <f>+AE6*0.16</f>
        <v>2176.0876898978991</v>
      </c>
    </row>
    <row r="14" spans="1:31 16384:16384" x14ac:dyDescent="0.2">
      <c r="B14" t="s">
        <v>21</v>
      </c>
      <c r="C14" s="2">
        <f>C12-C13</f>
        <v>12.000000000000171</v>
      </c>
      <c r="D14" s="2">
        <f>D12-D13</f>
        <v>85.699999999999989</v>
      </c>
      <c r="E14" s="2">
        <f>E12-E13</f>
        <v>132.9000000000002</v>
      </c>
      <c r="F14" s="2">
        <f t="shared" ref="F14" si="22">F12-F13</f>
        <v>213.00000000000006</v>
      </c>
      <c r="G14" s="2">
        <f t="shared" ref="G14:M14" si="23">G12-G13</f>
        <v>191.7</v>
      </c>
      <c r="H14" s="2">
        <f t="shared" si="23"/>
        <v>267.80000000000018</v>
      </c>
      <c r="I14" s="2">
        <f t="shared" si="23"/>
        <v>300.39999999999992</v>
      </c>
      <c r="J14" s="2">
        <f t="shared" si="23"/>
        <v>338.20000000000033</v>
      </c>
      <c r="K14" s="2">
        <f t="shared" si="23"/>
        <v>252.36999999999989</v>
      </c>
      <c r="L14" s="2">
        <f t="shared" si="23"/>
        <v>379.50000000000028</v>
      </c>
      <c r="M14" s="2">
        <f t="shared" si="23"/>
        <v>421.80000000000007</v>
      </c>
      <c r="N14" s="2">
        <f>+N13</f>
        <v>361.6</v>
      </c>
      <c r="P14" s="2"/>
      <c r="Q14" s="2">
        <f t="shared" ref="Q14:AE14" si="24">Q12-Q13</f>
        <v>417.50000000000068</v>
      </c>
      <c r="R14" s="2">
        <f t="shared" si="24"/>
        <v>443.60000000000036</v>
      </c>
      <c r="S14" s="2">
        <f t="shared" si="24"/>
        <v>1098.100000000001</v>
      </c>
      <c r="T14" s="10">
        <f>+SUM(K14:N14)</f>
        <v>1415.27</v>
      </c>
      <c r="U14" s="2">
        <f t="shared" si="24"/>
        <v>2026.9853999999998</v>
      </c>
      <c r="V14" s="2">
        <f t="shared" si="24"/>
        <v>2331.0332100000001</v>
      </c>
      <c r="W14" s="2">
        <f t="shared" si="24"/>
        <v>2802.5376547499991</v>
      </c>
      <c r="X14" s="2">
        <f t="shared" si="24"/>
        <v>3222.9183029624992</v>
      </c>
      <c r="Y14" s="2">
        <f t="shared" si="24"/>
        <v>3706.3560484068744</v>
      </c>
      <c r="Z14" s="2">
        <f t="shared" si="24"/>
        <v>4262.3094556679052</v>
      </c>
      <c r="AA14" s="2">
        <f t="shared" si="24"/>
        <v>4006.5708883278303</v>
      </c>
      <c r="AB14" s="2">
        <f t="shared" si="24"/>
        <v>3766.1766350281614</v>
      </c>
      <c r="AC14" s="2">
        <f t="shared" si="24"/>
        <v>3540.2060369264709</v>
      </c>
      <c r="AD14" s="2">
        <f t="shared" si="24"/>
        <v>3327.7936747108834</v>
      </c>
      <c r="AE14" s="2">
        <f t="shared" si="24"/>
        <v>3128.1260542282293</v>
      </c>
    </row>
    <row r="15" spans="1:31 16384:16384" x14ac:dyDescent="0.2">
      <c r="B15" t="s">
        <v>22</v>
      </c>
      <c r="C15" s="2">
        <v>-29.3</v>
      </c>
      <c r="D15" s="2">
        <v>-33.4</v>
      </c>
      <c r="E15" s="2">
        <v>-38.799999999999997</v>
      </c>
      <c r="F15" s="10">
        <f t="shared" ref="F15" si="25">R15-E15-D15-C15</f>
        <v>-45.800000000000026</v>
      </c>
      <c r="G15" s="2">
        <v>-46.8</v>
      </c>
      <c r="H15" s="2">
        <v>-46.9</v>
      </c>
      <c r="I15" s="2">
        <v>-43.5</v>
      </c>
      <c r="J15" s="10">
        <f>+S15-I15-H15-G15</f>
        <v>46.6</v>
      </c>
      <c r="K15" s="2">
        <v>-39</v>
      </c>
      <c r="L15" s="2">
        <v>-44.8</v>
      </c>
      <c r="M15" s="10">
        <v>35.9</v>
      </c>
      <c r="N15" s="10">
        <v>30.7</v>
      </c>
      <c r="P15" s="2"/>
      <c r="Q15" s="2">
        <v>-180.1</v>
      </c>
      <c r="R15" s="2">
        <v>-147.30000000000001</v>
      </c>
      <c r="S15" s="2">
        <v>-90.6</v>
      </c>
      <c r="T15" s="10">
        <f>+SUM(K15:N15)</f>
        <v>-17.2</v>
      </c>
      <c r="U15" s="2">
        <f>+T15+30</f>
        <v>12.8</v>
      </c>
      <c r="V15" s="2">
        <f>+U15+30</f>
        <v>42.8</v>
      </c>
      <c r="W15" s="2">
        <f>+V15+30</f>
        <v>72.8</v>
      </c>
      <c r="X15" s="2">
        <f>+W15+30</f>
        <v>102.8</v>
      </c>
      <c r="Y15" s="2">
        <f>+X15+30</f>
        <v>132.80000000000001</v>
      </c>
      <c r="Z15" s="2">
        <f>+Y15+30</f>
        <v>162.80000000000001</v>
      </c>
      <c r="AA15" s="2">
        <f>+Z15+30</f>
        <v>192.8</v>
      </c>
      <c r="AB15" s="2">
        <f>+AA15+30</f>
        <v>222.8</v>
      </c>
      <c r="AC15" s="2">
        <f>+AB15+30</f>
        <v>252.8</v>
      </c>
      <c r="AD15" s="2">
        <f>+AC15+30</f>
        <v>282.8</v>
      </c>
      <c r="AE15" s="2">
        <f>+AD15+30</f>
        <v>312.8</v>
      </c>
    </row>
    <row r="16" spans="1:31 16384:16384" x14ac:dyDescent="0.2">
      <c r="B16" t="s">
        <v>23</v>
      </c>
      <c r="C16" s="2">
        <f>+C14+C15</f>
        <v>-17.29999999999983</v>
      </c>
      <c r="D16" s="2">
        <f>+D14+D15</f>
        <v>52.29999999999999</v>
      </c>
      <c r="E16" s="2">
        <f>+E14+E15</f>
        <v>94.100000000000207</v>
      </c>
      <c r="F16" s="2">
        <f t="shared" ref="F16" si="26">+F14+F15</f>
        <v>167.20000000000005</v>
      </c>
      <c r="G16" s="2">
        <f t="shared" ref="G16:N16" si="27">+G14+G15</f>
        <v>144.89999999999998</v>
      </c>
      <c r="H16" s="2">
        <f t="shared" si="27"/>
        <v>220.90000000000018</v>
      </c>
      <c r="I16" s="2">
        <f t="shared" si="27"/>
        <v>256.89999999999992</v>
      </c>
      <c r="J16" s="2">
        <f t="shared" si="27"/>
        <v>384.80000000000035</v>
      </c>
      <c r="K16" s="2">
        <f t="shared" si="27"/>
        <v>213.36999999999989</v>
      </c>
      <c r="L16" s="2">
        <f t="shared" si="27"/>
        <v>334.70000000000027</v>
      </c>
      <c r="M16" s="2">
        <f t="shared" si="27"/>
        <v>457.70000000000005</v>
      </c>
      <c r="N16" s="2">
        <f t="shared" si="27"/>
        <v>392.3</v>
      </c>
      <c r="P16" s="2"/>
      <c r="Q16" s="2">
        <f t="shared" ref="Q16:AE16" si="28">+Q14+Q15</f>
        <v>237.40000000000069</v>
      </c>
      <c r="R16" s="2">
        <f t="shared" si="28"/>
        <v>296.30000000000035</v>
      </c>
      <c r="S16" s="2">
        <f t="shared" si="28"/>
        <v>1007.500000000001</v>
      </c>
      <c r="T16" s="2">
        <f t="shared" si="28"/>
        <v>1398.07</v>
      </c>
      <c r="U16" s="2">
        <f t="shared" si="28"/>
        <v>2039.7853999999998</v>
      </c>
      <c r="V16" s="2">
        <f t="shared" si="28"/>
        <v>2373.8332100000002</v>
      </c>
      <c r="W16" s="2">
        <f t="shared" si="28"/>
        <v>2875.3376547499993</v>
      </c>
      <c r="X16" s="2">
        <f t="shared" si="28"/>
        <v>3325.7183029624994</v>
      </c>
      <c r="Y16" s="2">
        <f t="shared" si="28"/>
        <v>3839.1560484068746</v>
      </c>
      <c r="Z16" s="2">
        <f t="shared" si="28"/>
        <v>4425.1094556679054</v>
      </c>
      <c r="AA16" s="2">
        <f t="shared" si="28"/>
        <v>4199.3708883278305</v>
      </c>
      <c r="AB16" s="2">
        <f t="shared" si="28"/>
        <v>3988.9766350281616</v>
      </c>
      <c r="AC16" s="2">
        <f t="shared" si="28"/>
        <v>3793.0060369264711</v>
      </c>
      <c r="AD16" s="2">
        <f t="shared" si="28"/>
        <v>3610.5936747108835</v>
      </c>
      <c r="AE16" s="2">
        <f t="shared" si="28"/>
        <v>3440.9260542282295</v>
      </c>
    </row>
    <row r="17" spans="2:132" x14ac:dyDescent="0.2">
      <c r="B17" t="s">
        <v>24</v>
      </c>
      <c r="C17" s="2">
        <v>11.9</v>
      </c>
      <c r="D17" s="2">
        <v>11.4</v>
      </c>
      <c r="E17" s="2">
        <v>10.199999999999999</v>
      </c>
      <c r="F17" s="10">
        <f t="shared" ref="F17" si="29">R17-E17-D17-C17</f>
        <v>56.9</v>
      </c>
      <c r="G17" s="2">
        <v>37.4</v>
      </c>
      <c r="H17" s="2">
        <v>29.7</v>
      </c>
      <c r="I17" s="2">
        <v>51.7</v>
      </c>
      <c r="J17" s="10">
        <f>+S17-I17-H17-G17</f>
        <v>-45.3</v>
      </c>
      <c r="K17" s="2">
        <v>0</v>
      </c>
      <c r="L17" s="2">
        <v>86.6</v>
      </c>
      <c r="M17" s="10">
        <v>91.9</v>
      </c>
      <c r="N17" s="10">
        <v>98.2</v>
      </c>
      <c r="P17" s="2"/>
      <c r="Q17" s="2">
        <v>46.6</v>
      </c>
      <c r="R17" s="2">
        <v>90.4</v>
      </c>
      <c r="S17" s="2">
        <v>73.5</v>
      </c>
      <c r="T17" s="10">
        <f>SUM(K17:N17)</f>
        <v>276.7</v>
      </c>
      <c r="U17" s="2">
        <f>+U16*0.15</f>
        <v>305.96780999999993</v>
      </c>
      <c r="V17" s="2">
        <f>+V16*0.15</f>
        <v>356.07498150000004</v>
      </c>
      <c r="W17" s="2">
        <f>+W16*0.15</f>
        <v>431.30064821249988</v>
      </c>
      <c r="X17" s="2">
        <f>+X16*0.15</f>
        <v>498.85774544437487</v>
      </c>
      <c r="Y17" s="2">
        <f t="shared" ref="Y17:AE17" si="30">+Y16*0.15</f>
        <v>575.87340726103116</v>
      </c>
      <c r="Z17" s="2">
        <f t="shared" si="30"/>
        <v>663.76641835018575</v>
      </c>
      <c r="AA17" s="2">
        <f t="shared" si="30"/>
        <v>629.90563324917457</v>
      </c>
      <c r="AB17" s="2">
        <f t="shared" si="30"/>
        <v>598.34649525422424</v>
      </c>
      <c r="AC17" s="2">
        <f t="shared" si="30"/>
        <v>568.95090553897069</v>
      </c>
      <c r="AD17" s="2">
        <f t="shared" si="30"/>
        <v>541.58905120663246</v>
      </c>
      <c r="AE17" s="2">
        <f t="shared" si="30"/>
        <v>516.13890813423438</v>
      </c>
    </row>
    <row r="18" spans="2:132" x14ac:dyDescent="0.2">
      <c r="B18" t="s">
        <v>25</v>
      </c>
      <c r="C18" s="2">
        <f>+C16-C17</f>
        <v>-29.199999999999832</v>
      </c>
      <c r="D18" s="2">
        <f>+D16-D17</f>
        <v>40.899999999999991</v>
      </c>
      <c r="E18" s="2">
        <f>+E16-E17</f>
        <v>83.900000000000205</v>
      </c>
      <c r="F18" s="2">
        <f t="shared" ref="F18" si="31">+F16-F17</f>
        <v>110.30000000000004</v>
      </c>
      <c r="G18" s="2">
        <f t="shared" ref="G18:N18" si="32">+G16-G17</f>
        <v>107.49999999999997</v>
      </c>
      <c r="H18" s="2">
        <f t="shared" si="32"/>
        <v>191.20000000000019</v>
      </c>
      <c r="I18" s="2">
        <f t="shared" si="32"/>
        <v>205.19999999999993</v>
      </c>
      <c r="J18" s="2">
        <f t="shared" si="32"/>
        <v>430.10000000000036</v>
      </c>
      <c r="K18" s="2">
        <f t="shared" si="32"/>
        <v>213.36999999999989</v>
      </c>
      <c r="L18" s="2">
        <f t="shared" si="32"/>
        <v>248.10000000000028</v>
      </c>
      <c r="M18" s="2">
        <f t="shared" si="32"/>
        <v>365.80000000000007</v>
      </c>
      <c r="N18" s="2">
        <f t="shared" si="32"/>
        <v>294.10000000000002</v>
      </c>
      <c r="P18" s="2"/>
      <c r="Q18" s="2">
        <f t="shared" ref="Q18:AE18" si="33">+Q16-Q17</f>
        <v>190.80000000000069</v>
      </c>
      <c r="R18" s="2">
        <f t="shared" si="33"/>
        <v>205.90000000000035</v>
      </c>
      <c r="S18" s="2">
        <f t="shared" si="33"/>
        <v>934.00000000000102</v>
      </c>
      <c r="T18" s="2">
        <f t="shared" si="33"/>
        <v>1121.3699999999999</v>
      </c>
      <c r="U18" s="2">
        <f t="shared" si="33"/>
        <v>1733.8175899999999</v>
      </c>
      <c r="V18" s="2">
        <f t="shared" si="33"/>
        <v>2017.7582285000003</v>
      </c>
      <c r="W18" s="2">
        <f t="shared" si="33"/>
        <v>2444.0370065374996</v>
      </c>
      <c r="X18" s="2">
        <f t="shared" si="33"/>
        <v>2826.8605575181246</v>
      </c>
      <c r="Y18" s="2">
        <f t="shared" si="33"/>
        <v>3263.2826411458436</v>
      </c>
      <c r="Z18" s="2">
        <f t="shared" si="33"/>
        <v>3761.3430373177198</v>
      </c>
      <c r="AA18" s="2">
        <f t="shared" si="33"/>
        <v>3569.4652550786559</v>
      </c>
      <c r="AB18" s="2">
        <f t="shared" si="33"/>
        <v>3390.6301397739371</v>
      </c>
      <c r="AC18" s="2">
        <f t="shared" si="33"/>
        <v>3224.0551313875003</v>
      </c>
      <c r="AD18" s="2">
        <f t="shared" si="33"/>
        <v>3069.004623504251</v>
      </c>
      <c r="AE18" s="2">
        <f t="shared" si="33"/>
        <v>2924.787146093995</v>
      </c>
      <c r="AF18" s="2">
        <f>AE18*(1+$AE$30)</f>
        <v>2954.0350175549352</v>
      </c>
      <c r="AG18" s="2">
        <f>AF18*(1+$AE$30)</f>
        <v>2983.5753677304847</v>
      </c>
      <c r="AH18" s="2">
        <f>AG18*(1+$AE$30)</f>
        <v>3013.4111214077898</v>
      </c>
      <c r="AI18" s="2">
        <f>AH18*(1+$AE$30)</f>
        <v>3043.5452326218679</v>
      </c>
      <c r="AJ18" s="2">
        <f>AI18*(1+$AE$30)</f>
        <v>3073.9806849480865</v>
      </c>
      <c r="AK18" s="2">
        <f>AJ18*(1+$AE$30)</f>
        <v>3104.7204917975673</v>
      </c>
      <c r="AL18" s="2">
        <f>AK18*(1+$AE$30)</f>
        <v>3135.767696715543</v>
      </c>
      <c r="AM18" s="2">
        <f>AL18*(1+$AE$30)</f>
        <v>3167.1253736826984</v>
      </c>
      <c r="AN18" s="2">
        <f>AM18*(1+$AE$30)</f>
        <v>3198.7966274195255</v>
      </c>
      <c r="AO18" s="2">
        <f>AN18*(1+$AE$30)</f>
        <v>3230.7845936937206</v>
      </c>
      <c r="AP18" s="2">
        <f>AO18*(1+$AE$30)</f>
        <v>3263.0924396306577</v>
      </c>
      <c r="AQ18" s="2">
        <f>AP18*(1+$AE$30)</f>
        <v>3295.7233640269642</v>
      </c>
      <c r="AR18" s="2">
        <f>AQ18*(1+$AE$30)</f>
        <v>3328.680597667234</v>
      </c>
      <c r="AS18" s="2">
        <f>AR18*(1+$AE$30)</f>
        <v>3361.9674036439064</v>
      </c>
      <c r="AT18" s="2">
        <f>AS18*(1+$AE$30)</f>
        <v>3395.5870776803454</v>
      </c>
      <c r="AU18" s="2">
        <f>AT18*(1+$AE$30)</f>
        <v>3429.5429484571487</v>
      </c>
      <c r="AV18" s="2">
        <f>AU18*(1+$AE$30)</f>
        <v>3463.8383779417204</v>
      </c>
      <c r="AW18" s="2">
        <f>AV18*(1+$AE$30)</f>
        <v>3498.4767617211378</v>
      </c>
      <c r="AX18" s="2">
        <f>AW18*(1+$AE$30)</f>
        <v>3533.461529338349</v>
      </c>
      <c r="AY18" s="2">
        <f>AX18*(1+$AE$30)</f>
        <v>3568.7961446317327</v>
      </c>
      <c r="AZ18" s="2">
        <f>AY18*(1+$AE$30)</f>
        <v>3604.48410607805</v>
      </c>
      <c r="BA18" s="2">
        <f>AZ18*(1+$AE$30)</f>
        <v>3640.5289471388305</v>
      </c>
      <c r="BB18" s="2">
        <f>BA18*(1+$AE$30)</f>
        <v>3676.9342366102187</v>
      </c>
      <c r="BC18" s="2">
        <f>BB18*(1+$AE$30)</f>
        <v>3713.7035789763208</v>
      </c>
      <c r="BD18" s="2">
        <f>BC18*(1+$AE$30)</f>
        <v>3750.8406147660839</v>
      </c>
      <c r="BE18" s="2">
        <f>BD18*(1+$AE$30)</f>
        <v>3788.3490209137449</v>
      </c>
      <c r="BF18" s="2">
        <f>BE18*(1+$AE$30)</f>
        <v>3826.2325111228824</v>
      </c>
      <c r="BG18" s="2">
        <f>BF18*(1+$AE$30)</f>
        <v>3864.4948362341115</v>
      </c>
      <c r="BH18" s="2">
        <f>BG18*(1+$AE$30)</f>
        <v>3903.1397845964525</v>
      </c>
      <c r="BI18" s="2">
        <f>BH18*(1+$AE$30)</f>
        <v>3942.1711824424169</v>
      </c>
      <c r="BJ18" s="2">
        <f>BI18*(1+$AE$30)</f>
        <v>3981.5928942668411</v>
      </c>
      <c r="BK18" s="2">
        <f>BJ18*(1+$AE$30)</f>
        <v>4021.4088232095096</v>
      </c>
      <c r="BL18" s="2">
        <f>BK18*(1+$AE$30)</f>
        <v>4061.6229114416046</v>
      </c>
      <c r="BM18" s="2">
        <f>BL18*(1+$AE$30)</f>
        <v>4102.2391405560211</v>
      </c>
      <c r="BN18" s="2">
        <f>BM18*(1+$AE$30)</f>
        <v>4143.2615319615816</v>
      </c>
      <c r="BO18" s="2">
        <f>BN18*(1+$AE$30)</f>
        <v>4184.6941472811977</v>
      </c>
      <c r="BP18" s="2">
        <f>BO18*(1+$AE$30)</f>
        <v>4226.5410887540102</v>
      </c>
      <c r="BQ18" s="2">
        <f>BP18*(1+$AE$30)</f>
        <v>4268.8064996415505</v>
      </c>
      <c r="BR18" s="2">
        <f>BQ18*(1+$AE$30)</f>
        <v>4311.4945646379665</v>
      </c>
      <c r="BS18" s="2">
        <f>BR18*(1+$AE$30)</f>
        <v>4354.6095102843465</v>
      </c>
      <c r="BT18" s="2">
        <f>BS18*(1+$AE$30)</f>
        <v>4398.15560538719</v>
      </c>
      <c r="BU18" s="2">
        <f>BT18*(1+$AE$30)</f>
        <v>4442.1371614410618</v>
      </c>
      <c r="BV18" s="2">
        <f>BU18*(1+$AE$30)</f>
        <v>4486.5585330554723</v>
      </c>
      <c r="BW18" s="2">
        <f>BV18*(1+$AE$30)</f>
        <v>4531.4241183860267</v>
      </c>
      <c r="BX18" s="2">
        <f>BW18*(1+$AE$30)</f>
        <v>4576.7383595698875</v>
      </c>
      <c r="BY18" s="2">
        <f>BX18*(1+$AE$30)</f>
        <v>4622.5057431655869</v>
      </c>
      <c r="BZ18" s="2">
        <f>BY18*(1+$AE$30)</f>
        <v>4668.7308005972427</v>
      </c>
      <c r="CA18" s="2">
        <f>BZ18*(1+$AE$30)</f>
        <v>4715.4181086032149</v>
      </c>
      <c r="CB18" s="2">
        <f>CA18*(1+$AE$30)</f>
        <v>4762.5722896892476</v>
      </c>
      <c r="CC18" s="2">
        <f>CB18*(1+$AE$30)</f>
        <v>4810.1980125861401</v>
      </c>
      <c r="CD18" s="2">
        <f>CC18*(1+$AE$30)</f>
        <v>4858.2999927120018</v>
      </c>
      <c r="CE18" s="2">
        <f>CD18*(1+$AE$30)</f>
        <v>4906.8829926391218</v>
      </c>
      <c r="CF18" s="2">
        <f>CE18*(1+$AE$30)</f>
        <v>4955.9518225655129</v>
      </c>
      <c r="CG18" s="2">
        <f>CF18*(1+$AE$30)</f>
        <v>5005.5113407911676</v>
      </c>
      <c r="CH18" s="2">
        <f>CG18*(1+$AE$30)</f>
        <v>5055.5664541990791</v>
      </c>
      <c r="CI18" s="2">
        <f>CH18*(1+$AE$30)</f>
        <v>5106.1221187410702</v>
      </c>
      <c r="CJ18" s="2">
        <f>CI18*(1+$AE$30)</f>
        <v>5157.1833399284806</v>
      </c>
      <c r="CK18" s="2">
        <f>CJ18*(1+$AE$30)</f>
        <v>5208.7551733277651</v>
      </c>
      <c r="CL18" s="2">
        <f>CK18*(1+$AE$30)</f>
        <v>5260.842725061043</v>
      </c>
      <c r="CM18" s="2">
        <f>CL18*(1+$AE$30)</f>
        <v>5313.4511523116535</v>
      </c>
      <c r="CN18" s="2">
        <f>CM18*(1+$AE$30)</f>
        <v>5366.5856638347705</v>
      </c>
      <c r="CO18" s="2">
        <f>CN18*(1+$AE$30)</f>
        <v>5420.251520473118</v>
      </c>
      <c r="CP18" s="2">
        <f>CO18*(1+$AE$30)</f>
        <v>5474.4540356778489</v>
      </c>
      <c r="CQ18" s="2">
        <f>CP18*(1+$AE$30)</f>
        <v>5529.198576034627</v>
      </c>
      <c r="CR18" s="2">
        <f>CQ18*(1+$AE$30)</f>
        <v>5584.4905617949735</v>
      </c>
      <c r="CS18" s="2">
        <f>CR18*(1+$AE$30)</f>
        <v>5640.3354674129232</v>
      </c>
      <c r="CT18" s="2">
        <f>CS18*(1+$AE$30)</f>
        <v>5696.7388220870525</v>
      </c>
      <c r="CU18" s="2">
        <f>CT18*(1+$AE$30)</f>
        <v>5753.7062103079234</v>
      </c>
      <c r="CV18" s="2">
        <f>CU18*(1+$AE$30)</f>
        <v>5811.2432724110031</v>
      </c>
      <c r="CW18" s="2">
        <f>CV18*(1+$AE$30)</f>
        <v>5869.3557051351136</v>
      </c>
      <c r="CX18" s="2">
        <f>CW18*(1+$AE$30)</f>
        <v>5928.0492621864651</v>
      </c>
      <c r="CY18" s="2">
        <f>CX18*(1+$AE$30)</f>
        <v>5987.3297548083301</v>
      </c>
      <c r="CZ18" s="2">
        <f>CY18*(1+$AE$30)</f>
        <v>6047.2030523564135</v>
      </c>
      <c r="DA18" s="2">
        <f>CZ18*(1+$AE$30)</f>
        <v>6107.6750828799777</v>
      </c>
      <c r="DB18" s="2">
        <f>DA18*(1+$AE$30)</f>
        <v>6168.7518337087777</v>
      </c>
      <c r="DC18" s="2">
        <f>DB18*(1+$AE$30)</f>
        <v>6230.4393520458652</v>
      </c>
      <c r="DD18" s="2">
        <f>DC18*(1+$AE$30)</f>
        <v>6292.7437455663239</v>
      </c>
      <c r="DE18" s="2">
        <f>DD18*(1+$AE$30)</f>
        <v>6355.6711830219874</v>
      </c>
      <c r="DF18" s="2">
        <f>DE18*(1+$AE$30)</f>
        <v>6419.2278948522071</v>
      </c>
      <c r="DG18" s="2">
        <f>DF18*(1+$AE$30)</f>
        <v>6483.4201738007296</v>
      </c>
      <c r="DH18" s="2">
        <f>DG18*(1+$AE$30)</f>
        <v>6548.2543755387369</v>
      </c>
      <c r="DI18" s="2">
        <f>DH18*(1+$AE$30)</f>
        <v>6613.7369192941242</v>
      </c>
      <c r="DJ18" s="2">
        <f>DI18*(1+$AE$30)</f>
        <v>6679.8742884870653</v>
      </c>
      <c r="DK18" s="2">
        <f>DJ18*(1+$AE$30)</f>
        <v>6746.6730313719363</v>
      </c>
      <c r="DL18" s="2">
        <f>DK18*(1+$AE$30)</f>
        <v>6814.1397616856557</v>
      </c>
      <c r="DM18" s="2">
        <f>DL18*(1+$AE$30)</f>
        <v>6882.2811593025126</v>
      </c>
      <c r="DN18" s="2">
        <f>DM18*(1+$AE$30)</f>
        <v>6951.1039708955377</v>
      </c>
      <c r="DO18" s="2">
        <f>DN18*(1+$AE$30)</f>
        <v>7020.6150106044934</v>
      </c>
      <c r="DP18" s="2">
        <f>DO18*(1+$AE$30)</f>
        <v>7090.8211607105386</v>
      </c>
      <c r="DQ18" s="2">
        <f>DP18*(1+$AE$30)</f>
        <v>7161.7293723176444</v>
      </c>
      <c r="DR18" s="2">
        <f>DQ18*(1+$AE$30)</f>
        <v>7233.3466660408212</v>
      </c>
      <c r="DS18" s="2">
        <f>DR18*(1+$AE$30)</f>
        <v>7305.6801327012299</v>
      </c>
      <c r="DT18" s="2">
        <f>DS18*(1+$AE$30)</f>
        <v>7378.7369340282421</v>
      </c>
      <c r="DU18" s="2">
        <f>DT18*(1+$AE$30)</f>
        <v>7452.5243033685247</v>
      </c>
      <c r="DV18" s="2">
        <f>DU18*(1+$AE$30)</f>
        <v>7527.0495464022097</v>
      </c>
      <c r="DW18" s="2">
        <f>DV18*(1+$AE$30)</f>
        <v>7602.3200418662318</v>
      </c>
      <c r="DX18" s="2">
        <f>DW18*(1+$AE$30)</f>
        <v>7678.3432422848946</v>
      </c>
      <c r="DY18" s="2">
        <f>DX18*(1+$AE$30)</f>
        <v>7755.1266747077434</v>
      </c>
      <c r="DZ18" s="2">
        <f>DY18*(1+$AE$30)</f>
        <v>7832.6779414548209</v>
      </c>
      <c r="EA18" s="2">
        <f>DZ18*(1+$AE$30)</f>
        <v>7911.0047208693695</v>
      </c>
      <c r="EB18" s="2">
        <f>EA18*(1+$AE$30)</f>
        <v>7990.1147680780632</v>
      </c>
    </row>
    <row r="19" spans="2:132" x14ac:dyDescent="0.2">
      <c r="B19" t="s">
        <v>26</v>
      </c>
      <c r="C19" s="1">
        <f t="shared" ref="C19:N19" si="34">+C18/C20</f>
        <v>-7.6904438334228359E-2</v>
      </c>
      <c r="D19" s="1">
        <f t="shared" si="34"/>
        <v>0.10696971509518695</v>
      </c>
      <c r="E19" s="1">
        <f t="shared" si="34"/>
        <v>0.2222846291249323</v>
      </c>
      <c r="F19" s="1">
        <f t="shared" si="34"/>
        <v>0.29162612631668017</v>
      </c>
      <c r="G19" s="1">
        <f t="shared" si="34"/>
        <v>0.28164695854519106</v>
      </c>
      <c r="H19" s="1">
        <f t="shared" si="34"/>
        <v>0.50006407724839264</v>
      </c>
      <c r="I19" s="1">
        <f t="shared" si="34"/>
        <v>0.52853814406210664</v>
      </c>
      <c r="J19" s="1">
        <f t="shared" si="34"/>
        <v>1.1135967024488262</v>
      </c>
      <c r="K19" s="1">
        <f t="shared" si="34"/>
        <v>0.5627807943037012</v>
      </c>
      <c r="L19" s="1">
        <f t="shared" si="34"/>
        <v>0.64527371465429417</v>
      </c>
      <c r="M19" s="1">
        <f t="shared" si="34"/>
        <v>0.95139510205780176</v>
      </c>
      <c r="N19" s="1">
        <f t="shared" si="34"/>
        <v>0.7609834427339105</v>
      </c>
      <c r="P19" s="1"/>
      <c r="Q19" s="1">
        <f t="shared" ref="Q19:X19" si="35">+Q18/Q20</f>
        <v>0.52979396901205278</v>
      </c>
      <c r="R19" s="1">
        <f t="shared" si="35"/>
        <v>0.54438639536359501</v>
      </c>
      <c r="S19" s="1">
        <f t="shared" si="35"/>
        <v>2.4182732389844315</v>
      </c>
      <c r="T19" s="1">
        <f t="shared" si="35"/>
        <v>2.9015437034291907</v>
      </c>
      <c r="U19" s="1">
        <f t="shared" si="35"/>
        <v>4.4862512026889201</v>
      </c>
      <c r="V19" s="1">
        <f t="shared" si="35"/>
        <v>5.2209473081557514</v>
      </c>
      <c r="W19" s="1">
        <f t="shared" si="35"/>
        <v>6.3239432009656138</v>
      </c>
      <c r="X19" s="1">
        <f t="shared" si="35"/>
        <v>7.3144987391664182</v>
      </c>
    </row>
    <row r="20" spans="2:132" x14ac:dyDescent="0.2">
      <c r="B20" t="s">
        <v>1</v>
      </c>
      <c r="C20" s="2">
        <v>379.69200000000001</v>
      </c>
      <c r="D20" s="2">
        <v>382.35120999999998</v>
      </c>
      <c r="E20" s="2">
        <v>377.44400200000001</v>
      </c>
      <c r="F20" s="2">
        <f>+R20</f>
        <v>378.22399999999999</v>
      </c>
      <c r="G20" s="2">
        <v>381.68351100000001</v>
      </c>
      <c r="H20" s="2">
        <v>382.351</v>
      </c>
      <c r="I20" s="2">
        <v>388.24066399999998</v>
      </c>
      <c r="J20" s="10">
        <f>+S20</f>
        <v>386.226</v>
      </c>
      <c r="K20" s="2">
        <v>379.13518399999998</v>
      </c>
      <c r="L20" s="2">
        <v>384.488</v>
      </c>
      <c r="M20" s="10">
        <f>+L20</f>
        <v>384.488</v>
      </c>
      <c r="N20" s="10">
        <v>386.47358600000001</v>
      </c>
      <c r="P20" s="2"/>
      <c r="Q20" s="2">
        <v>360.14</v>
      </c>
      <c r="R20" s="2">
        <v>378.22399999999999</v>
      </c>
      <c r="S20" s="2">
        <v>386.226</v>
      </c>
      <c r="T20" s="10">
        <f>+N20</f>
        <v>386.47358600000001</v>
      </c>
      <c r="U20" s="2">
        <f>+T20</f>
        <v>386.47358600000001</v>
      </c>
      <c r="V20" s="2">
        <f>+U20</f>
        <v>386.47358600000001</v>
      </c>
      <c r="W20" s="2">
        <f>+V20</f>
        <v>386.47358600000001</v>
      </c>
      <c r="X20" s="2">
        <f>+W20</f>
        <v>386.47358600000001</v>
      </c>
    </row>
    <row r="21" spans="2:132" x14ac:dyDescent="0.2">
      <c r="C21" s="2"/>
      <c r="D21" s="2"/>
      <c r="E21" s="2"/>
      <c r="F21" s="2"/>
      <c r="G21" s="2"/>
      <c r="H21" s="2"/>
      <c r="I21" s="2"/>
      <c r="J21" s="10"/>
      <c r="K21" s="2"/>
      <c r="L21" s="2"/>
      <c r="M21" s="10"/>
      <c r="N21" s="10"/>
      <c r="P21" s="2"/>
      <c r="Q21" s="2"/>
      <c r="R21" s="2"/>
      <c r="S21" s="2"/>
      <c r="T21" s="10"/>
      <c r="U21" s="2"/>
      <c r="V21" s="2"/>
      <c r="W21" s="2"/>
      <c r="X21" s="2"/>
    </row>
    <row r="22" spans="2:132" s="14" customFormat="1" x14ac:dyDescent="0.2">
      <c r="B22" s="14" t="s">
        <v>41</v>
      </c>
      <c r="G22" s="13">
        <f t="shared" ref="G22:N23" si="36">+G4/C4-1</f>
        <v>0.39686837767836125</v>
      </c>
      <c r="H22" s="13">
        <f t="shared" si="36"/>
        <v>0.28947867298578212</v>
      </c>
      <c r="I22" s="13">
        <f t="shared" si="36"/>
        <v>0.21657565615642049</v>
      </c>
      <c r="J22" s="13">
        <f t="shared" si="36"/>
        <v>0.14079505982246254</v>
      </c>
      <c r="K22" s="13">
        <f t="shared" si="36"/>
        <v>7.0627897176569698E-2</v>
      </c>
      <c r="L22" s="13">
        <f t="shared" si="36"/>
        <v>0.14319317847691848</v>
      </c>
      <c r="M22" s="13">
        <f t="shared" si="36"/>
        <v>0.19720553102150151</v>
      </c>
      <c r="N22" s="13">
        <f t="shared" si="36"/>
        <v>0.2952838487042424</v>
      </c>
      <c r="R22" s="13">
        <f>+R4/Q4-1</f>
        <v>0.17341525469604302</v>
      </c>
      <c r="S22" s="13">
        <f>+S4/R4-1</f>
        <v>0.24699559430719908</v>
      </c>
      <c r="T22" s="13">
        <f>+T4/S4-1</f>
        <v>0.18264553004938855</v>
      </c>
      <c r="U22" s="13">
        <f>+U4/T4-1</f>
        <v>0.14999999999999991</v>
      </c>
      <c r="V22" s="13">
        <f>+V4/U4-1</f>
        <v>0.14999999999999991</v>
      </c>
      <c r="W22" s="13">
        <f>+W4/V4-1</f>
        <v>0.14999999999999991</v>
      </c>
      <c r="X22" s="13">
        <f>+X4/W4-1</f>
        <v>0.14999999999999991</v>
      </c>
      <c r="Y22" s="13">
        <f>+Y4/X4-1</f>
        <v>0.14999999999999991</v>
      </c>
      <c r="Z22" s="13">
        <f>+Z4/Y4-1</f>
        <v>0.14999999999999991</v>
      </c>
      <c r="AA22" s="13">
        <f>+AA4/Z4-1</f>
        <v>-6.0000000000000053E-2</v>
      </c>
      <c r="AB22" s="13">
        <f>+AB4/AA4-1</f>
        <v>-5.9999999999999942E-2</v>
      </c>
      <c r="AC22" s="13">
        <f>+AC4/AB4-1</f>
        <v>-6.0000000000000053E-2</v>
      </c>
      <c r="AD22" s="13">
        <f>+AD4/AC4-1</f>
        <v>-5.9999999999999942E-2</v>
      </c>
      <c r="AE22" s="13">
        <f>+AE4/AD4-1</f>
        <v>-6.0000000000000053E-2</v>
      </c>
    </row>
    <row r="23" spans="2:132" x14ac:dyDescent="0.2">
      <c r="B23" t="s">
        <v>42</v>
      </c>
      <c r="G23" s="13">
        <f t="shared" si="36"/>
        <v>8.9902280130293333E-2</v>
      </c>
      <c r="H23" s="13">
        <f t="shared" si="36"/>
        <v>8.5075493612079001E-2</v>
      </c>
      <c r="I23" s="13">
        <f t="shared" si="36"/>
        <v>4.5125831645935754E-2</v>
      </c>
      <c r="J23" s="13">
        <f t="shared" si="36"/>
        <v>7.9086605402394428E-2</v>
      </c>
      <c r="K23" s="13">
        <f t="shared" si="36"/>
        <v>0.10221159593544527</v>
      </c>
      <c r="L23" s="13">
        <f t="shared" si="36"/>
        <v>6.3955044153064078E-2</v>
      </c>
      <c r="M23" s="13">
        <f t="shared" si="36"/>
        <v>0.16191530584002223</v>
      </c>
      <c r="N23" s="13">
        <f t="shared" si="36"/>
        <v>0.11509677419354869</v>
      </c>
      <c r="R23" s="13">
        <f>+R5/Q5-1</f>
        <v>4.0429612581511343E-2</v>
      </c>
      <c r="S23" s="13">
        <f>+S5/R5-1</f>
        <v>7.439905618640319E-2</v>
      </c>
      <c r="T23" s="13">
        <f>+T5/S5-1</f>
        <v>0.11063070482465198</v>
      </c>
      <c r="U23" s="13">
        <f>+U5/T5-1</f>
        <v>0.14999999999999991</v>
      </c>
      <c r="V23" s="13">
        <f>+V5/U5-1</f>
        <v>0.14999999999999991</v>
      </c>
      <c r="W23" s="13">
        <f>+W5/V5-1</f>
        <v>0.14999999999999991</v>
      </c>
      <c r="X23" s="13">
        <f>+X5/W5-1</f>
        <v>0.14999999999999991</v>
      </c>
      <c r="Y23" s="13">
        <f>+Y5/X5-1</f>
        <v>0.14999999999999991</v>
      </c>
      <c r="Z23" s="13">
        <f>+Z5/Y5-1</f>
        <v>0.14999999999999991</v>
      </c>
      <c r="AA23" s="13">
        <f>+AA5/Z5-1</f>
        <v>-5.9999999999999942E-2</v>
      </c>
      <c r="AB23" s="13">
        <f>+AB5/AA5-1</f>
        <v>-5.9999999999999942E-2</v>
      </c>
      <c r="AC23" s="13">
        <f>+AC5/AB5-1</f>
        <v>-6.0000000000000053E-2</v>
      </c>
      <c r="AD23" s="13">
        <f>+AD5/AC5-1</f>
        <v>-6.0000000000000053E-2</v>
      </c>
      <c r="AE23" s="13">
        <f>+AE5/AD5-1</f>
        <v>-6.0000000000000053E-2</v>
      </c>
    </row>
    <row r="24" spans="2:132" x14ac:dyDescent="0.2">
      <c r="B24" t="s">
        <v>10</v>
      </c>
      <c r="G24" s="12">
        <f t="shared" ref="G24" si="37">+G6/C6-1</f>
        <v>0.31537530266343805</v>
      </c>
      <c r="H24" s="12">
        <f t="shared" ref="H24:N24" si="38">+H6/D6-1</f>
        <v>0.23917393168500789</v>
      </c>
      <c r="I24" s="12">
        <f t="shared" si="38"/>
        <v>0.17655796367564625</v>
      </c>
      <c r="J24" s="12">
        <f t="shared" si="38"/>
        <v>0.12740239332769265</v>
      </c>
      <c r="K24" s="12">
        <f t="shared" si="38"/>
        <v>7.7575438827164556E-2</v>
      </c>
      <c r="L24" s="12">
        <f t="shared" si="38"/>
        <v>0.12611729427368656</v>
      </c>
      <c r="M24" s="12">
        <f t="shared" si="38"/>
        <v>0.18988867209916216</v>
      </c>
      <c r="N24" s="12">
        <f t="shared" si="38"/>
        <v>0.25785354347593015</v>
      </c>
      <c r="R24" s="3">
        <f t="shared" ref="R24:AE24" si="39">+R6/Q6-1</f>
        <v>0.1387327184330045</v>
      </c>
      <c r="S24" s="3">
        <f t="shared" si="39"/>
        <v>0.20586840024598096</v>
      </c>
      <c r="T24" s="12">
        <f t="shared" si="39"/>
        <v>0.16735633523720694</v>
      </c>
      <c r="U24" s="3">
        <f t="shared" si="39"/>
        <v>0.14999999999999991</v>
      </c>
      <c r="V24" s="3">
        <f t="shared" si="39"/>
        <v>0.14999999999999991</v>
      </c>
      <c r="W24" s="3">
        <f t="shared" si="39"/>
        <v>0.14999999999999969</v>
      </c>
      <c r="X24" s="3">
        <f t="shared" si="39"/>
        <v>0.14999999999999991</v>
      </c>
      <c r="Y24" s="3">
        <f t="shared" si="39"/>
        <v>0.14999999999999991</v>
      </c>
      <c r="Z24" s="3">
        <f t="shared" si="39"/>
        <v>0.14999999999999991</v>
      </c>
      <c r="AA24" s="3">
        <f t="shared" si="39"/>
        <v>-6.0000000000000053E-2</v>
      </c>
      <c r="AB24" s="3">
        <f t="shared" si="39"/>
        <v>-5.9999999999999942E-2</v>
      </c>
      <c r="AC24" s="3">
        <f t="shared" si="39"/>
        <v>-6.0000000000000053E-2</v>
      </c>
      <c r="AD24" s="3">
        <f t="shared" si="39"/>
        <v>-6.0000000000000053E-2</v>
      </c>
      <c r="AE24" s="3">
        <f t="shared" si="39"/>
        <v>-6.0000000000000053E-2</v>
      </c>
    </row>
    <row r="25" spans="2:132" x14ac:dyDescent="0.2">
      <c r="G25" s="12"/>
      <c r="H25" s="12"/>
      <c r="I25" s="12"/>
      <c r="J25" s="12"/>
      <c r="K25" s="12"/>
      <c r="L25" s="12"/>
      <c r="M25" s="12"/>
      <c r="N25" s="12"/>
      <c r="R25" s="3"/>
      <c r="S25" s="3"/>
      <c r="T25" s="12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2:132" x14ac:dyDescent="0.2">
      <c r="B26" t="s">
        <v>52</v>
      </c>
      <c r="C26" s="12">
        <f>+C14/C6</f>
        <v>1.0377032168799869E-2</v>
      </c>
      <c r="D26" s="12">
        <f>+D14/D6</f>
        <v>6.1240531656424173E-2</v>
      </c>
      <c r="E26" s="12">
        <f>+E14/E6</f>
        <v>8.9730605630950103E-2</v>
      </c>
      <c r="F26" s="12">
        <f>+F14/F6</f>
        <v>0.12873201982352234</v>
      </c>
      <c r="G26" s="12">
        <f>+G14/G6</f>
        <v>0.12602721714548681</v>
      </c>
      <c r="H26" s="12">
        <f>+H14/H6</f>
        <v>0.15443169367395199</v>
      </c>
      <c r="I26" s="12">
        <f>+I14/I6</f>
        <v>0.17238608975094682</v>
      </c>
      <c r="J26" s="12">
        <f>+J14/J6</f>
        <v>0.181301597512598</v>
      </c>
      <c r="K26" s="12">
        <f>+K14/K6</f>
        <v>0.15396864132755775</v>
      </c>
      <c r="L26" s="12">
        <f>+L14/L6</f>
        <v>0.1943363375665712</v>
      </c>
      <c r="M26" s="12">
        <f>+M14/M6</f>
        <v>0.20342416204485173</v>
      </c>
      <c r="N26" s="12">
        <f>+N14/N6</f>
        <v>0.15410842141152403</v>
      </c>
      <c r="Q26" s="12">
        <f>+Q14/Q6</f>
        <v>8.3531742061983688E-2</v>
      </c>
      <c r="R26" s="12">
        <f>+R14/R6</f>
        <v>7.7940788895721758E-2</v>
      </c>
      <c r="S26" s="12">
        <f>+S14/S6</f>
        <v>0.1599982515444692</v>
      </c>
      <c r="T26" s="12">
        <f>+T14/T6</f>
        <v>0.17664819391397688</v>
      </c>
      <c r="U26" s="12">
        <f>+U14/U6</f>
        <v>0.21999999999999997</v>
      </c>
      <c r="V26" s="12">
        <f>+V14/V6</f>
        <v>0.22</v>
      </c>
      <c r="W26" s="12">
        <f>+W14/W6</f>
        <v>0.22999999999999998</v>
      </c>
      <c r="X26" s="12">
        <f>+X14/X6</f>
        <v>0.23</v>
      </c>
      <c r="Y26" s="12">
        <f>+Y14/Y6</f>
        <v>0.23000000000000004</v>
      </c>
      <c r="Z26" s="12">
        <f>+Z14/Z6</f>
        <v>0.23</v>
      </c>
      <c r="AA26" s="12">
        <f>+AA14/AA6</f>
        <v>0.22999999999999998</v>
      </c>
      <c r="AB26" s="12">
        <f>+AB14/AB6</f>
        <v>0.23000000000000004</v>
      </c>
      <c r="AC26" s="12">
        <f>+AC14/AC6</f>
        <v>0.23</v>
      </c>
      <c r="AD26" s="12">
        <f>+AD14/AD6</f>
        <v>0.23000000000000004</v>
      </c>
      <c r="AE26" s="12">
        <f>+AE14/AE6</f>
        <v>0.22999999999999998</v>
      </c>
    </row>
    <row r="27" spans="2:132" s="17" customFormat="1" x14ac:dyDescent="0.2">
      <c r="B27" s="17" t="s">
        <v>19</v>
      </c>
      <c r="C27" s="18">
        <f t="shared" ref="C27:L27" si="40">+C12/C6</f>
        <v>0.26253891387063311</v>
      </c>
      <c r="D27" s="18">
        <f t="shared" si="40"/>
        <v>0.26547091610690293</v>
      </c>
      <c r="E27" s="18">
        <f t="shared" si="40"/>
        <v>0.28985213692525835</v>
      </c>
      <c r="F27" s="18">
        <f t="shared" si="40"/>
        <v>0.30925903541641486</v>
      </c>
      <c r="G27" s="18">
        <f t="shared" si="40"/>
        <v>0.32575110117677997</v>
      </c>
      <c r="H27" s="18">
        <f t="shared" si="40"/>
        <v>0.34254079926186504</v>
      </c>
      <c r="I27" s="18">
        <f t="shared" si="40"/>
        <v>0.36015149776196487</v>
      </c>
      <c r="J27" s="18">
        <f t="shared" si="40"/>
        <v>0.36635574139594729</v>
      </c>
      <c r="K27" s="18">
        <f t="shared" si="40"/>
        <v>0.34555548776767731</v>
      </c>
      <c r="L27" s="18">
        <f t="shared" si="40"/>
        <v>0.37955755837771415</v>
      </c>
      <c r="M27" s="18">
        <f t="shared" ref="M27:N27" si="41">+M12/M6</f>
        <v>0.36479382686279244</v>
      </c>
      <c r="N27" s="18">
        <f t="shared" si="41"/>
        <v>0.37086600750085236</v>
      </c>
      <c r="P27" s="18"/>
      <c r="Q27" s="18">
        <f>+Q12/Q6</f>
        <v>0.3046557691922932</v>
      </c>
      <c r="R27" s="18">
        <f>+R12/R6</f>
        <v>0.28394974962663627</v>
      </c>
      <c r="S27" s="18">
        <f>+S12/S6</f>
        <v>0.34976395850332215</v>
      </c>
      <c r="T27" s="18">
        <f>+T12/T6</f>
        <v>0.36623480366459482</v>
      </c>
      <c r="U27" s="18">
        <v>0.38</v>
      </c>
      <c r="V27" s="18">
        <v>0.38</v>
      </c>
      <c r="W27" s="18">
        <v>0.39</v>
      </c>
      <c r="X27" s="18">
        <v>0.39</v>
      </c>
      <c r="Y27" s="18">
        <v>0.39</v>
      </c>
      <c r="Z27" s="18">
        <v>0.39</v>
      </c>
      <c r="AA27" s="18">
        <v>0.39</v>
      </c>
      <c r="AB27" s="18">
        <v>0.39</v>
      </c>
      <c r="AC27" s="18">
        <v>0.39</v>
      </c>
      <c r="AD27" s="18">
        <v>0.39</v>
      </c>
      <c r="AE27" s="18">
        <v>0.39</v>
      </c>
    </row>
    <row r="29" spans="2:132" s="2" customFormat="1" x14ac:dyDescent="0.2">
      <c r="B29" s="2" t="s">
        <v>45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S29" s="2">
        <v>900.5</v>
      </c>
      <c r="T29" s="10">
        <v>1319.3</v>
      </c>
    </row>
    <row r="30" spans="2:132" s="2" customFormat="1" x14ac:dyDescent="0.2">
      <c r="B30" s="2" t="s">
        <v>46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S30" s="2">
        <v>-139.1</v>
      </c>
      <c r="T30" s="10">
        <v>-201.7</v>
      </c>
      <c r="AD30" s="17" t="s">
        <v>43</v>
      </c>
      <c r="AE30" s="15">
        <v>0.01</v>
      </c>
    </row>
    <row r="31" spans="2:132" s="2" customFormat="1" x14ac:dyDescent="0.2">
      <c r="B31" s="2" t="s">
        <v>47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S31" s="2">
        <v>-127.9</v>
      </c>
      <c r="T31" s="10">
        <v>-167</v>
      </c>
      <c r="AD31" s="14" t="s">
        <v>37</v>
      </c>
      <c r="AE31" s="14">
        <v>0.08</v>
      </c>
    </row>
    <row r="32" spans="2:132" s="9" customFormat="1" x14ac:dyDescent="0.2">
      <c r="B32" s="9" t="s">
        <v>48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S32" s="11">
        <f>+S29+S31</f>
        <v>772.6</v>
      </c>
      <c r="T32" s="11">
        <f>+T29+T31</f>
        <v>1152.3</v>
      </c>
      <c r="AD32" t="s">
        <v>51</v>
      </c>
      <c r="AE32" s="1">
        <f>+NPV(AE31,U18:EB18)</f>
        <v>38226.114918448999</v>
      </c>
    </row>
    <row r="33" spans="2:20" s="2" customFormat="1" x14ac:dyDescent="0.2">
      <c r="B33" s="2" t="s">
        <v>49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S33" s="2">
        <v>-247.5</v>
      </c>
      <c r="T33" s="10">
        <v>-652.1</v>
      </c>
    </row>
    <row r="34" spans="2:20" s="2" customFormat="1" x14ac:dyDescent="0.2">
      <c r="B34" s="2" t="s">
        <v>50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9"/>
      <c r="S34" s="2">
        <v>1.5</v>
      </c>
      <c r="T34" s="19">
        <v>-21.9</v>
      </c>
    </row>
    <row r="35" spans="2:20" s="2" customFormat="1" x14ac:dyDescent="0.2">
      <c r="B35" s="2" t="s">
        <v>40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S35" s="10">
        <f>+S29+S30+S33+S34</f>
        <v>515.4</v>
      </c>
      <c r="T35" s="10">
        <f>+T29+T30+T33+T34</f>
        <v>443.59999999999991</v>
      </c>
    </row>
  </sheetData>
  <hyperlinks>
    <hyperlink ref="A1" location="Main!A1" display="Main" xr:uid="{39161676-D17F-4680-AF4F-ECE5E3181106}"/>
  </hyperlinks>
  <pageMargins left="0.7" right="0.7" top="0.75" bottom="0.75" header="0.3" footer="0.3"/>
  <pageSetup orientation="portrait" r:id="rId1"/>
  <ignoredErrors>
    <ignoredError sqref="T16 T6 T12 T9 T14 F16 F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Geli Braholli</cp:lastModifiedBy>
  <dcterms:created xsi:type="dcterms:W3CDTF">2024-08-03T20:42:13Z</dcterms:created>
  <dcterms:modified xsi:type="dcterms:W3CDTF">2025-02-16T01:05:22Z</dcterms:modified>
</cp:coreProperties>
</file>