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76C4724C-6BB0-4DE4-BBC0-A9B69D2FD3DA}" xr6:coauthVersionLast="47" xr6:coauthVersionMax="47" xr10:uidLastSave="{00000000-0000-0000-0000-000000000000}"/>
  <bookViews>
    <workbookView xWindow="-120" yWindow="-120" windowWidth="29040" windowHeight="15840" activeTab="1" xr2:uid="{C821A445-2D7C-409C-81DE-58164AEFC17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4" i="1"/>
  <c r="N5" i="1" s="1"/>
  <c r="N8" i="1" s="1"/>
  <c r="J24" i="2"/>
  <c r="S24" i="2"/>
  <c r="S7" i="2"/>
  <c r="J7" i="2"/>
  <c r="C26" i="2"/>
  <c r="D26" i="2"/>
  <c r="E26" i="2"/>
  <c r="F26" i="2"/>
  <c r="G26" i="2"/>
  <c r="H26" i="2"/>
  <c r="I26" i="2"/>
  <c r="I25" i="2"/>
  <c r="H25" i="2"/>
  <c r="G25" i="2"/>
  <c r="F25" i="2"/>
  <c r="E25" i="2"/>
  <c r="D25" i="2"/>
  <c r="C25" i="2"/>
  <c r="G24" i="2"/>
  <c r="H24" i="2"/>
  <c r="I24" i="2"/>
  <c r="F21" i="2"/>
  <c r="F22" i="2"/>
  <c r="F20" i="2"/>
  <c r="F18" i="2"/>
  <c r="F14" i="2"/>
  <c r="F15" i="2" s="1"/>
  <c r="F9" i="2"/>
  <c r="F19" i="2"/>
  <c r="F17" i="2"/>
  <c r="F16" i="2"/>
  <c r="F13" i="2"/>
  <c r="F12" i="2"/>
  <c r="F11" i="2"/>
  <c r="F10" i="2"/>
  <c r="F8" i="2"/>
  <c r="F7" i="2"/>
  <c r="E14" i="2"/>
  <c r="E9" i="2"/>
  <c r="I14" i="2"/>
  <c r="I9" i="2"/>
  <c r="D14" i="2"/>
  <c r="D9" i="2"/>
  <c r="H20" i="2"/>
  <c r="H14" i="2"/>
  <c r="H9" i="2"/>
  <c r="C14" i="2"/>
  <c r="C9" i="2"/>
  <c r="G21" i="2"/>
  <c r="G14" i="2"/>
  <c r="G9" i="2"/>
  <c r="G15" i="2" s="1"/>
  <c r="G18" i="2" s="1"/>
  <c r="G20" i="2" s="1"/>
  <c r="S33" i="2"/>
  <c r="P36" i="2"/>
  <c r="Q36" i="2"/>
  <c r="R36" i="2"/>
  <c r="P33" i="2"/>
  <c r="Q33" i="2"/>
  <c r="R33" i="2"/>
  <c r="P28" i="2"/>
  <c r="Q28" i="2"/>
  <c r="R28" i="2"/>
  <c r="Q52" i="2"/>
  <c r="Q51" i="2"/>
  <c r="Q55" i="2" s="1"/>
  <c r="Q57" i="2" s="1"/>
  <c r="Q44" i="2"/>
  <c r="Q38" i="2"/>
  <c r="R51" i="2"/>
  <c r="R52" i="2"/>
  <c r="R44" i="2"/>
  <c r="R38" i="2"/>
  <c r="R46" i="2" s="1"/>
  <c r="Q24" i="2"/>
  <c r="R24" i="2"/>
  <c r="P14" i="2"/>
  <c r="P9" i="2"/>
  <c r="P25" i="2" s="1"/>
  <c r="Q14" i="2"/>
  <c r="Q9" i="2"/>
  <c r="Q25" i="2" s="1"/>
  <c r="R14" i="2"/>
  <c r="R9" i="2"/>
  <c r="S6" i="2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E15" i="2" l="1"/>
  <c r="E18" i="2" s="1"/>
  <c r="E20" i="2" s="1"/>
  <c r="E21" i="2" s="1"/>
  <c r="I15" i="2"/>
  <c r="I18" i="2" s="1"/>
  <c r="I20" i="2" s="1"/>
  <c r="I21" i="2" s="1"/>
  <c r="D15" i="2"/>
  <c r="D18" i="2" s="1"/>
  <c r="D20" i="2" s="1"/>
  <c r="D21" i="2" s="1"/>
  <c r="H15" i="2"/>
  <c r="H18" i="2" s="1"/>
  <c r="H21" i="2" s="1"/>
  <c r="C15" i="2"/>
  <c r="C18" i="2" s="1"/>
  <c r="C20" i="2" s="1"/>
  <c r="C21" i="2" s="1"/>
  <c r="T7" i="2"/>
  <c r="R55" i="2"/>
  <c r="R57" i="2" s="1"/>
  <c r="Q60" i="2"/>
  <c r="Q46" i="2"/>
  <c r="R15" i="2"/>
  <c r="R18" i="2" s="1"/>
  <c r="R26" i="2" s="1"/>
  <c r="R25" i="2"/>
  <c r="P15" i="2"/>
  <c r="P18" i="2" s="1"/>
  <c r="P20" i="2" s="1"/>
  <c r="Q15" i="2"/>
  <c r="Q18" i="2" s="1"/>
  <c r="U7" i="2" l="1"/>
  <c r="T33" i="2"/>
  <c r="R60" i="2"/>
  <c r="R20" i="2"/>
  <c r="Q20" i="2"/>
  <c r="Q26" i="2"/>
  <c r="V7" i="2" l="1"/>
  <c r="U33" i="2"/>
  <c r="W7" i="2" l="1"/>
  <c r="V33" i="2"/>
  <c r="W33" i="2" l="1"/>
  <c r="X7" i="2"/>
  <c r="X33" i="2" l="1"/>
  <c r="Y7" i="2"/>
  <c r="Z7" i="2" l="1"/>
  <c r="Y33" i="2"/>
  <c r="Z33" i="2" l="1"/>
  <c r="AA7" i="2"/>
  <c r="AA33" i="2" l="1"/>
  <c r="AB7" i="2"/>
  <c r="AC7" i="2" l="1"/>
  <c r="AB33" i="2"/>
  <c r="AD7" i="2" l="1"/>
  <c r="AC33" i="2"/>
  <c r="AE7" i="2" l="1"/>
  <c r="AD33" i="2"/>
  <c r="AF7" i="2" l="1"/>
  <c r="AE33" i="2"/>
  <c r="AF33" i="2" l="1"/>
  <c r="AG7" i="2"/>
  <c r="AH7" i="2" l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V37" i="2" s="1"/>
  <c r="AG33" i="2"/>
</calcChain>
</file>

<file path=xl/sharedStrings.xml><?xml version="1.0" encoding="utf-8"?>
<sst xmlns="http://schemas.openxmlformats.org/spreadsheetml/2006/main" count="89" uniqueCount="83">
  <si>
    <t xml:space="preserve">Price </t>
  </si>
  <si>
    <t>Shares</t>
  </si>
  <si>
    <t>MC</t>
  </si>
  <si>
    <t xml:space="preserve">Cash </t>
  </si>
  <si>
    <t xml:space="preserve">Debt </t>
  </si>
  <si>
    <t xml:space="preserve">EV </t>
  </si>
  <si>
    <t>Main</t>
  </si>
  <si>
    <t xml:space="preserve">Competitors ? </t>
  </si>
  <si>
    <t xml:space="preserve">Founded </t>
  </si>
  <si>
    <t xml:space="preserve">CEO </t>
  </si>
  <si>
    <t xml:space="preserve">Headcount </t>
  </si>
  <si>
    <t xml:space="preserve">Revenue </t>
  </si>
  <si>
    <t xml:space="preserve">COGS </t>
  </si>
  <si>
    <t>Gross</t>
  </si>
  <si>
    <t xml:space="preserve">RD </t>
  </si>
  <si>
    <t xml:space="preserve">SMA </t>
  </si>
  <si>
    <t>GA</t>
  </si>
  <si>
    <t xml:space="preserve">Restructuring </t>
  </si>
  <si>
    <t xml:space="preserve">Operating expenses </t>
  </si>
  <si>
    <t xml:space="preserve">Operating income </t>
  </si>
  <si>
    <t xml:space="preserve">Interest </t>
  </si>
  <si>
    <t xml:space="preserve">Other </t>
  </si>
  <si>
    <t xml:space="preserve">Pretax </t>
  </si>
  <si>
    <t>Tax</t>
  </si>
  <si>
    <t xml:space="preserve">Net income </t>
  </si>
  <si>
    <t xml:space="preserve">Revenue y/y </t>
  </si>
  <si>
    <t xml:space="preserve">Gross margin </t>
  </si>
  <si>
    <t xml:space="preserve">Tax rate 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</si>
  <si>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</si>
  <si>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</si>
  <si>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</si>
  <si>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</si>
  <si>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</si>
  <si>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</si>
  <si>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</si>
  <si>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</si>
  <si>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</si>
  <si>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</si>
  <si>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</si>
  <si>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</si>
  <si>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 xml:space="preserve">AR </t>
  </si>
  <si>
    <t>Prepaids</t>
  </si>
  <si>
    <t xml:space="preserve">PPE </t>
  </si>
  <si>
    <t xml:space="preserve">Tax </t>
  </si>
  <si>
    <t xml:space="preserve">Lease </t>
  </si>
  <si>
    <t>Goodwill</t>
  </si>
  <si>
    <t xml:space="preserve">ASSETS </t>
  </si>
  <si>
    <t xml:space="preserve">AP </t>
  </si>
  <si>
    <t xml:space="preserve">Accrued </t>
  </si>
  <si>
    <t xml:space="preserve">Deferred </t>
  </si>
  <si>
    <t xml:space="preserve">Contigent </t>
  </si>
  <si>
    <t xml:space="preserve">Liabilities </t>
  </si>
  <si>
    <t xml:space="preserve">SE </t>
  </si>
  <si>
    <t>L + SE</t>
  </si>
  <si>
    <t xml:space="preserve">Liquidation value </t>
  </si>
  <si>
    <t>CFFO</t>
  </si>
  <si>
    <t xml:space="preserve">CFFI </t>
  </si>
  <si>
    <t xml:space="preserve">CapEx </t>
  </si>
  <si>
    <t xml:space="preserve">FCF </t>
  </si>
  <si>
    <t xml:space="preserve">CFFF </t>
  </si>
  <si>
    <t xml:space="preserve">FX </t>
  </si>
  <si>
    <t xml:space="preserve">Change </t>
  </si>
  <si>
    <t xml:space="preserve">SBC </t>
  </si>
  <si>
    <t xml:space="preserve">CFFO no SBC </t>
  </si>
  <si>
    <t>terminal</t>
  </si>
  <si>
    <t>discount</t>
  </si>
  <si>
    <t>npv</t>
  </si>
  <si>
    <t>2 million users = 80% pf US doctors , 50 countries , 60% nurse practitioners , 90% graduating students</t>
  </si>
  <si>
    <t xml:space="preserve">Business segment = digital platform for medical professional in United States Linkedin Type for Doctors </t>
  </si>
  <si>
    <t xml:space="preserve">Linkedin revenue for FY 2023 was $15.7 billion </t>
  </si>
  <si>
    <t xml:space="preserve">EPS </t>
  </si>
  <si>
    <t xml:space="preserve">Linkedin has 1.2 billion users </t>
  </si>
  <si>
    <t xml:space="preserve">Registered nurses in US </t>
  </si>
  <si>
    <t xml:space="preserve">Personal care aides </t>
  </si>
  <si>
    <t xml:space="preserve">Nursing assistants </t>
  </si>
  <si>
    <t xml:space="preserve">Physicians </t>
  </si>
  <si>
    <t xml:space="preserve">Linkedin </t>
  </si>
  <si>
    <t xml:space="preserve">Sermo </t>
  </si>
  <si>
    <t xml:space="preserve">Teladoc </t>
  </si>
  <si>
    <t xml:space="preserve">Amwell </t>
  </si>
  <si>
    <t xml:space="preserve">Jeff Tangney </t>
  </si>
  <si>
    <t>Major revenue from pharma manufacturers , health systems who pay for ads , targeted digital advertising ,</t>
  </si>
  <si>
    <t xml:space="preserve">sponsored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</si>
</sst>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2"/>
    <xf numFmtId="9" fontId="0" fillId="0" borderId="0" xfId="1" applyFont="1"/>
    <xf numFmtId="3" fontId="0" fillId="0" borderId="0" xfId="0" applyNumberFormat="1"/>
    <xf numFmtId="3" fontId="0" fillId="0" borderId="0" xfId="1" applyNumberFormat="1" applyFont="1"/>
    <xf numFmtId="3" fontId="0" fillId="2" borderId="0" xfId="1" applyNumberFormat="1" applyFont="1" applyFill="1"/>
    <xf numFmtId="3" fontId="0" fillId="2" borderId="0" xfId="0" applyNumberFormat="1" applyFill="1"/>
    <xf numFmtId="3" fontId="2" fillId="2" borderId="0" xfId="1" applyNumberFormat="1" applyFont="1" applyFill="1"/>
    <xf numFmtId="3" fontId="2" fillId="2" borderId="0" xfId="0" applyNumberFormat="1" applyFont="1" applyFill="1"/>
    <xf numFmtId="3" fontId="2" fillId="0" borderId="0" xfId="1" applyNumberFormat="1" applyFont="1"/>
    <xf numFmtId="8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2" borderId="0" xfId="0" applyFill="1"/>
    <xf numFmtId="14" fontId="0" fillId="2" borderId="0" xfId="0" applyNumberFormat="1" applyFill="1"/>
    <xf numFmtId="4" fontId="0" fillId="2" borderId="0" xfId="0" applyNumberFormat="1" applyFill="1"/>
    <xf numFmtId="9" fontId="0" fillId="2" borderId="0" xfId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3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18</xdr:col>
      <xdr:colOff>19050</xdr:colOff>
      <xdr:row>68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5414320-0300-3FA7-E4F8-9B94A00BE930}"/>
            </a:ext>
          </a:extLst>
        </xdr:cNvPr>
        <xdr:cNvCxnSpPr/>
      </xdr:nvCxnSpPr>
      <xdr:spPr>
        <a:xfrm>
          <a:off x="14335125" y="0"/>
          <a:ext cx="19050" cy="1304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0</xdr:row>
      <xdr:rowOff>0</xdr:rowOff>
    </xdr:from>
    <xdr:to>
      <xdr:col>9</xdr:col>
      <xdr:colOff>38100</xdr:colOff>
      <xdr:row>68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22C701A-2E5D-4CEC-AD59-E90961959563}"/>
            </a:ext>
          </a:extLst>
        </xdr:cNvPr>
        <xdr:cNvCxnSpPr/>
      </xdr:nvCxnSpPr>
      <xdr:spPr>
        <a:xfrm>
          <a:off x="7410450" y="0"/>
          <a:ext cx="19050" cy="1304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7766-E0DC-4341-9C7F-19BAB39D91D6}">
  <dimension ref="C2:N37"/>
  <sheetViews>
    <sheetView workbookViewId="0">
      <selection activeCell="G9" sqref="G9"/>
    </sheetView>
  </sheetViews>
  <sheetFormatPr defaultRowHeight="15" x14ac:dyDescent="0.2"/>
  <cols>
    <col min="1" max="2" width="2.77734375" customWidth="1"/>
    <col min="3" max="3" width="10.33203125" customWidth="1"/>
    <col min="4" max="4" width="10.6640625" customWidth="1"/>
  </cols>
  <sheetData>
    <row r="2" spans="3:14" ht="15.75" thickBot="1" x14ac:dyDescent="0.25"/>
    <row r="3" spans="3:14" x14ac:dyDescent="0.2">
      <c r="C3" s="17" t="s">
        <v>8</v>
      </c>
      <c r="D3" s="18">
        <v>2012</v>
      </c>
      <c r="E3" s="18"/>
      <c r="F3" s="18"/>
      <c r="G3" s="18"/>
      <c r="H3" s="18"/>
      <c r="I3" s="18"/>
      <c r="J3" s="18"/>
      <c r="K3" s="19"/>
      <c r="M3" t="s">
        <v>0</v>
      </c>
      <c r="N3">
        <v>80.010000000000005</v>
      </c>
    </row>
    <row r="4" spans="3:14" x14ac:dyDescent="0.2">
      <c r="C4" s="20" t="s">
        <v>9</v>
      </c>
      <c r="D4" s="21" t="s">
        <v>80</v>
      </c>
      <c r="E4" s="21"/>
      <c r="F4" s="21"/>
      <c r="G4" s="21"/>
      <c r="H4" s="21"/>
      <c r="I4" s="21"/>
      <c r="J4" s="21"/>
      <c r="K4" s="22"/>
      <c r="M4" t="s">
        <v>1</v>
      </c>
      <c r="N4" s="3">
        <f>133.502334+54.134772</f>
        <v>187.63710599999999</v>
      </c>
    </row>
    <row r="5" spans="3:14" x14ac:dyDescent="0.2">
      <c r="C5" s="20" t="s">
        <v>10</v>
      </c>
      <c r="D5" s="21">
        <v>877</v>
      </c>
      <c r="E5" s="21"/>
      <c r="F5" s="21"/>
      <c r="G5" s="21"/>
      <c r="H5" s="21"/>
      <c r="I5" s="21"/>
      <c r="J5" s="21"/>
      <c r="K5" s="22"/>
      <c r="M5" t="s">
        <v>2</v>
      </c>
      <c r="N5" s="3">
        <f>+N3*N4</f>
        <v>15012.844851059999</v>
      </c>
    </row>
    <row r="6" spans="3:14" x14ac:dyDescent="0.2">
      <c r="C6" s="20"/>
      <c r="D6" s="21"/>
      <c r="E6" s="21"/>
      <c r="F6" s="21"/>
      <c r="G6" s="21"/>
      <c r="H6" s="21"/>
      <c r="I6" s="21"/>
      <c r="J6" s="21"/>
      <c r="K6" s="22"/>
      <c r="M6" t="s">
        <v>3</v>
      </c>
      <c r="N6" s="3">
        <f>165.27+679.67</f>
        <v>844.93999999999994</v>
      </c>
    </row>
    <row r="7" spans="3:14" x14ac:dyDescent="0.2">
      <c r="C7" s="20"/>
      <c r="D7" s="21"/>
      <c r="E7" s="21"/>
      <c r="F7" s="21"/>
      <c r="G7" s="21"/>
      <c r="H7" s="21"/>
      <c r="I7" s="21"/>
      <c r="J7" s="21"/>
      <c r="K7" s="22"/>
      <c r="M7" t="s">
        <v>4</v>
      </c>
      <c r="N7" s="3">
        <v>0</v>
      </c>
    </row>
    <row r="8" spans="3:14" x14ac:dyDescent="0.2">
      <c r="C8" s="20"/>
      <c r="D8" s="21"/>
      <c r="E8" s="21"/>
      <c r="F8" s="21"/>
      <c r="G8" s="21"/>
      <c r="H8" s="21"/>
      <c r="I8" s="21"/>
      <c r="J8" s="21"/>
      <c r="K8" s="22"/>
      <c r="M8" t="s">
        <v>5</v>
      </c>
      <c r="N8" s="3">
        <f>+N5-N6+N7</f>
        <v>14167.904851059999</v>
      </c>
    </row>
    <row r="9" spans="3:14" x14ac:dyDescent="0.2">
      <c r="C9" s="20"/>
      <c r="D9" s="21"/>
      <c r="E9" s="21"/>
      <c r="F9" s="21"/>
      <c r="G9" s="21"/>
      <c r="H9" s="21"/>
      <c r="I9" s="21"/>
      <c r="J9" s="21"/>
      <c r="K9" s="22"/>
    </row>
    <row r="10" spans="3:14" x14ac:dyDescent="0.2">
      <c r="C10" s="20" t="s">
        <v>68</v>
      </c>
      <c r="D10" s="21"/>
      <c r="E10" s="21"/>
      <c r="F10" s="21"/>
      <c r="G10" s="21"/>
      <c r="H10" s="21"/>
      <c r="I10" s="21"/>
      <c r="J10" s="21"/>
      <c r="K10" s="22"/>
    </row>
    <row r="11" spans="3:14" x14ac:dyDescent="0.2">
      <c r="C11" s="20" t="s">
        <v>81</v>
      </c>
      <c r="D11" s="21"/>
      <c r="E11" s="21"/>
      <c r="F11" s="21"/>
      <c r="G11" s="21"/>
      <c r="H11" s="21"/>
      <c r="I11" s="21"/>
      <c r="J11" s="21"/>
      <c r="K11" s="22"/>
    </row>
    <row r="12" spans="3:14" x14ac:dyDescent="0.2">
      <c r="C12" s="20" t="s">
        <v>82</v>
      </c>
      <c r="D12" s="21"/>
      <c r="E12" s="21"/>
      <c r="F12" s="21"/>
      <c r="G12" s="21"/>
      <c r="H12" s="21"/>
      <c r="I12" s="21"/>
      <c r="J12" s="21"/>
      <c r="K12" s="22"/>
    </row>
    <row r="13" spans="3:14" x14ac:dyDescent="0.2">
      <c r="C13" s="20" t="s">
        <v>69</v>
      </c>
      <c r="D13" s="21"/>
      <c r="E13" s="21"/>
      <c r="F13" s="21"/>
      <c r="G13" s="21"/>
      <c r="H13" s="21"/>
      <c r="I13" s="21"/>
      <c r="J13" s="21"/>
      <c r="K13" s="22"/>
    </row>
    <row r="14" spans="3:14" x14ac:dyDescent="0.2">
      <c r="C14" s="20" t="s">
        <v>71</v>
      </c>
      <c r="D14" s="21"/>
      <c r="E14" s="21"/>
      <c r="F14" s="21"/>
      <c r="G14" s="21"/>
      <c r="H14" s="21"/>
      <c r="I14" s="21"/>
      <c r="J14" s="21"/>
      <c r="K14" s="22"/>
    </row>
    <row r="15" spans="3:14" x14ac:dyDescent="0.2">
      <c r="C15" s="20"/>
      <c r="D15" s="21"/>
      <c r="E15" s="21"/>
      <c r="F15" s="21"/>
      <c r="G15" s="21"/>
      <c r="H15" s="21"/>
      <c r="I15" s="21"/>
      <c r="J15" s="21"/>
      <c r="K15" s="22"/>
    </row>
    <row r="16" spans="3:14" x14ac:dyDescent="0.2">
      <c r="C16" s="20" t="s">
        <v>72</v>
      </c>
      <c r="D16" s="21"/>
      <c r="E16" s="21"/>
      <c r="F16" s="23">
        <v>3363000</v>
      </c>
      <c r="G16" s="21"/>
      <c r="H16" s="21"/>
      <c r="I16" s="21"/>
      <c r="J16" s="21"/>
      <c r="K16" s="22"/>
    </row>
    <row r="17" spans="3:11" x14ac:dyDescent="0.2">
      <c r="C17" s="20" t="s">
        <v>73</v>
      </c>
      <c r="D17" s="21"/>
      <c r="E17" s="21"/>
      <c r="F17" s="23">
        <v>1407000</v>
      </c>
      <c r="G17" s="21"/>
      <c r="H17" s="21"/>
      <c r="I17" s="21"/>
      <c r="J17" s="21"/>
      <c r="K17" s="22"/>
    </row>
    <row r="18" spans="3:11" x14ac:dyDescent="0.2">
      <c r="C18" s="20" t="s">
        <v>74</v>
      </c>
      <c r="D18" s="21"/>
      <c r="E18" s="21"/>
      <c r="F18" s="23">
        <v>1236000</v>
      </c>
      <c r="G18" s="21"/>
      <c r="H18" s="21"/>
      <c r="I18" s="21"/>
      <c r="J18" s="21"/>
      <c r="K18" s="22"/>
    </row>
    <row r="19" spans="3:11" x14ac:dyDescent="0.2">
      <c r="C19" s="20" t="s">
        <v>75</v>
      </c>
      <c r="D19" s="21"/>
      <c r="E19" s="21"/>
      <c r="F19" s="23">
        <v>933000</v>
      </c>
      <c r="G19" s="21"/>
      <c r="H19" s="21"/>
      <c r="I19" s="21"/>
      <c r="J19" s="21"/>
      <c r="K19" s="22"/>
    </row>
    <row r="20" spans="3:11" x14ac:dyDescent="0.2">
      <c r="C20" s="20"/>
      <c r="D20" s="21"/>
      <c r="E20" s="21"/>
      <c r="F20" s="21"/>
      <c r="G20" s="21"/>
      <c r="H20" s="21"/>
      <c r="I20" s="21"/>
      <c r="J20" s="21"/>
      <c r="K20" s="22"/>
    </row>
    <row r="21" spans="3:11" x14ac:dyDescent="0.2">
      <c r="C21" s="20" t="s">
        <v>67</v>
      </c>
      <c r="D21" s="21"/>
      <c r="E21" s="21"/>
      <c r="F21" s="21"/>
      <c r="G21" s="21"/>
      <c r="H21" s="21"/>
      <c r="I21" s="21"/>
      <c r="J21" s="21"/>
      <c r="K21" s="22"/>
    </row>
    <row r="22" spans="3:11" x14ac:dyDescent="0.2">
      <c r="C22" s="20"/>
      <c r="D22" s="21"/>
      <c r="E22" s="21"/>
      <c r="F22" s="21"/>
      <c r="G22" s="21"/>
      <c r="H22" s="21"/>
      <c r="I22" s="21"/>
      <c r="J22" s="21"/>
      <c r="K22" s="22"/>
    </row>
    <row r="23" spans="3:11" x14ac:dyDescent="0.2">
      <c r="C23" s="20" t="s">
        <v>7</v>
      </c>
      <c r="D23" s="21"/>
      <c r="E23" s="21"/>
      <c r="F23" s="21"/>
      <c r="G23" s="21"/>
      <c r="H23" s="21"/>
      <c r="I23" s="21"/>
      <c r="J23" s="21"/>
      <c r="K23" s="22"/>
    </row>
    <row r="24" spans="3:11" x14ac:dyDescent="0.2">
      <c r="C24" s="20"/>
      <c r="D24" s="21"/>
      <c r="E24" s="21"/>
      <c r="F24" s="21"/>
      <c r="G24" s="21"/>
      <c r="H24" s="21"/>
      <c r="I24" s="21"/>
      <c r="J24" s="21"/>
      <c r="K24" s="22"/>
    </row>
    <row r="25" spans="3:11" x14ac:dyDescent="0.2">
      <c r="C25" s="20" t="s">
        <v>76</v>
      </c>
      <c r="D25" s="21"/>
      <c r="E25" s="21"/>
      <c r="F25" s="21"/>
      <c r="G25" s="21"/>
      <c r="H25" s="21"/>
      <c r="I25" s="21"/>
      <c r="J25" s="21"/>
      <c r="K25" s="22"/>
    </row>
    <row r="26" spans="3:11" x14ac:dyDescent="0.2">
      <c r="C26" s="20" t="s">
        <v>77</v>
      </c>
      <c r="D26" s="21"/>
      <c r="E26" s="21"/>
      <c r="F26" s="21"/>
      <c r="G26" s="21"/>
      <c r="H26" s="21"/>
      <c r="I26" s="21"/>
      <c r="J26" s="21"/>
      <c r="K26" s="22"/>
    </row>
    <row r="27" spans="3:11" x14ac:dyDescent="0.2">
      <c r="C27" s="20" t="s">
        <v>78</v>
      </c>
      <c r="D27" s="21"/>
      <c r="E27" s="21"/>
      <c r="F27" s="21"/>
      <c r="G27" s="21"/>
      <c r="H27" s="21"/>
      <c r="I27" s="21"/>
      <c r="J27" s="21"/>
      <c r="K27" s="22"/>
    </row>
    <row r="28" spans="3:11" x14ac:dyDescent="0.2">
      <c r="C28" s="20" t="s">
        <v>79</v>
      </c>
      <c r="D28" s="21"/>
      <c r="E28" s="21"/>
      <c r="F28" s="21"/>
      <c r="G28" s="21"/>
      <c r="H28" s="21"/>
      <c r="I28" s="21"/>
      <c r="J28" s="21"/>
      <c r="K28" s="22"/>
    </row>
    <row r="29" spans="3:11" x14ac:dyDescent="0.2">
      <c r="C29" s="20"/>
      <c r="D29" s="21"/>
      <c r="E29" s="21"/>
      <c r="F29" s="21"/>
      <c r="G29" s="21"/>
      <c r="H29" s="21"/>
      <c r="I29" s="21"/>
      <c r="J29" s="21"/>
      <c r="K29" s="22"/>
    </row>
    <row r="30" spans="3:11" x14ac:dyDescent="0.2">
      <c r="C30" s="20"/>
      <c r="D30" s="21"/>
      <c r="E30" s="21"/>
      <c r="F30" s="21"/>
      <c r="G30" s="21"/>
      <c r="H30" s="21"/>
      <c r="I30" s="21"/>
      <c r="J30" s="21"/>
      <c r="K30" s="22"/>
    </row>
    <row r="31" spans="3:11" x14ac:dyDescent="0.2">
      <c r="C31" s="20"/>
      <c r="D31" s="21"/>
      <c r="E31" s="21"/>
      <c r="F31" s="21"/>
      <c r="G31" s="21"/>
      <c r="H31" s="21"/>
      <c r="I31" s="21"/>
      <c r="J31" s="21"/>
      <c r="K31" s="22"/>
    </row>
    <row r="32" spans="3:11" x14ac:dyDescent="0.2">
      <c r="C32" s="20"/>
      <c r="D32" s="21"/>
      <c r="E32" s="21"/>
      <c r="F32" s="21"/>
      <c r="G32" s="21"/>
      <c r="H32" s="21"/>
      <c r="I32" s="21"/>
      <c r="J32" s="21"/>
      <c r="K32" s="22"/>
    </row>
    <row r="33" spans="3:11" x14ac:dyDescent="0.2">
      <c r="C33" s="20"/>
      <c r="D33" s="21"/>
      <c r="E33" s="21"/>
      <c r="F33" s="21"/>
      <c r="G33" s="21"/>
      <c r="H33" s="21"/>
      <c r="I33" s="21"/>
      <c r="J33" s="21"/>
      <c r="K33" s="22"/>
    </row>
    <row r="34" spans="3:11" x14ac:dyDescent="0.2">
      <c r="C34" s="20"/>
      <c r="D34" s="21"/>
      <c r="E34" s="21"/>
      <c r="F34" s="21"/>
      <c r="G34" s="21"/>
      <c r="H34" s="21"/>
      <c r="I34" s="21"/>
      <c r="J34" s="21"/>
      <c r="K34" s="22"/>
    </row>
    <row r="35" spans="3:11" x14ac:dyDescent="0.2">
      <c r="C35" s="20"/>
      <c r="D35" s="21"/>
      <c r="E35" s="21"/>
      <c r="F35" s="21"/>
      <c r="G35" s="21"/>
      <c r="H35" s="21"/>
      <c r="I35" s="21"/>
      <c r="J35" s="21"/>
      <c r="K35" s="22"/>
    </row>
    <row r="36" spans="3:11" x14ac:dyDescent="0.2">
      <c r="C36" s="20"/>
      <c r="D36" s="21"/>
      <c r="E36" s="21"/>
      <c r="F36" s="21"/>
      <c r="G36" s="21"/>
      <c r="H36" s="21"/>
      <c r="I36" s="21"/>
      <c r="J36" s="21"/>
      <c r="K36" s="22"/>
    </row>
    <row r="37" spans="3:11" ht="15.75" thickBot="1" x14ac:dyDescent="0.25">
      <c r="C37" s="24"/>
      <c r="D37" s="25"/>
      <c r="E37" s="25"/>
      <c r="F37" s="25"/>
      <c r="G37" s="25"/>
      <c r="H37" s="25"/>
      <c r="I37" s="25"/>
      <c r="J37" s="25"/>
      <c r="K3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BC17-029D-40B9-B588-7DBFED6DFCCC}">
  <dimension ref="A1:CI6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"/>
  <cols>
    <col min="1" max="1" width="4.77734375" bestFit="1" customWidth="1"/>
    <col min="2" max="2" width="17.21875" bestFit="1" customWidth="1"/>
    <col min="5" max="5" width="9.88671875" bestFit="1" customWidth="1"/>
    <col min="9" max="9" width="9.88671875" bestFit="1" customWidth="1"/>
    <col min="10" max="10" width="8.88671875" style="13"/>
    <col min="13" max="13" width="9.88671875" bestFit="1" customWidth="1"/>
    <col min="19" max="19" width="8.88671875" style="13"/>
    <col min="22" max="22" width="9.44140625" bestFit="1" customWidth="1"/>
    <col min="35" max="35" width="9.44140625" bestFit="1" customWidth="1"/>
  </cols>
  <sheetData>
    <row r="1" spans="1:34" x14ac:dyDescent="0.2">
      <c r="A1" s="1" t="s">
        <v>6</v>
      </c>
    </row>
    <row r="5" spans="1:34" x14ac:dyDescent="0.2">
      <c r="C5" s="11">
        <v>45107</v>
      </c>
      <c r="D5" s="11">
        <v>45199</v>
      </c>
      <c r="E5" s="11">
        <v>45291</v>
      </c>
      <c r="F5" s="11">
        <v>45382</v>
      </c>
      <c r="G5" s="11">
        <v>45473</v>
      </c>
      <c r="H5" s="11">
        <v>45565</v>
      </c>
      <c r="I5" s="11">
        <v>45657</v>
      </c>
      <c r="J5" s="14">
        <v>45747</v>
      </c>
      <c r="K5" s="11">
        <v>45838</v>
      </c>
      <c r="L5" s="11">
        <v>45930</v>
      </c>
      <c r="M5" s="11">
        <v>46022</v>
      </c>
      <c r="N5" s="11">
        <v>46112</v>
      </c>
      <c r="P5" s="11">
        <v>44651</v>
      </c>
      <c r="Q5" s="11">
        <v>45016</v>
      </c>
      <c r="R5" s="11">
        <v>45382</v>
      </c>
      <c r="S5" s="14">
        <v>45747</v>
      </c>
    </row>
    <row r="6" spans="1:34" x14ac:dyDescent="0.2"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s="13" t="s">
        <v>35</v>
      </c>
      <c r="K6" t="s">
        <v>36</v>
      </c>
      <c r="L6" t="s">
        <v>37</v>
      </c>
      <c r="M6" t="s">
        <v>38</v>
      </c>
      <c r="N6" t="s">
        <v>39</v>
      </c>
      <c r="P6">
        <v>2021</v>
      </c>
      <c r="Q6">
        <v>2022</v>
      </c>
      <c r="R6">
        <v>2023</v>
      </c>
      <c r="S6" s="13">
        <f>+R6+1</f>
        <v>2024</v>
      </c>
      <c r="T6">
        <f>+S6+1</f>
        <v>2025</v>
      </c>
      <c r="U6">
        <f>+T6+1</f>
        <v>2026</v>
      </c>
      <c r="V6">
        <f>+U6+1</f>
        <v>2027</v>
      </c>
      <c r="W6">
        <f>+V6+1</f>
        <v>2028</v>
      </c>
      <c r="X6">
        <f>+W6+1</f>
        <v>2029</v>
      </c>
      <c r="Y6">
        <f>+X6+1</f>
        <v>2030</v>
      </c>
      <c r="Z6">
        <f>+Y6+1</f>
        <v>2031</v>
      </c>
      <c r="AA6">
        <f>+Z6+1</f>
        <v>2032</v>
      </c>
      <c r="AB6">
        <f>+AA6+1</f>
        <v>2033</v>
      </c>
      <c r="AC6">
        <f>+AB6+1</f>
        <v>2034</v>
      </c>
      <c r="AD6">
        <f>+AC6+1</f>
        <v>2035</v>
      </c>
      <c r="AE6">
        <f>+AD6+1</f>
        <v>2036</v>
      </c>
      <c r="AF6">
        <f>+AE6+1</f>
        <v>2037</v>
      </c>
      <c r="AG6">
        <f>+AF6+1</f>
        <v>2038</v>
      </c>
      <c r="AH6">
        <f>+AG6+1</f>
        <v>2039</v>
      </c>
    </row>
    <row r="7" spans="1:34" s="3" customFormat="1" x14ac:dyDescent="0.2">
      <c r="B7" s="3" t="s">
        <v>11</v>
      </c>
      <c r="C7" s="3">
        <v>108.46899999999999</v>
      </c>
      <c r="D7" s="3">
        <v>113.61199999999999</v>
      </c>
      <c r="E7" s="3">
        <v>135.28399999999999</v>
      </c>
      <c r="F7" s="3">
        <f>+R7-E7-D7-C7</f>
        <v>118.05700000000004</v>
      </c>
      <c r="G7" s="3">
        <v>126.676</v>
      </c>
      <c r="H7" s="3">
        <v>136.83199999999999</v>
      </c>
      <c r="I7" s="3">
        <v>168.60300000000001</v>
      </c>
      <c r="J7" s="6">
        <f>+F7*1.2</f>
        <v>141.66840000000005</v>
      </c>
      <c r="P7" s="3">
        <v>343.548</v>
      </c>
      <c r="Q7" s="3">
        <v>419.05200000000002</v>
      </c>
      <c r="R7" s="3">
        <v>475.42200000000003</v>
      </c>
      <c r="S7" s="6">
        <f>+SUM(G7:J7)</f>
        <v>573.77940000000001</v>
      </c>
      <c r="T7" s="3">
        <f>+S7*1.1</f>
        <v>631.15734000000009</v>
      </c>
      <c r="U7" s="3">
        <f>+T7*1.1</f>
        <v>694.27307400000018</v>
      </c>
      <c r="V7" s="3">
        <f>+U7*1.1</f>
        <v>763.70038140000031</v>
      </c>
      <c r="W7" s="3">
        <f>+V7*1.1</f>
        <v>840.07041954000044</v>
      </c>
      <c r="X7" s="3">
        <f>+W7*1.1</f>
        <v>924.07746149400054</v>
      </c>
      <c r="Y7" s="3">
        <f>+X7*1.1</f>
        <v>1016.4852076434007</v>
      </c>
      <c r="Z7" s="3">
        <f>+Y7*1.1</f>
        <v>1118.1337284077408</v>
      </c>
      <c r="AA7" s="3">
        <f>+Z7*1.1</f>
        <v>1229.9471012485151</v>
      </c>
      <c r="AB7" s="3">
        <f>+AA7*1.1</f>
        <v>1352.9418113733666</v>
      </c>
      <c r="AC7" s="3">
        <f>+AB7*1.1</f>
        <v>1488.2359925107035</v>
      </c>
      <c r="AD7" s="3">
        <f>+AC7*0.98</f>
        <v>1458.4712726604894</v>
      </c>
      <c r="AE7" s="3">
        <f>+AD7*0.98</f>
        <v>1429.3018472072795</v>
      </c>
      <c r="AF7" s="3">
        <f>+AE7*0.98</f>
        <v>1400.7158102631338</v>
      </c>
      <c r="AG7" s="3">
        <f>+AF7*0.98</f>
        <v>1372.7014940578711</v>
      </c>
      <c r="AH7" s="3">
        <f>+AG7*0.98</f>
        <v>1345.2474641767137</v>
      </c>
    </row>
    <row r="8" spans="1:34" s="3" customFormat="1" x14ac:dyDescent="0.2">
      <c r="B8" s="3" t="s">
        <v>12</v>
      </c>
      <c r="C8" s="3">
        <v>13.153</v>
      </c>
      <c r="D8" s="3">
        <v>12.759</v>
      </c>
      <c r="E8" s="3">
        <v>12.19</v>
      </c>
      <c r="F8" s="3">
        <f>+R8-E8-D8-C8</f>
        <v>12.566999999999998</v>
      </c>
      <c r="G8" s="3">
        <v>13.55</v>
      </c>
      <c r="H8" s="3">
        <v>13.676</v>
      </c>
      <c r="I8" s="3">
        <v>14.180999999999999</v>
      </c>
      <c r="J8" s="6"/>
      <c r="P8" s="3">
        <v>39.786999999999999</v>
      </c>
      <c r="Q8" s="3">
        <v>53.49</v>
      </c>
      <c r="R8" s="3">
        <v>50.668999999999997</v>
      </c>
      <c r="S8" s="6"/>
    </row>
    <row r="9" spans="1:34" s="3" customFormat="1" x14ac:dyDescent="0.2">
      <c r="B9" s="3" t="s">
        <v>13</v>
      </c>
      <c r="C9" s="3">
        <f>+C7-C8</f>
        <v>95.315999999999988</v>
      </c>
      <c r="D9" s="3">
        <f>+D7-D8</f>
        <v>100.85299999999999</v>
      </c>
      <c r="E9" s="3">
        <f>+E7-E8</f>
        <v>123.09399999999999</v>
      </c>
      <c r="F9" s="3">
        <f>+F7-F8</f>
        <v>105.49000000000005</v>
      </c>
      <c r="G9" s="3">
        <f>+G7-G8</f>
        <v>113.126</v>
      </c>
      <c r="H9" s="3">
        <f>+H7-H8</f>
        <v>123.15599999999999</v>
      </c>
      <c r="I9" s="3">
        <f>+I7-I8</f>
        <v>154.422</v>
      </c>
      <c r="J9" s="6"/>
      <c r="P9" s="3">
        <f>+P7-P8</f>
        <v>303.76100000000002</v>
      </c>
      <c r="Q9" s="3">
        <f>+Q7-Q8</f>
        <v>365.56200000000001</v>
      </c>
      <c r="R9" s="3">
        <f>+R7-R8</f>
        <v>424.75300000000004</v>
      </c>
      <c r="S9" s="6"/>
    </row>
    <row r="10" spans="1:34" s="3" customFormat="1" x14ac:dyDescent="0.2">
      <c r="B10" s="3" t="s">
        <v>14</v>
      </c>
      <c r="C10" s="3">
        <v>21.931000000000001</v>
      </c>
      <c r="D10" s="3">
        <v>19.957999999999998</v>
      </c>
      <c r="E10" s="3">
        <v>19.946000000000002</v>
      </c>
      <c r="F10" s="3">
        <f>+R10-E10-D10-C10</f>
        <v>20.148000000000007</v>
      </c>
      <c r="G10" s="3">
        <v>22.574000000000002</v>
      </c>
      <c r="H10" s="3">
        <v>23.24</v>
      </c>
      <c r="I10" s="3">
        <v>22.420999999999999</v>
      </c>
      <c r="J10" s="6"/>
      <c r="P10" s="3">
        <v>62.35</v>
      </c>
      <c r="Q10" s="3">
        <v>80.186000000000007</v>
      </c>
      <c r="R10" s="3">
        <v>81.983000000000004</v>
      </c>
      <c r="S10" s="6"/>
    </row>
    <row r="11" spans="1:34" s="3" customFormat="1" x14ac:dyDescent="0.2">
      <c r="B11" s="3" t="s">
        <v>15</v>
      </c>
      <c r="C11" s="3">
        <v>34.454999999999998</v>
      </c>
      <c r="D11" s="3">
        <v>30.201000000000001</v>
      </c>
      <c r="E11" s="3">
        <v>34.956000000000003</v>
      </c>
      <c r="F11" s="3">
        <f>+R11-E11-D11-C11</f>
        <v>33.516999999999982</v>
      </c>
      <c r="G11" s="3">
        <v>35.244</v>
      </c>
      <c r="H11" s="3">
        <v>34.366999999999997</v>
      </c>
      <c r="I11" s="3">
        <v>38.491</v>
      </c>
      <c r="J11" s="6"/>
      <c r="P11" s="3">
        <v>92.129000000000005</v>
      </c>
      <c r="Q11" s="3">
        <v>123.523</v>
      </c>
      <c r="R11" s="3">
        <v>133.12899999999999</v>
      </c>
      <c r="S11" s="6"/>
    </row>
    <row r="12" spans="1:34" s="3" customFormat="1" x14ac:dyDescent="0.2">
      <c r="B12" s="3" t="s">
        <v>16</v>
      </c>
      <c r="C12" s="3">
        <v>9.2469999999999999</v>
      </c>
      <c r="D12" s="3">
        <v>8.9659999999999993</v>
      </c>
      <c r="E12" s="3">
        <v>9.641</v>
      </c>
      <c r="F12" s="3">
        <f>+R12-E12-D12-C12</f>
        <v>9.972999999999999</v>
      </c>
      <c r="G12" s="3">
        <v>9.2550000000000008</v>
      </c>
      <c r="H12" s="3">
        <v>10.103</v>
      </c>
      <c r="I12" s="3">
        <v>13.585000000000001</v>
      </c>
      <c r="J12" s="6"/>
      <c r="P12" s="3">
        <v>35.746000000000002</v>
      </c>
      <c r="Q12" s="3">
        <v>36.744999999999997</v>
      </c>
      <c r="R12" s="3">
        <v>37.826999999999998</v>
      </c>
      <c r="S12" s="6"/>
    </row>
    <row r="13" spans="1:34" s="3" customFormat="1" x14ac:dyDescent="0.2">
      <c r="B13" s="3" t="s">
        <v>17</v>
      </c>
      <c r="C13" s="3">
        <v>0</v>
      </c>
      <c r="D13" s="3">
        <v>7.9359999999999999</v>
      </c>
      <c r="E13" s="3">
        <v>0</v>
      </c>
      <c r="F13" s="3">
        <f>+R13-E13-D13-C13</f>
        <v>0</v>
      </c>
      <c r="G13" s="3">
        <v>0</v>
      </c>
      <c r="H13" s="3">
        <v>2.3039999999999998</v>
      </c>
      <c r="I13" s="3">
        <v>0</v>
      </c>
      <c r="J13" s="6"/>
      <c r="P13" s="3">
        <v>0</v>
      </c>
      <c r="Q13" s="3">
        <v>0</v>
      </c>
      <c r="R13" s="3">
        <v>7.9359999999999999</v>
      </c>
      <c r="S13" s="6"/>
    </row>
    <row r="14" spans="1:34" s="3" customFormat="1" x14ac:dyDescent="0.2">
      <c r="B14" s="3" t="s">
        <v>18</v>
      </c>
      <c r="C14" s="3">
        <f>+C10+C11+C12+C13</f>
        <v>65.632999999999996</v>
      </c>
      <c r="D14" s="3">
        <f>+D10+D11+D12+D13</f>
        <v>67.061000000000007</v>
      </c>
      <c r="E14" s="3">
        <f>+E10+E11+E12+E13</f>
        <v>64.543000000000006</v>
      </c>
      <c r="F14" s="3">
        <f>+F10+F11+F12+F13</f>
        <v>63.637999999999991</v>
      </c>
      <c r="G14" s="3">
        <f>+G10+G11+G12+G13</f>
        <v>67.072999999999993</v>
      </c>
      <c r="H14" s="3">
        <f>+H10+H11+H12+H13</f>
        <v>70.013999999999996</v>
      </c>
      <c r="I14" s="3">
        <f>+I10+I11+I12+I13</f>
        <v>74.497</v>
      </c>
      <c r="J14" s="6"/>
      <c r="P14" s="3">
        <f>+P10+P11+P12+P13</f>
        <v>190.22500000000002</v>
      </c>
      <c r="Q14" s="3">
        <f>+Q10+Q11+Q12+Q13</f>
        <v>240.45400000000001</v>
      </c>
      <c r="R14" s="3">
        <f>+R10+R11+R12+R13</f>
        <v>260.875</v>
      </c>
      <c r="S14" s="6"/>
    </row>
    <row r="15" spans="1:34" s="3" customFormat="1" x14ac:dyDescent="0.2">
      <c r="B15" s="3" t="s">
        <v>19</v>
      </c>
      <c r="C15" s="3">
        <f>+C9-C14</f>
        <v>29.682999999999993</v>
      </c>
      <c r="D15" s="3">
        <f>+D9-D14</f>
        <v>33.791999999999987</v>
      </c>
      <c r="E15" s="3">
        <f>+E9-E14</f>
        <v>58.550999999999988</v>
      </c>
      <c r="F15" s="3">
        <f>+F9-F14</f>
        <v>41.852000000000061</v>
      </c>
      <c r="G15" s="3">
        <f>+G9-G14</f>
        <v>46.053000000000011</v>
      </c>
      <c r="H15" s="3">
        <f>+H9-H14</f>
        <v>53.141999999999996</v>
      </c>
      <c r="I15" s="3">
        <f>+I9-I14</f>
        <v>79.924999999999997</v>
      </c>
      <c r="J15" s="6"/>
      <c r="P15" s="3">
        <f>+P9-P14</f>
        <v>113.536</v>
      </c>
      <c r="Q15" s="3">
        <f>+Q9-Q14</f>
        <v>125.108</v>
      </c>
      <c r="R15" s="3">
        <f>+R9-R14</f>
        <v>163.87800000000004</v>
      </c>
      <c r="S15" s="6"/>
    </row>
    <row r="16" spans="1:34" s="3" customFormat="1" x14ac:dyDescent="0.2">
      <c r="B16" s="3" t="s">
        <v>20</v>
      </c>
      <c r="C16" s="3">
        <v>0</v>
      </c>
      <c r="D16" s="3">
        <v>0</v>
      </c>
      <c r="E16" s="3">
        <v>0</v>
      </c>
      <c r="F16" s="3">
        <f>+R16-E16-D16-C16</f>
        <v>0</v>
      </c>
      <c r="G16" s="3">
        <v>0</v>
      </c>
      <c r="H16" s="3">
        <v>0</v>
      </c>
      <c r="I16" s="3">
        <v>0</v>
      </c>
      <c r="J16" s="6"/>
      <c r="P16" s="3">
        <v>0</v>
      </c>
      <c r="Q16" s="3">
        <v>0</v>
      </c>
      <c r="R16" s="3">
        <v>0</v>
      </c>
      <c r="S16" s="6"/>
    </row>
    <row r="17" spans="2:19" s="3" customFormat="1" x14ac:dyDescent="0.2">
      <c r="B17" s="3" t="s">
        <v>21</v>
      </c>
      <c r="C17" s="3">
        <v>4.8390000000000004</v>
      </c>
      <c r="D17" s="3">
        <v>5.9029999999999996</v>
      </c>
      <c r="E17" s="3">
        <v>4.4809999999999999</v>
      </c>
      <c r="F17" s="3">
        <f>+R17-E17-D17-C17</f>
        <v>6.1010000000000044</v>
      </c>
      <c r="G17" s="3">
        <v>7.1159999999999997</v>
      </c>
      <c r="H17" s="3">
        <v>9.0289999999999999</v>
      </c>
      <c r="I17" s="3">
        <v>9.9149999999999991</v>
      </c>
      <c r="J17" s="6"/>
      <c r="P17" s="3">
        <v>0.46899999999999997</v>
      </c>
      <c r="Q17" s="3">
        <v>8.048</v>
      </c>
      <c r="R17" s="3">
        <v>21.324000000000002</v>
      </c>
      <c r="S17" s="6"/>
    </row>
    <row r="18" spans="2:19" s="3" customFormat="1" x14ac:dyDescent="0.2">
      <c r="B18" s="3" t="s">
        <v>22</v>
      </c>
      <c r="C18" s="3">
        <f>+C15+C16+C17</f>
        <v>34.521999999999991</v>
      </c>
      <c r="D18" s="3">
        <f>+D15+D16+D17</f>
        <v>39.694999999999986</v>
      </c>
      <c r="E18" s="3">
        <f>+E15+E16+E17</f>
        <v>63.031999999999989</v>
      </c>
      <c r="F18" s="3">
        <f>+F15+F16+F17</f>
        <v>47.953000000000067</v>
      </c>
      <c r="G18" s="3">
        <f>+G15+G16+G17</f>
        <v>53.169000000000011</v>
      </c>
      <c r="H18" s="3">
        <f>+H15+H16+H17</f>
        <v>62.170999999999992</v>
      </c>
      <c r="I18" s="3">
        <f>+I15+I16+I17</f>
        <v>89.84</v>
      </c>
      <c r="J18" s="6"/>
      <c r="P18" s="3">
        <f>+P15+P16+P17</f>
        <v>114.005</v>
      </c>
      <c r="Q18" s="3">
        <f>+Q15+Q16+Q17</f>
        <v>133.15600000000001</v>
      </c>
      <c r="R18" s="3">
        <f>+R15+R16+R17</f>
        <v>185.20200000000006</v>
      </c>
      <c r="S18" s="6"/>
    </row>
    <row r="19" spans="2:19" s="3" customFormat="1" x14ac:dyDescent="0.2">
      <c r="B19" s="3" t="s">
        <v>23</v>
      </c>
      <c r="C19" s="3">
        <v>6.1159999999999997</v>
      </c>
      <c r="D19" s="3">
        <v>9.093</v>
      </c>
      <c r="E19" s="3">
        <v>15.076000000000001</v>
      </c>
      <c r="F19" s="3">
        <f>+R19-E19-D19-C19</f>
        <v>7.3349999999999973</v>
      </c>
      <c r="G19" s="3">
        <v>11.792</v>
      </c>
      <c r="H19" s="3">
        <v>18.016999999999999</v>
      </c>
      <c r="I19" s="3">
        <v>14.644</v>
      </c>
      <c r="J19" s="6"/>
      <c r="P19" s="3">
        <v>-40.777999999999999</v>
      </c>
      <c r="Q19" s="3">
        <v>20.338000000000001</v>
      </c>
      <c r="R19" s="3">
        <v>37.619999999999997</v>
      </c>
      <c r="S19" s="6"/>
    </row>
    <row r="20" spans="2:19" s="3" customFormat="1" x14ac:dyDescent="0.2">
      <c r="B20" s="3" t="s">
        <v>24</v>
      </c>
      <c r="C20" s="3">
        <f>+C18-C19</f>
        <v>28.405999999999992</v>
      </c>
      <c r="D20" s="3">
        <f>+D18-D19</f>
        <v>30.601999999999986</v>
      </c>
      <c r="E20" s="3">
        <f>+E18-E19</f>
        <v>47.955999999999989</v>
      </c>
      <c r="F20" s="3">
        <f>+F18-F19</f>
        <v>40.618000000000066</v>
      </c>
      <c r="G20" s="3">
        <f>+G18-G19</f>
        <v>41.37700000000001</v>
      </c>
      <c r="H20" s="3">
        <f>+H18-H19</f>
        <v>44.153999999999996</v>
      </c>
      <c r="I20" s="3">
        <f>+I18-I19</f>
        <v>75.195999999999998</v>
      </c>
      <c r="J20" s="6"/>
      <c r="P20" s="3">
        <f>+P18-P19</f>
        <v>154.78299999999999</v>
      </c>
      <c r="Q20" s="3">
        <f>+Q18-Q19</f>
        <v>112.81800000000001</v>
      </c>
      <c r="R20" s="3">
        <f>+R18-R19</f>
        <v>147.58200000000005</v>
      </c>
      <c r="S20" s="6"/>
    </row>
    <row r="21" spans="2:19" s="12" customFormat="1" x14ac:dyDescent="0.2">
      <c r="B21" s="12" t="s">
        <v>70</v>
      </c>
      <c r="C21" s="12">
        <f>+C20/C22</f>
        <v>0.13376657013020646</v>
      </c>
      <c r="D21" s="12">
        <f>+D20/D22</f>
        <v>0.14641124517974866</v>
      </c>
      <c r="E21" s="12">
        <f>+E20/E22</f>
        <v>0.23922619136698539</v>
      </c>
      <c r="F21" s="12">
        <f>+F20/F22</f>
        <v>0.19595968042815454</v>
      </c>
      <c r="G21" s="12">
        <f>+G20/G22</f>
        <v>0.20769084046098871</v>
      </c>
      <c r="H21" s="12">
        <f>+H20/H22</f>
        <v>0.22032164545150615</v>
      </c>
      <c r="I21" s="12">
        <f>+I20/I22</f>
        <v>0.37182853441327574</v>
      </c>
      <c r="J21" s="15"/>
      <c r="S21" s="15"/>
    </row>
    <row r="22" spans="2:19" s="3" customFormat="1" x14ac:dyDescent="0.2">
      <c r="B22" s="3" t="s">
        <v>1</v>
      </c>
      <c r="C22" s="3">
        <v>212.35499999999999</v>
      </c>
      <c r="D22" s="3">
        <v>209.01400000000001</v>
      </c>
      <c r="E22" s="3">
        <v>200.46299999999999</v>
      </c>
      <c r="F22" s="3">
        <f>+AVERAGE(C22:E22)</f>
        <v>207.27733333333333</v>
      </c>
      <c r="G22" s="3">
        <v>199.22399999999999</v>
      </c>
      <c r="H22" s="3">
        <v>200.40700000000001</v>
      </c>
      <c r="I22" s="3">
        <v>202.233</v>
      </c>
      <c r="J22" s="6"/>
      <c r="S22" s="6"/>
    </row>
    <row r="24" spans="2:19" s="2" customFormat="1" x14ac:dyDescent="0.2">
      <c r="B24" s="2" t="s">
        <v>25</v>
      </c>
      <c r="G24" s="2">
        <f>+G7/C7-1</f>
        <v>0.16785441001576507</v>
      </c>
      <c r="H24" s="2">
        <f>+H7/D7-1</f>
        <v>0.20437981903320068</v>
      </c>
      <c r="I24" s="2">
        <f>+I7/E7-1</f>
        <v>0.24628928772064707</v>
      </c>
      <c r="J24" s="16">
        <f>+J7/F7-1</f>
        <v>0.19999999999999996</v>
      </c>
      <c r="Q24" s="2">
        <f>+Q7/P7-1</f>
        <v>0.21977714904467494</v>
      </c>
      <c r="R24" s="2">
        <f>+R7/Q7-1</f>
        <v>0.13451791185819428</v>
      </c>
      <c r="S24" s="16">
        <f>+S7/R7-1</f>
        <v>0.20688441006095637</v>
      </c>
    </row>
    <row r="25" spans="2:19" s="2" customFormat="1" x14ac:dyDescent="0.2">
      <c r="B25" s="2" t="s">
        <v>26</v>
      </c>
      <c r="C25" s="2">
        <f>+C9/C7</f>
        <v>0.87873954770487417</v>
      </c>
      <c r="D25" s="2">
        <f>+D9/D7</f>
        <v>0.88769672217723483</v>
      </c>
      <c r="E25" s="2">
        <f>+E9/E7</f>
        <v>0.90989326158304018</v>
      </c>
      <c r="F25" s="2">
        <f>+F9/F7</f>
        <v>0.89355142007674271</v>
      </c>
      <c r="G25" s="2">
        <f>+G9/G7</f>
        <v>0.89303419748018564</v>
      </c>
      <c r="H25" s="2">
        <f>+H9/H7</f>
        <v>0.90005261927034608</v>
      </c>
      <c r="I25" s="2">
        <f>+I9/I7</f>
        <v>0.91589117631358863</v>
      </c>
      <c r="J25" s="16"/>
      <c r="P25" s="2">
        <f>+P9/P7</f>
        <v>0.88418794462491423</v>
      </c>
      <c r="Q25" s="2">
        <f>+Q9/Q7</f>
        <v>0.87235474356404452</v>
      </c>
      <c r="R25" s="2">
        <f>+R9/R7</f>
        <v>0.89342310620879983</v>
      </c>
      <c r="S25" s="16"/>
    </row>
    <row r="26" spans="2:19" s="2" customFormat="1" x14ac:dyDescent="0.2">
      <c r="B26" s="2" t="s">
        <v>27</v>
      </c>
      <c r="C26" s="2">
        <f>+C19/C18</f>
        <v>0.1771623892010892</v>
      </c>
      <c r="D26" s="2">
        <f>+D19/D18</f>
        <v>0.22907167149515059</v>
      </c>
      <c r="E26" s="2">
        <f>+E19/E18</f>
        <v>0.23918009899733472</v>
      </c>
      <c r="F26" s="2">
        <f>+F19/F18</f>
        <v>0.15296227556148703</v>
      </c>
      <c r="G26" s="2">
        <f>+G19/G18</f>
        <v>0.22178337000883969</v>
      </c>
      <c r="H26" s="2">
        <f>+H19/H18</f>
        <v>0.28979749400846055</v>
      </c>
      <c r="I26" s="2">
        <f>+I19/I18</f>
        <v>0.16300089047195013</v>
      </c>
      <c r="J26" s="16"/>
      <c r="Q26" s="2">
        <f>+Q19/Q18</f>
        <v>0.15273814172849889</v>
      </c>
      <c r="R26" s="2">
        <f>+R19/R18</f>
        <v>0.20312955583632999</v>
      </c>
      <c r="S26" s="16"/>
    </row>
    <row r="27" spans="2:19" s="2" customFormat="1" x14ac:dyDescent="0.2">
      <c r="J27" s="16"/>
      <c r="S27" s="16"/>
    </row>
    <row r="28" spans="2:19" s="9" customFormat="1" ht="15.75" x14ac:dyDescent="0.25">
      <c r="B28" s="9" t="s">
        <v>63</v>
      </c>
      <c r="J28" s="7"/>
      <c r="P28" s="9">
        <f>+P30-P29</f>
        <v>95.13300000000001</v>
      </c>
      <c r="Q28" s="9">
        <f>+Q30-Q29</f>
        <v>131.768</v>
      </c>
      <c r="R28" s="9">
        <f>+R30-R29</f>
        <v>133.02000000000001</v>
      </c>
      <c r="S28" s="7"/>
    </row>
    <row r="29" spans="2:19" s="4" customFormat="1" x14ac:dyDescent="0.2">
      <c r="B29" s="4" t="s">
        <v>62</v>
      </c>
      <c r="J29" s="5"/>
      <c r="P29" s="4">
        <v>31.442</v>
      </c>
      <c r="Q29" s="4">
        <v>47.834000000000003</v>
      </c>
      <c r="R29" s="4">
        <v>51.076000000000001</v>
      </c>
      <c r="S29" s="5"/>
    </row>
    <row r="30" spans="2:19" s="4" customFormat="1" x14ac:dyDescent="0.2">
      <c r="B30" s="4" t="s">
        <v>55</v>
      </c>
      <c r="J30" s="5"/>
      <c r="P30" s="4">
        <v>126.575</v>
      </c>
      <c r="Q30" s="4">
        <v>179.602</v>
      </c>
      <c r="R30" s="4">
        <v>184.096</v>
      </c>
      <c r="S30" s="5"/>
    </row>
    <row r="31" spans="2:19" s="4" customFormat="1" x14ac:dyDescent="0.2">
      <c r="B31" s="4" t="s">
        <v>56</v>
      </c>
      <c r="J31" s="5"/>
      <c r="P31" s="4">
        <v>-640.57399999999996</v>
      </c>
      <c r="Q31" s="4">
        <v>-59.923000000000002</v>
      </c>
      <c r="R31" s="4">
        <v>31.186</v>
      </c>
      <c r="S31" s="5"/>
    </row>
    <row r="32" spans="2:19" s="4" customFormat="1" x14ac:dyDescent="0.2">
      <c r="B32" s="4" t="s">
        <v>57</v>
      </c>
      <c r="J32" s="5"/>
      <c r="P32" s="4">
        <v>-1.9119999999999999</v>
      </c>
      <c r="Q32" s="4">
        <v>-1.7010000000000001</v>
      </c>
      <c r="R32" s="4">
        <v>-0.14699999999999999</v>
      </c>
      <c r="S32" s="5"/>
    </row>
    <row r="33" spans="2:87" s="9" customFormat="1" ht="15.75" x14ac:dyDescent="0.25">
      <c r="B33" s="9" t="s">
        <v>58</v>
      </c>
      <c r="J33" s="7"/>
      <c r="P33" s="9">
        <f>+P30+P32</f>
        <v>124.663</v>
      </c>
      <c r="Q33" s="9">
        <f>+Q30+Q32</f>
        <v>177.90100000000001</v>
      </c>
      <c r="R33" s="9">
        <f>+R30+R32</f>
        <v>183.94900000000001</v>
      </c>
      <c r="S33" s="7">
        <f>+S7*0.35</f>
        <v>200.82279</v>
      </c>
      <c r="T33" s="9">
        <f t="shared" ref="T33:AH33" si="0">+T7*0.35</f>
        <v>220.90506900000003</v>
      </c>
      <c r="U33" s="9">
        <f t="shared" si="0"/>
        <v>242.99557590000003</v>
      </c>
      <c r="V33" s="9">
        <f t="shared" si="0"/>
        <v>267.29513349000007</v>
      </c>
      <c r="W33" s="9">
        <f t="shared" si="0"/>
        <v>294.02464683900013</v>
      </c>
      <c r="X33" s="9">
        <f t="shared" si="0"/>
        <v>323.42711152290019</v>
      </c>
      <c r="Y33" s="9">
        <f t="shared" si="0"/>
        <v>355.76982267519026</v>
      </c>
      <c r="Z33" s="9">
        <f t="shared" si="0"/>
        <v>391.34680494270924</v>
      </c>
      <c r="AA33" s="9">
        <f t="shared" si="0"/>
        <v>430.48148543698028</v>
      </c>
      <c r="AB33" s="9">
        <f t="shared" si="0"/>
        <v>473.52963398067828</v>
      </c>
      <c r="AC33" s="9">
        <f t="shared" si="0"/>
        <v>520.88259737874614</v>
      </c>
      <c r="AD33" s="9">
        <f t="shared" si="0"/>
        <v>510.46494543117126</v>
      </c>
      <c r="AE33" s="9">
        <f t="shared" si="0"/>
        <v>500.25564652254781</v>
      </c>
      <c r="AF33" s="9">
        <f t="shared" si="0"/>
        <v>490.25053359209682</v>
      </c>
      <c r="AG33" s="9">
        <f t="shared" si="0"/>
        <v>480.44552292025486</v>
      </c>
      <c r="AH33" s="9">
        <f t="shared" si="0"/>
        <v>470.83661246184977</v>
      </c>
      <c r="AI33" s="9">
        <f>+AH33*(1+$V$35)</f>
        <v>475.54497858646829</v>
      </c>
      <c r="AJ33" s="9">
        <f>+AI33*(1+$V$35)</f>
        <v>480.30042837233299</v>
      </c>
      <c r="AK33" s="9">
        <f>+AJ33*(1+$V$35)</f>
        <v>485.10343265605633</v>
      </c>
      <c r="AL33" s="9">
        <f>+AK33*(1+$V$35)</f>
        <v>489.95446698261691</v>
      </c>
      <c r="AM33" s="9">
        <f>+AL33*(1+$V$35)</f>
        <v>494.85401165244309</v>
      </c>
      <c r="AN33" s="9">
        <f>+AM33*(1+$V$35)</f>
        <v>499.80255176896753</v>
      </c>
      <c r="AO33" s="9">
        <f>+AN33*(1+$V$35)</f>
        <v>504.80057728665719</v>
      </c>
      <c r="AP33" s="9">
        <f>+AO33*(1+$V$35)</f>
        <v>509.84858305952378</v>
      </c>
      <c r="AQ33" s="9">
        <f>+AP33*(1+$V$35)</f>
        <v>514.947068890119</v>
      </c>
      <c r="AR33" s="9">
        <f>+AQ33*(1+$V$35)</f>
        <v>520.09653957902015</v>
      </c>
      <c r="AS33" s="9">
        <f>+AR33*(1+$V$35)</f>
        <v>525.29750497481041</v>
      </c>
      <c r="AT33" s="9">
        <f>+AS33*(1+$V$35)</f>
        <v>530.55048002455851</v>
      </c>
      <c r="AU33" s="9">
        <f>+AT33*(1+$V$35)</f>
        <v>535.85598482480407</v>
      </c>
      <c r="AV33" s="9">
        <f>+AU33*(1+$V$35)</f>
        <v>541.21454467305216</v>
      </c>
      <c r="AW33" s="9">
        <f>+AV33*(1+$V$35)</f>
        <v>546.62669011978267</v>
      </c>
      <c r="AX33" s="9">
        <f>+AW33*(1+$V$35)</f>
        <v>552.09295702098052</v>
      </c>
      <c r="AY33" s="9">
        <f>+AX33*(1+$V$35)</f>
        <v>557.61388659119029</v>
      </c>
      <c r="AZ33" s="9">
        <f>+AY33*(1+$V$35)</f>
        <v>563.19002545710225</v>
      </c>
      <c r="BA33" s="9">
        <f>+AZ33*(1+$V$35)</f>
        <v>568.82192571167332</v>
      </c>
      <c r="BB33" s="9">
        <f>+BA33*(1+$V$35)</f>
        <v>574.51014496879009</v>
      </c>
      <c r="BC33" s="9">
        <f>+BB33*(1+$V$35)</f>
        <v>580.25524641847801</v>
      </c>
      <c r="BD33" s="9">
        <f>+BC33*(1+$V$35)</f>
        <v>586.05779888266284</v>
      </c>
      <c r="BE33" s="9">
        <f>+BD33*(1+$V$35)</f>
        <v>591.9183768714895</v>
      </c>
      <c r="BF33" s="9">
        <f>+BE33*(1+$V$35)</f>
        <v>597.8375606402044</v>
      </c>
      <c r="BG33" s="9">
        <f>+BF33*(1+$V$35)</f>
        <v>603.8159362466065</v>
      </c>
      <c r="BH33" s="9">
        <f>+BG33*(1+$V$35)</f>
        <v>609.8540956090726</v>
      </c>
      <c r="BI33" s="9">
        <f>+BH33*(1+$V$35)</f>
        <v>615.95263656516329</v>
      </c>
      <c r="BJ33" s="9">
        <f>+BI33*(1+$V$35)</f>
        <v>622.11216293081497</v>
      </c>
      <c r="BK33" s="9">
        <f>+BJ33*(1+$V$35)</f>
        <v>628.33328456012316</v>
      </c>
      <c r="BL33" s="9">
        <f>+BK33*(1+$V$35)</f>
        <v>634.61661740572436</v>
      </c>
      <c r="BM33" s="9">
        <f>+BL33*(1+$V$35)</f>
        <v>640.96278357978156</v>
      </c>
      <c r="BN33" s="9">
        <f>+BM33*(1+$V$35)</f>
        <v>647.37241141557934</v>
      </c>
      <c r="BO33" s="9">
        <f>+BN33*(1+$V$35)</f>
        <v>653.84613552973508</v>
      </c>
      <c r="BP33" s="9">
        <f>+BO33*(1+$V$35)</f>
        <v>660.38459688503247</v>
      </c>
      <c r="BQ33" s="9">
        <f>+BP33*(1+$V$35)</f>
        <v>666.98844285388282</v>
      </c>
      <c r="BR33" s="9">
        <f>+BQ33*(1+$V$35)</f>
        <v>673.65832728242162</v>
      </c>
      <c r="BS33" s="9">
        <f>+BR33*(1+$V$35)</f>
        <v>680.39491055524581</v>
      </c>
      <c r="BT33" s="9">
        <f>+BS33*(1+$V$35)</f>
        <v>687.19885966079823</v>
      </c>
      <c r="BU33" s="9">
        <f>+BT33*(1+$V$35)</f>
        <v>694.07084825740617</v>
      </c>
      <c r="BV33" s="9">
        <f>+BU33*(1+$V$35)</f>
        <v>701.01155673998028</v>
      </c>
      <c r="BW33" s="9">
        <f>+BV33*(1+$V$35)</f>
        <v>708.02167230738007</v>
      </c>
      <c r="BX33" s="9">
        <f>+BW33*(1+$V$35)</f>
        <v>715.10188903045389</v>
      </c>
      <c r="BY33" s="9">
        <f>+BX33*(1+$V$35)</f>
        <v>722.25290792075839</v>
      </c>
      <c r="BZ33" s="9">
        <f>+BY33*(1+$V$35)</f>
        <v>729.47543699996595</v>
      </c>
      <c r="CA33" s="9">
        <f>+BZ33*(1+$V$35)</f>
        <v>736.77019136996557</v>
      </c>
      <c r="CB33" s="9">
        <f>+CA33*(1+$V$35)</f>
        <v>744.13789328366522</v>
      </c>
      <c r="CC33" s="9">
        <f>+CB33*(1+$V$35)</f>
        <v>751.57927221650186</v>
      </c>
      <c r="CD33" s="9">
        <f>+CC33*(1+$V$35)</f>
        <v>759.09506493866684</v>
      </c>
      <c r="CE33" s="9">
        <f>+CD33*(1+$V$35)</f>
        <v>766.68601558805346</v>
      </c>
      <c r="CF33" s="9">
        <f>+CE33*(1+$V$35)</f>
        <v>774.35287574393396</v>
      </c>
      <c r="CG33" s="9">
        <f>+CF33*(1+$V$35)</f>
        <v>782.09640450137329</v>
      </c>
      <c r="CH33" s="9">
        <f>+CG33*(1+$V$35)</f>
        <v>789.91736854638702</v>
      </c>
      <c r="CI33" s="9">
        <f>+CH33*(1+$V$35)</f>
        <v>797.81654223185092</v>
      </c>
    </row>
    <row r="34" spans="2:87" s="4" customFormat="1" x14ac:dyDescent="0.2">
      <c r="B34" s="4" t="s">
        <v>59</v>
      </c>
      <c r="J34" s="5"/>
      <c r="P34" s="4">
        <v>560.41499999999996</v>
      </c>
      <c r="Q34" s="4">
        <v>-74.460999999999999</v>
      </c>
      <c r="R34" s="4">
        <v>-276.524</v>
      </c>
      <c r="S34" s="5"/>
    </row>
    <row r="35" spans="2:87" s="3" customFormat="1" x14ac:dyDescent="0.2">
      <c r="B35" s="4" t="s">
        <v>60</v>
      </c>
      <c r="J35" s="6"/>
      <c r="P35" s="3">
        <v>0</v>
      </c>
      <c r="Q35" s="3">
        <v>0</v>
      </c>
      <c r="R35" s="3">
        <v>0</v>
      </c>
      <c r="S35" s="6"/>
      <c r="U35" s="3" t="s">
        <v>64</v>
      </c>
      <c r="V35" s="2">
        <v>0.01</v>
      </c>
    </row>
    <row r="36" spans="2:87" s="3" customFormat="1" x14ac:dyDescent="0.2">
      <c r="B36" s="4" t="s">
        <v>61</v>
      </c>
      <c r="J36" s="6"/>
      <c r="P36" s="3">
        <f>+P30+P31+P34</f>
        <v>46.416000000000054</v>
      </c>
      <c r="Q36" s="3">
        <f>+Q30+Q31+Q34</f>
        <v>45.218000000000004</v>
      </c>
      <c r="R36" s="3">
        <f>+R30+R31+R34</f>
        <v>-61.24199999999999</v>
      </c>
      <c r="S36" s="6"/>
      <c r="U36" s="3" t="s">
        <v>65</v>
      </c>
      <c r="V36" s="2">
        <v>0.08</v>
      </c>
    </row>
    <row r="37" spans="2:87" x14ac:dyDescent="0.2">
      <c r="B37" s="2"/>
      <c r="U37" t="s">
        <v>66</v>
      </c>
      <c r="V37" s="10">
        <f>+NPV(V36,R33:CI33)</f>
        <v>4813.1682967198585</v>
      </c>
    </row>
    <row r="38" spans="2:87" x14ac:dyDescent="0.2">
      <c r="B38" s="2" t="s">
        <v>3</v>
      </c>
      <c r="Q38" s="3">
        <f>158.027+682.972</f>
        <v>840.99900000000002</v>
      </c>
      <c r="R38" s="3">
        <f>96.785+666.115</f>
        <v>762.9</v>
      </c>
    </row>
    <row r="39" spans="2:87" x14ac:dyDescent="0.2">
      <c r="B39" s="2" t="s">
        <v>40</v>
      </c>
      <c r="Q39" s="3">
        <v>107.047</v>
      </c>
      <c r="R39" s="3">
        <v>101.33199999999999</v>
      </c>
    </row>
    <row r="40" spans="2:87" x14ac:dyDescent="0.2">
      <c r="B40" s="2" t="s">
        <v>41</v>
      </c>
      <c r="Q40" s="3">
        <v>27.407</v>
      </c>
      <c r="R40" s="3">
        <v>48.709000000000003</v>
      </c>
    </row>
    <row r="41" spans="2:87" x14ac:dyDescent="0.2">
      <c r="B41" s="2" t="s">
        <v>42</v>
      </c>
      <c r="Q41" s="3">
        <v>11.279</v>
      </c>
      <c r="R41" s="3">
        <v>12.318</v>
      </c>
    </row>
    <row r="42" spans="2:87" x14ac:dyDescent="0.2">
      <c r="B42" s="2" t="s">
        <v>43</v>
      </c>
      <c r="Q42" s="3">
        <v>34.906999999999996</v>
      </c>
      <c r="R42" s="3">
        <v>45.067999999999998</v>
      </c>
    </row>
    <row r="43" spans="2:87" x14ac:dyDescent="0.2">
      <c r="B43" s="2" t="s">
        <v>44</v>
      </c>
      <c r="Q43" s="3">
        <v>13.819000000000001</v>
      </c>
      <c r="R43" s="3">
        <v>12.332000000000001</v>
      </c>
    </row>
    <row r="44" spans="2:87" x14ac:dyDescent="0.2">
      <c r="B44" s="2" t="s">
        <v>45</v>
      </c>
      <c r="Q44" s="3">
        <f>31.836+67.94</f>
        <v>99.775999999999996</v>
      </c>
      <c r="R44" s="3">
        <f>27.317+67.94</f>
        <v>95.257000000000005</v>
      </c>
    </row>
    <row r="45" spans="2:87" x14ac:dyDescent="0.2">
      <c r="B45" s="2" t="s">
        <v>21</v>
      </c>
      <c r="Q45" s="3">
        <v>1.6539999999999999</v>
      </c>
      <c r="R45" s="3">
        <v>1.458</v>
      </c>
    </row>
    <row r="46" spans="2:87" x14ac:dyDescent="0.2">
      <c r="B46" s="2" t="s">
        <v>46</v>
      </c>
      <c r="Q46" s="3">
        <f>+SUM(Q38:Q45)</f>
        <v>1136.8880000000001</v>
      </c>
      <c r="R46" s="3">
        <f>+SUM(R38:R45)</f>
        <v>1079.374</v>
      </c>
    </row>
    <row r="47" spans="2:87" x14ac:dyDescent="0.2">
      <c r="Q47" s="3"/>
      <c r="R47" s="3"/>
    </row>
    <row r="48" spans="2:87" x14ac:dyDescent="0.2">
      <c r="B48" s="2" t="s">
        <v>4</v>
      </c>
      <c r="Q48" s="3">
        <v>0</v>
      </c>
      <c r="R48" s="3">
        <v>0</v>
      </c>
    </row>
    <row r="49" spans="2:18" x14ac:dyDescent="0.2">
      <c r="B49" s="2" t="s">
        <v>47</v>
      </c>
      <c r="Q49" s="3">
        <v>1.272</v>
      </c>
      <c r="R49" s="3">
        <v>2.2530000000000001</v>
      </c>
    </row>
    <row r="50" spans="2:18" x14ac:dyDescent="0.2">
      <c r="B50" s="2" t="s">
        <v>48</v>
      </c>
      <c r="Q50" s="3">
        <v>31.245000000000001</v>
      </c>
      <c r="R50" s="3">
        <v>43.703000000000003</v>
      </c>
    </row>
    <row r="51" spans="2:18" x14ac:dyDescent="0.2">
      <c r="B51" s="2" t="s">
        <v>49</v>
      </c>
      <c r="Q51" s="3">
        <f>105.238+0.198</f>
        <v>105.43599999999999</v>
      </c>
      <c r="R51" s="3">
        <f>99.145+0.211</f>
        <v>99.355999999999995</v>
      </c>
    </row>
    <row r="52" spans="2:18" x14ac:dyDescent="0.2">
      <c r="B52" s="2" t="s">
        <v>44</v>
      </c>
      <c r="Q52" s="3">
        <f>1.752+13.885</f>
        <v>15.637</v>
      </c>
      <c r="R52" s="3">
        <f>2.149+12.397</f>
        <v>14.545999999999999</v>
      </c>
    </row>
    <row r="53" spans="2:18" x14ac:dyDescent="0.2">
      <c r="B53" s="2" t="s">
        <v>50</v>
      </c>
      <c r="Q53" s="3">
        <v>15.942</v>
      </c>
      <c r="R53" s="3">
        <v>10.895</v>
      </c>
    </row>
    <row r="54" spans="2:18" x14ac:dyDescent="0.2">
      <c r="B54" s="2" t="s">
        <v>21</v>
      </c>
      <c r="Q54" s="3">
        <v>1.24</v>
      </c>
      <c r="R54" s="3">
        <v>7.2240000000000002</v>
      </c>
    </row>
    <row r="55" spans="2:18" x14ac:dyDescent="0.2">
      <c r="B55" s="2" t="s">
        <v>51</v>
      </c>
      <c r="Q55" s="3">
        <f>+SUM(Q48:Q54)</f>
        <v>170.77200000000002</v>
      </c>
      <c r="R55" s="3">
        <f>+SUM(R48:R54)</f>
        <v>177.977</v>
      </c>
    </row>
    <row r="56" spans="2:18" x14ac:dyDescent="0.2">
      <c r="B56" s="2" t="s">
        <v>52</v>
      </c>
      <c r="Q56" s="3">
        <v>966.11599999999999</v>
      </c>
      <c r="R56" s="3">
        <v>901.39700000000005</v>
      </c>
    </row>
    <row r="57" spans="2:18" x14ac:dyDescent="0.2">
      <c r="B57" s="2" t="s">
        <v>53</v>
      </c>
      <c r="Q57" s="3">
        <f>+Q55+Q56</f>
        <v>1136.8879999999999</v>
      </c>
      <c r="R57" s="3">
        <f>+R55+R56</f>
        <v>1079.374</v>
      </c>
    </row>
    <row r="60" spans="2:18" s="8" customFormat="1" ht="15.75" x14ac:dyDescent="0.25">
      <c r="B60" s="7" t="s">
        <v>54</v>
      </c>
      <c r="Q60" s="8">
        <f>+Q38+Q39+Q40+Q41+Q42+Q43-Q55</f>
        <v>864.68600000000004</v>
      </c>
      <c r="R60" s="8">
        <f>+R38+R39+R40+R41+R42+R43-R55</f>
        <v>804.68200000000002</v>
      </c>
    </row>
  </sheetData>
  <hyperlinks>
    <hyperlink ref="A1" location="main!A1" display="Main" xr:uid="{61493027-7BD3-48F7-B347-54EC6F3D87E4}"/>
  </hyperlinks>
  <pageMargins left="0.7" right="0.7" top="0.75" bottom="0.75" header="0.3" footer="0.3"/>
  <ignoredErrors>
    <ignoredError sqref="F18 F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2025-02-07T16:12:04Z</dcterms:created>
  <dcterms:modified xsi:type="dcterms:W3CDTF">2025-02-07T18:01:49Z</dcterms:modified>
</cp:coreProperties>
</file>