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odels\"/>
    </mc:Choice>
  </mc:AlternateContent>
  <xr:revisionPtr revIDLastSave="0" documentId="13_ncr:1_{C0932D6D-9715-4DB6-9F65-2AFAA97A676F}" xr6:coauthVersionLast="47" xr6:coauthVersionMax="47" xr10:uidLastSave="{00000000-0000-0000-0000-000000000000}"/>
  <bookViews>
    <workbookView xWindow="-120" yWindow="-120" windowWidth="29040" windowHeight="15840" activeTab="1" xr2:uid="{D8B15F24-6D45-44B2-A85E-EC94F1E325F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6" i="2" l="1"/>
  <c r="AE26" i="2"/>
  <c r="AF26" i="2"/>
  <c r="AG26" i="2"/>
  <c r="AH26" i="2"/>
  <c r="AI26" i="2"/>
  <c r="AJ26" i="2"/>
  <c r="AK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Y6" i="2"/>
  <c r="X6" i="2"/>
  <c r="W6" i="2"/>
  <c r="AD21" i="2"/>
  <c r="AE21" i="2"/>
  <c r="AF21" i="2"/>
  <c r="AD22" i="2"/>
  <c r="AE22" i="2"/>
  <c r="AF22" i="2"/>
  <c r="G21" i="2"/>
  <c r="H21" i="2"/>
  <c r="I21" i="2"/>
  <c r="J21" i="2"/>
  <c r="K21" i="2"/>
  <c r="L21" i="2"/>
  <c r="G22" i="2"/>
  <c r="H22" i="2"/>
  <c r="I22" i="2"/>
  <c r="J22" i="2"/>
  <c r="K22" i="2"/>
  <c r="L22" i="2"/>
  <c r="AK36" i="2"/>
  <c r="AJ36" i="2"/>
  <c r="AK33" i="2"/>
  <c r="AJ33" i="2"/>
  <c r="V16" i="2"/>
  <c r="V14" i="2"/>
  <c r="V11" i="2"/>
  <c r="V10" i="2"/>
  <c r="V8" i="2"/>
  <c r="V6" i="2"/>
  <c r="Z6" i="2" s="1"/>
  <c r="V5" i="2"/>
  <c r="AK4" i="2"/>
  <c r="AK3" i="2"/>
  <c r="AK12" i="2"/>
  <c r="AK7" i="2"/>
  <c r="AK9" i="2" s="1"/>
  <c r="U4" i="2"/>
  <c r="Y4" i="2" s="1"/>
  <c r="Y22" i="2" s="1"/>
  <c r="U3" i="2"/>
  <c r="Y3" i="2" s="1"/>
  <c r="U12" i="2"/>
  <c r="U7" i="2"/>
  <c r="T4" i="2"/>
  <c r="X4" i="2" s="1"/>
  <c r="X22" i="2" s="1"/>
  <c r="T3" i="2"/>
  <c r="X3" i="2" s="1"/>
  <c r="T12" i="2"/>
  <c r="S4" i="2"/>
  <c r="W4" i="2" s="1"/>
  <c r="S3" i="2"/>
  <c r="S12" i="2"/>
  <c r="R16" i="2"/>
  <c r="R14" i="2"/>
  <c r="R11" i="2"/>
  <c r="R10" i="2"/>
  <c r="R8" i="2"/>
  <c r="R6" i="2"/>
  <c r="R5" i="2"/>
  <c r="R19" i="2"/>
  <c r="AJ4" i="2"/>
  <c r="AJ3" i="2"/>
  <c r="AJ12" i="2"/>
  <c r="AJ7" i="2"/>
  <c r="AJ9" i="2" s="1"/>
  <c r="Q4" i="2"/>
  <c r="Q3" i="2"/>
  <c r="Q12" i="2"/>
  <c r="P4" i="2"/>
  <c r="P22" i="2" s="1"/>
  <c r="P3" i="2"/>
  <c r="P21" i="2" s="1"/>
  <c r="P12" i="2"/>
  <c r="O4" i="2"/>
  <c r="O22" i="2" s="1"/>
  <c r="O3" i="2"/>
  <c r="O21" i="2" s="1"/>
  <c r="O12" i="2"/>
  <c r="T7" i="2"/>
  <c r="T9" i="2" s="1"/>
  <c r="T24" i="2" s="1"/>
  <c r="S7" i="2"/>
  <c r="S9" i="2" s="1"/>
  <c r="S24" i="2" s="1"/>
  <c r="Q7" i="2"/>
  <c r="Q9" i="2" s="1"/>
  <c r="Q24" i="2" s="1"/>
  <c r="P7" i="2"/>
  <c r="O7" i="2"/>
  <c r="O9" i="2" s="1"/>
  <c r="O24" i="2" s="1"/>
  <c r="N19" i="2"/>
  <c r="N14" i="2"/>
  <c r="N11" i="2"/>
  <c r="N10" i="2"/>
  <c r="N8" i="2"/>
  <c r="N6" i="2"/>
  <c r="M4" i="2"/>
  <c r="M22" i="2" s="1"/>
  <c r="M3" i="2"/>
  <c r="M21" i="2" s="1"/>
  <c r="AI4" i="2"/>
  <c r="AI3" i="2"/>
  <c r="AG36" i="2"/>
  <c r="AH36" i="2"/>
  <c r="AG33" i="2"/>
  <c r="AH33" i="2"/>
  <c r="AI36" i="2"/>
  <c r="AI33" i="2"/>
  <c r="AI12" i="2"/>
  <c r="AI7" i="2"/>
  <c r="AI9" i="2" s="1"/>
  <c r="AI24" i="2" s="1"/>
  <c r="AC5" i="2"/>
  <c r="AC7" i="2" s="1"/>
  <c r="AC9" i="2" s="1"/>
  <c r="AC12" i="2"/>
  <c r="AD12" i="2"/>
  <c r="AD5" i="2"/>
  <c r="AD7" i="2" s="1"/>
  <c r="AD9" i="2" s="1"/>
  <c r="AE16" i="2"/>
  <c r="AE12" i="2"/>
  <c r="AE5" i="2"/>
  <c r="AE7" i="2" s="1"/>
  <c r="AE9" i="2" s="1"/>
  <c r="AE24" i="2" s="1"/>
  <c r="AF16" i="2"/>
  <c r="AF12" i="2"/>
  <c r="AF5" i="2"/>
  <c r="AF7" i="2" s="1"/>
  <c r="AF9" i="2" s="1"/>
  <c r="AF24" i="2" s="1"/>
  <c r="AL11" i="2"/>
  <c r="AM11" i="2" s="1"/>
  <c r="AN11" i="2" s="1"/>
  <c r="AO11" i="2" s="1"/>
  <c r="AP11" i="2" s="1"/>
  <c r="AQ11" i="2" s="1"/>
  <c r="AL10" i="2"/>
  <c r="AM10" i="2" s="1"/>
  <c r="AN10" i="2" s="1"/>
  <c r="AL19" i="2"/>
  <c r="AM19" i="2" s="1"/>
  <c r="AN19" i="2" s="1"/>
  <c r="AO19" i="2" s="1"/>
  <c r="AP19" i="2" s="1"/>
  <c r="AQ19" i="2" s="1"/>
  <c r="AH19" i="2"/>
  <c r="AH14" i="2"/>
  <c r="AH11" i="2"/>
  <c r="AH10" i="2"/>
  <c r="AH8" i="2"/>
  <c r="AH6" i="2"/>
  <c r="AH4" i="2"/>
  <c r="AH3" i="2"/>
  <c r="AG19" i="2"/>
  <c r="AG14" i="2"/>
  <c r="AG11" i="2"/>
  <c r="AG10" i="2"/>
  <c r="AG8" i="2"/>
  <c r="AG6" i="2"/>
  <c r="AG4" i="2"/>
  <c r="AG22" i="2" s="1"/>
  <c r="AG3" i="2"/>
  <c r="AG21" i="2" s="1"/>
  <c r="AF2" i="2"/>
  <c r="AG2" i="2" s="1"/>
  <c r="AH2" i="2" s="1"/>
  <c r="D16" i="2"/>
  <c r="E16" i="2"/>
  <c r="E12" i="2"/>
  <c r="D12" i="2"/>
  <c r="E5" i="2"/>
  <c r="E7" i="2" s="1"/>
  <c r="E9" i="2" s="1"/>
  <c r="E24" i="2" s="1"/>
  <c r="D5" i="2"/>
  <c r="D7" i="2" s="1"/>
  <c r="D9" i="2" s="1"/>
  <c r="C16" i="2"/>
  <c r="C12" i="2"/>
  <c r="C5" i="2"/>
  <c r="C7" i="2" s="1"/>
  <c r="C9" i="2" s="1"/>
  <c r="C24" i="2" s="1"/>
  <c r="G5" i="2"/>
  <c r="G7" i="2" s="1"/>
  <c r="F16" i="2"/>
  <c r="F12" i="2"/>
  <c r="F5" i="2"/>
  <c r="F7" i="2" s="1"/>
  <c r="F9" i="2" s="1"/>
  <c r="F24" i="2" s="1"/>
  <c r="I16" i="2"/>
  <c r="I12" i="2"/>
  <c r="I5" i="2"/>
  <c r="I7" i="2" s="1"/>
  <c r="I9" i="2" s="1"/>
  <c r="I24" i="2" s="1"/>
  <c r="J16" i="2"/>
  <c r="J12" i="2"/>
  <c r="J5" i="2"/>
  <c r="J7" i="2" s="1"/>
  <c r="J9" i="2" s="1"/>
  <c r="J24" i="2" s="1"/>
  <c r="H16" i="2"/>
  <c r="L16" i="2"/>
  <c r="H12" i="2"/>
  <c r="H5" i="2"/>
  <c r="H7" i="2" s="1"/>
  <c r="H9" i="2" s="1"/>
  <c r="H24" i="2" s="1"/>
  <c r="K5" i="2"/>
  <c r="K7" i="2" s="1"/>
  <c r="K9" i="2" s="1"/>
  <c r="K24" i="2" s="1"/>
  <c r="L12" i="2"/>
  <c r="L5" i="2"/>
  <c r="L7" i="2" s="1"/>
  <c r="K16" i="2"/>
  <c r="G16" i="2"/>
  <c r="K12" i="2"/>
  <c r="G12" i="2"/>
  <c r="K5" i="1"/>
  <c r="K4" i="1"/>
  <c r="K7" i="1" s="1"/>
  <c r="AJ22" i="2" l="1"/>
  <c r="AJ21" i="2"/>
  <c r="Q21" i="2"/>
  <c r="Q22" i="2"/>
  <c r="AH21" i="2"/>
  <c r="AH22" i="2"/>
  <c r="AK21" i="2"/>
  <c r="N4" i="2"/>
  <c r="N22" i="2" s="1"/>
  <c r="S21" i="2"/>
  <c r="AK22" i="2"/>
  <c r="U22" i="2"/>
  <c r="W22" i="2"/>
  <c r="X21" i="2"/>
  <c r="X5" i="2"/>
  <c r="X7" i="2" s="1"/>
  <c r="X23" i="2" s="1"/>
  <c r="Y21" i="2"/>
  <c r="Y5" i="2"/>
  <c r="Y7" i="2" s="1"/>
  <c r="Y23" i="2" s="1"/>
  <c r="AL6" i="2"/>
  <c r="T22" i="2"/>
  <c r="S22" i="2"/>
  <c r="W3" i="2"/>
  <c r="U23" i="2"/>
  <c r="U21" i="2"/>
  <c r="T21" i="2"/>
  <c r="AI21" i="2"/>
  <c r="AI22" i="2"/>
  <c r="R7" i="2"/>
  <c r="R9" i="2" s="1"/>
  <c r="V12" i="2"/>
  <c r="V7" i="2"/>
  <c r="R12" i="2"/>
  <c r="N16" i="2"/>
  <c r="D13" i="2"/>
  <c r="D15" i="2" s="1"/>
  <c r="AH5" i="2"/>
  <c r="AH7" i="2" s="1"/>
  <c r="AI23" i="2" s="1"/>
  <c r="V4" i="2"/>
  <c r="V9" i="2"/>
  <c r="V24" i="2" s="1"/>
  <c r="V3" i="2"/>
  <c r="U9" i="2"/>
  <c r="U24" i="2" s="1"/>
  <c r="S23" i="2"/>
  <c r="AJ13" i="2"/>
  <c r="AJ15" i="2" s="1"/>
  <c r="AJ17" i="2" s="1"/>
  <c r="AJ18" i="2" s="1"/>
  <c r="R3" i="2"/>
  <c r="R4" i="2"/>
  <c r="T23" i="2"/>
  <c r="AK13" i="2"/>
  <c r="AK15" i="2" s="1"/>
  <c r="AK17" i="2" s="1"/>
  <c r="AD13" i="2"/>
  <c r="AD15" i="2" s="1"/>
  <c r="AD17" i="2" s="1"/>
  <c r="AD18" i="2" s="1"/>
  <c r="P23" i="2"/>
  <c r="S13" i="2"/>
  <c r="S15" i="2" s="1"/>
  <c r="Q13" i="2"/>
  <c r="Q15" i="2" s="1"/>
  <c r="P9" i="2"/>
  <c r="P24" i="2" s="1"/>
  <c r="O23" i="2"/>
  <c r="T13" i="2"/>
  <c r="T15" i="2" s="1"/>
  <c r="O13" i="2"/>
  <c r="O15" i="2" s="1"/>
  <c r="AG12" i="2"/>
  <c r="N12" i="2"/>
  <c r="AG5" i="2"/>
  <c r="AG7" i="2" s="1"/>
  <c r="AG23" i="2" s="1"/>
  <c r="AH12" i="2"/>
  <c r="AI13" i="2"/>
  <c r="AI15" i="2" s="1"/>
  <c r="N3" i="2"/>
  <c r="N21" i="2" s="1"/>
  <c r="AD23" i="2"/>
  <c r="N5" i="2"/>
  <c r="N7" i="2" s="1"/>
  <c r="AG16" i="2"/>
  <c r="AI2" i="2"/>
  <c r="AJ2" i="2" s="1"/>
  <c r="AK2" i="2" s="1"/>
  <c r="AL2" i="2" s="1"/>
  <c r="AM2" i="2" s="1"/>
  <c r="AN2" i="2" s="1"/>
  <c r="AO2" i="2" s="1"/>
  <c r="AP2" i="2" s="1"/>
  <c r="AQ2" i="2" s="1"/>
  <c r="AN12" i="2"/>
  <c r="AO10" i="2"/>
  <c r="AP10" i="2" s="1"/>
  <c r="AL12" i="2"/>
  <c r="AM12" i="2"/>
  <c r="AC24" i="2"/>
  <c r="AC13" i="2"/>
  <c r="AC15" i="2" s="1"/>
  <c r="G9" i="2"/>
  <c r="G24" i="2" s="1"/>
  <c r="G23" i="2"/>
  <c r="M7" i="2"/>
  <c r="M9" i="2" s="1"/>
  <c r="AH16" i="2"/>
  <c r="AD24" i="2"/>
  <c r="D24" i="2"/>
  <c r="AE23" i="2"/>
  <c r="L23" i="2"/>
  <c r="L9" i="2"/>
  <c r="L24" i="2" s="1"/>
  <c r="M12" i="2"/>
  <c r="H23" i="2"/>
  <c r="I23" i="2"/>
  <c r="AF23" i="2"/>
  <c r="J23" i="2"/>
  <c r="J13" i="2"/>
  <c r="J15" i="2" s="1"/>
  <c r="J17" i="2" s="1"/>
  <c r="J18" i="2" s="1"/>
  <c r="K23" i="2"/>
  <c r="AE13" i="2"/>
  <c r="AE15" i="2" s="1"/>
  <c r="AE17" i="2" s="1"/>
  <c r="AE18" i="2" s="1"/>
  <c r="AF13" i="2"/>
  <c r="AF15" i="2" s="1"/>
  <c r="AF17" i="2" s="1"/>
  <c r="AF18" i="2" s="1"/>
  <c r="E13" i="2"/>
  <c r="E15" i="2" s="1"/>
  <c r="F13" i="2"/>
  <c r="F15" i="2" s="1"/>
  <c r="F17" i="2" s="1"/>
  <c r="F18" i="2" s="1"/>
  <c r="C13" i="2"/>
  <c r="C15" i="2" s="1"/>
  <c r="C17" i="2" s="1"/>
  <c r="C18" i="2" s="1"/>
  <c r="I13" i="2"/>
  <c r="I15" i="2" s="1"/>
  <c r="I17" i="2" s="1"/>
  <c r="I18" i="2" s="1"/>
  <c r="H13" i="2"/>
  <c r="H15" i="2" s="1"/>
  <c r="K13" i="2"/>
  <c r="K15" i="2" s="1"/>
  <c r="K17" i="2" s="1"/>
  <c r="K18" i="2" s="1"/>
  <c r="R23" i="2" l="1"/>
  <c r="R22" i="2"/>
  <c r="R24" i="2"/>
  <c r="R13" i="2"/>
  <c r="R15" i="2" s="1"/>
  <c r="Z3" i="2"/>
  <c r="V21" i="2"/>
  <c r="W21" i="2"/>
  <c r="AL3" i="2"/>
  <c r="W5" i="2"/>
  <c r="W7" i="2" s="1"/>
  <c r="W23" i="2" s="1"/>
  <c r="V23" i="2"/>
  <c r="Z4" i="2"/>
  <c r="V22" i="2"/>
  <c r="R21" i="2"/>
  <c r="V13" i="2"/>
  <c r="V15" i="2" s="1"/>
  <c r="V17" i="2" s="1"/>
  <c r="V18" i="2" s="1"/>
  <c r="AG9" i="2"/>
  <c r="AD25" i="2"/>
  <c r="AK18" i="2"/>
  <c r="P13" i="2"/>
  <c r="P15" i="2" s="1"/>
  <c r="P25" i="2" s="1"/>
  <c r="T17" i="2"/>
  <c r="T18" i="2" s="1"/>
  <c r="T25" i="2"/>
  <c r="U13" i="2"/>
  <c r="U15" i="2" s="1"/>
  <c r="AO12" i="2"/>
  <c r="S17" i="2"/>
  <c r="S18" i="2" s="1"/>
  <c r="S25" i="2"/>
  <c r="O25" i="2"/>
  <c r="O17" i="2"/>
  <c r="O18" i="2" s="1"/>
  <c r="Q25" i="2"/>
  <c r="Q17" i="2"/>
  <c r="Q18" i="2" s="1"/>
  <c r="Q23" i="2"/>
  <c r="R25" i="2"/>
  <c r="R17" i="2"/>
  <c r="R18" i="2" s="1"/>
  <c r="AF25" i="2"/>
  <c r="AH23" i="2"/>
  <c r="AH9" i="2"/>
  <c r="AH24" i="2" s="1"/>
  <c r="N23" i="2"/>
  <c r="N9" i="2"/>
  <c r="AI25" i="2"/>
  <c r="AI17" i="2"/>
  <c r="AI18" i="2" s="1"/>
  <c r="AE25" i="2"/>
  <c r="G13" i="2"/>
  <c r="G15" i="2" s="1"/>
  <c r="G17" i="2" s="1"/>
  <c r="G18" i="2" s="1"/>
  <c r="J25" i="2"/>
  <c r="F25" i="2"/>
  <c r="AM6" i="2"/>
  <c r="AN6" i="2" s="1"/>
  <c r="AO6" i="2" s="1"/>
  <c r="AP6" i="2" s="1"/>
  <c r="AQ6" i="2" s="1"/>
  <c r="M24" i="2"/>
  <c r="M23" i="2"/>
  <c r="AQ10" i="2"/>
  <c r="AQ12" i="2" s="1"/>
  <c r="AP12" i="2"/>
  <c r="AC25" i="2"/>
  <c r="AC17" i="2"/>
  <c r="AC18" i="2" s="1"/>
  <c r="K25" i="2"/>
  <c r="C25" i="2"/>
  <c r="AG13" i="2"/>
  <c r="AG15" i="2" s="1"/>
  <c r="AG24" i="2"/>
  <c r="H17" i="2"/>
  <c r="H18" i="2" s="1"/>
  <c r="H25" i="2"/>
  <c r="D17" i="2"/>
  <c r="D18" i="2" s="1"/>
  <c r="D25" i="2"/>
  <c r="E17" i="2"/>
  <c r="E18" i="2" s="1"/>
  <c r="E25" i="2"/>
  <c r="I25" i="2"/>
  <c r="L13" i="2"/>
  <c r="L15" i="2" s="1"/>
  <c r="M13" i="2"/>
  <c r="M15" i="2" s="1"/>
  <c r="AL21" i="2" l="1"/>
  <c r="AM3" i="2"/>
  <c r="Z21" i="2"/>
  <c r="Z5" i="2"/>
  <c r="Z7" i="2" s="1"/>
  <c r="Z23" i="2" s="1"/>
  <c r="V25" i="2"/>
  <c r="Z22" i="2"/>
  <c r="AL4" i="2"/>
  <c r="P17" i="2"/>
  <c r="P18" i="2" s="1"/>
  <c r="U17" i="2"/>
  <c r="U18" i="2" s="1"/>
  <c r="U25" i="2"/>
  <c r="AH13" i="2"/>
  <c r="AH15" i="2" s="1"/>
  <c r="AH25" i="2" s="1"/>
  <c r="G25" i="2"/>
  <c r="N24" i="2"/>
  <c r="N13" i="2"/>
  <c r="N15" i="2" s="1"/>
  <c r="AJ24" i="2"/>
  <c r="AJ23" i="2"/>
  <c r="L17" i="2"/>
  <c r="L18" i="2" s="1"/>
  <c r="L25" i="2"/>
  <c r="M17" i="2"/>
  <c r="AG17" i="2"/>
  <c r="AG18" i="2" s="1"/>
  <c r="AG25" i="2"/>
  <c r="AM4" i="2" l="1"/>
  <c r="AL22" i="2"/>
  <c r="AN3" i="2"/>
  <c r="AM21" i="2"/>
  <c r="AH17" i="2"/>
  <c r="AH18" i="2" s="1"/>
  <c r="N17" i="2"/>
  <c r="N18" i="2" s="1"/>
  <c r="N25" i="2"/>
  <c r="M18" i="2"/>
  <c r="M25" i="2"/>
  <c r="AO3" i="2" l="1"/>
  <c r="AN21" i="2"/>
  <c r="AN4" i="2"/>
  <c r="AM22" i="2"/>
  <c r="AK23" i="2"/>
  <c r="AM5" i="2"/>
  <c r="AM7" i="2" s="1"/>
  <c r="AL5" i="2"/>
  <c r="AL7" i="2" s="1"/>
  <c r="AJ25" i="2"/>
  <c r="AO4" i="2" l="1"/>
  <c r="AN22" i="2"/>
  <c r="AP3" i="2"/>
  <c r="AO21" i="2"/>
  <c r="AL9" i="2"/>
  <c r="AL23" i="2"/>
  <c r="AK24" i="2"/>
  <c r="AM23" i="2"/>
  <c r="AM9" i="2"/>
  <c r="AQ3" i="2" l="1"/>
  <c r="AQ21" i="2" s="1"/>
  <c r="AP21" i="2"/>
  <c r="AP4" i="2"/>
  <c r="AO22" i="2"/>
  <c r="AJ28" i="2"/>
  <c r="AK25" i="2" s="1"/>
  <c r="AM8" i="2"/>
  <c r="AM13" i="2"/>
  <c r="AM24" i="2"/>
  <c r="AN5" i="2"/>
  <c r="AN7" i="2" s="1"/>
  <c r="AL8" i="2"/>
  <c r="AL24" i="2"/>
  <c r="AL13" i="2"/>
  <c r="AQ4" i="2" l="1"/>
  <c r="AQ22" i="2" s="1"/>
  <c r="AP22" i="2"/>
  <c r="AO5" i="2"/>
  <c r="AO7" i="2" s="1"/>
  <c r="AN23" i="2"/>
  <c r="AN9" i="2"/>
  <c r="AK28" i="2"/>
  <c r="AL14" i="2" s="1"/>
  <c r="AL15" i="2" s="1"/>
  <c r="AO9" i="2" l="1"/>
  <c r="AO23" i="2"/>
  <c r="AN8" i="2"/>
  <c r="AN13" i="2"/>
  <c r="AN24" i="2"/>
  <c r="AQ5" i="2"/>
  <c r="AQ7" i="2" s="1"/>
  <c r="AP5" i="2"/>
  <c r="AP7" i="2" s="1"/>
  <c r="AL16" i="2"/>
  <c r="AL25" i="2" s="1"/>
  <c r="AL17" i="2" l="1"/>
  <c r="AQ23" i="2"/>
  <c r="AQ9" i="2"/>
  <c r="AP23" i="2"/>
  <c r="AP9" i="2"/>
  <c r="AO8" i="2"/>
  <c r="AO13" i="2"/>
  <c r="AO24" i="2"/>
  <c r="AL18" i="2"/>
  <c r="AL28" i="2"/>
  <c r="AM14" i="2" s="1"/>
  <c r="AM15" i="2" s="1"/>
  <c r="AM16" i="2" s="1"/>
  <c r="AM25" i="2" s="1"/>
  <c r="AQ8" i="2" l="1"/>
  <c r="AQ24" i="2"/>
  <c r="AQ13" i="2"/>
  <c r="AP8" i="2"/>
  <c r="AP13" i="2"/>
  <c r="AP24" i="2"/>
  <c r="AM17" i="2"/>
  <c r="AM28" i="2" s="1"/>
  <c r="AM18" i="2" l="1"/>
  <c r="AN14" i="2"/>
  <c r="AN15" i="2" s="1"/>
  <c r="AN16" i="2" l="1"/>
  <c r="AN25" i="2" s="1"/>
  <c r="AN17" i="2" l="1"/>
  <c r="AN18" i="2" l="1"/>
  <c r="AN28" i="2"/>
  <c r="AO14" i="2" s="1"/>
  <c r="AO15" i="2" s="1"/>
  <c r="AO16" i="2" l="1"/>
  <c r="AO25" i="2" s="1"/>
  <c r="AO17" i="2" l="1"/>
  <c r="AO18" i="2" s="1"/>
  <c r="AO28" i="2" l="1"/>
  <c r="AP14" i="2" s="1"/>
  <c r="AP15" i="2" s="1"/>
  <c r="AP16" i="2" l="1"/>
  <c r="AP25" i="2" s="1"/>
  <c r="AP17" i="2" l="1"/>
  <c r="AP18" i="2" s="1"/>
  <c r="AP28" i="2" l="1"/>
  <c r="AQ14" i="2"/>
  <c r="AQ15" i="2" s="1"/>
  <c r="AQ16" i="2" l="1"/>
  <c r="AQ25" i="2" s="1"/>
  <c r="AQ17" i="2" l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AT30" i="2" s="1"/>
  <c r="AQ28" i="2" l="1"/>
  <c r="AQ18" i="2"/>
</calcChain>
</file>

<file path=xl/sharedStrings.xml><?xml version="1.0" encoding="utf-8"?>
<sst xmlns="http://schemas.openxmlformats.org/spreadsheetml/2006/main" count="69" uniqueCount="63">
  <si>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</si>
  <si>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</si>
  <si>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</si>
  <si>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</si>
  <si>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</si>
  <si>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</si>
  <si>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</si>
  <si>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</si>
  <si>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</si>
  <si>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</si>
  <si>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</si>
  <si>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</si>
  <si>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</si>
  <si>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</si>
  <si>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</si>
  <si>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</si>
  <si>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</si>
  <si>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</si>
  <si>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</si>
  <si>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</si>
  <si>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Product</t>
  </si>
  <si>
    <t>Service</t>
  </si>
  <si>
    <t>COGS</t>
  </si>
  <si>
    <t>Gross Margin</t>
  </si>
  <si>
    <t>SG&amp;A</t>
  </si>
  <si>
    <t>R&amp;D</t>
  </si>
  <si>
    <t>OpEx</t>
  </si>
  <si>
    <t>OpInc</t>
  </si>
  <si>
    <t>Net Income</t>
  </si>
  <si>
    <t>Interest</t>
  </si>
  <si>
    <t>Pretax</t>
  </si>
  <si>
    <t>Taxes</t>
  </si>
  <si>
    <t>EPS</t>
  </si>
  <si>
    <t>Instruments</t>
  </si>
  <si>
    <t>Systems</t>
  </si>
  <si>
    <t>Revenue Growth</t>
  </si>
  <si>
    <t>Tax Rate</t>
  </si>
  <si>
    <t>Discount</t>
  </si>
  <si>
    <t>ROIC</t>
  </si>
  <si>
    <t>Terminal</t>
  </si>
  <si>
    <t>NPV</t>
  </si>
  <si>
    <t>CFFO</t>
  </si>
  <si>
    <t>CFFI</t>
  </si>
  <si>
    <t>CapEx</t>
  </si>
  <si>
    <t>FCF</t>
  </si>
  <si>
    <t>CFFF</t>
  </si>
  <si>
    <t>FX</t>
  </si>
  <si>
    <t>Change</t>
  </si>
  <si>
    <t>Q123</t>
  </si>
  <si>
    <t>Q223</t>
  </si>
  <si>
    <t>Q323</t>
  </si>
  <si>
    <t>Q423</t>
  </si>
  <si>
    <t>Q424</t>
  </si>
  <si>
    <t>Q124</t>
  </si>
  <si>
    <t>Q224</t>
  </si>
  <si>
    <t>Q324</t>
  </si>
  <si>
    <t>Q125</t>
  </si>
  <si>
    <t>Q225</t>
  </si>
  <si>
    <t>Q325</t>
  </si>
  <si>
    <t>Q425</t>
  </si>
  <si>
    <t xml:space="preserve">Instruments y/y </t>
  </si>
  <si>
    <t xml:space="preserve">Systems y/y </t>
  </si>
  <si>
    <t xml:space="preserve">Earnings y/y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</si>
</sst>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2" fillId="0" borderId="0" xfId="1"/>
    <xf numFmtId="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9" fontId="0" fillId="0" borderId="0" xfId="2" applyFont="1"/>
    <xf numFmtId="9" fontId="0" fillId="0" borderId="0" xfId="2" applyFont="1" applyAlignment="1">
      <alignment horizontal="right"/>
    </xf>
    <xf numFmtId="9" fontId="1" fillId="0" borderId="0" xfId="0" applyNumberFormat="1" applyFont="1" applyAlignment="1">
      <alignment horizontal="right"/>
    </xf>
    <xf numFmtId="9" fontId="1" fillId="0" borderId="0" xfId="0" applyNumberFormat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0</xdr:colOff>
      <xdr:row>0</xdr:row>
      <xdr:rowOff>59531</xdr:rowOff>
    </xdr:from>
    <xdr:to>
      <xdr:col>37</xdr:col>
      <xdr:colOff>5953</xdr:colOff>
      <xdr:row>40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62E3BEF-C199-5440-BE9C-13978D4DCF61}"/>
            </a:ext>
          </a:extLst>
        </xdr:cNvPr>
        <xdr:cNvCxnSpPr/>
      </xdr:nvCxnSpPr>
      <xdr:spPr>
        <a:xfrm>
          <a:off x="22556391" y="59531"/>
          <a:ext cx="5953" cy="5887641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15479</xdr:colOff>
      <xdr:row>0</xdr:row>
      <xdr:rowOff>0</xdr:rowOff>
    </xdr:from>
    <xdr:to>
      <xdr:col>22</xdr:col>
      <xdr:colOff>21432</xdr:colOff>
      <xdr:row>39</xdr:row>
      <xdr:rowOff>101203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80B7A09B-59A1-4E11-A030-B2C0E37F00D0}"/>
            </a:ext>
          </a:extLst>
        </xdr:cNvPr>
        <xdr:cNvCxnSpPr/>
      </xdr:nvCxnSpPr>
      <xdr:spPr>
        <a:xfrm>
          <a:off x="13463588" y="0"/>
          <a:ext cx="5953" cy="5887641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69FB7-8F26-4D36-A255-42CFCB85800A}">
  <dimension ref="J2:L7"/>
  <sheetViews>
    <sheetView zoomScale="190" zoomScaleNormal="190" workbookViewId="0">
      <selection activeCell="F9" sqref="F9"/>
    </sheetView>
  </sheetViews>
  <sheetFormatPr defaultRowHeight="12.75" x14ac:dyDescent="0.2"/>
  <sheetData>
    <row r="2" spans="10:12" x14ac:dyDescent="0.2">
      <c r="J2" t="s">
        <v>0</v>
      </c>
      <c r="K2" s="1">
        <v>591</v>
      </c>
    </row>
    <row r="3" spans="10:12" x14ac:dyDescent="0.2">
      <c r="J3" t="s">
        <v>1</v>
      </c>
      <c r="K3" s="2">
        <v>356.65695399999998</v>
      </c>
      <c r="L3" s="3" t="s">
        <v>19</v>
      </c>
    </row>
    <row r="4" spans="10:12" x14ac:dyDescent="0.2">
      <c r="J4" t="s">
        <v>2</v>
      </c>
      <c r="K4" s="2">
        <f>+K2*K3</f>
        <v>210784.25981399999</v>
      </c>
      <c r="L4" s="3"/>
    </row>
    <row r="5" spans="10:12" x14ac:dyDescent="0.2">
      <c r="J5" t="s">
        <v>3</v>
      </c>
      <c r="K5" s="2">
        <f>1103.1+2882.5+4416.2</f>
        <v>8401.7999999999993</v>
      </c>
      <c r="L5" s="3" t="s">
        <v>19</v>
      </c>
    </row>
    <row r="6" spans="10:12" x14ac:dyDescent="0.2">
      <c r="J6" t="s">
        <v>4</v>
      </c>
      <c r="K6" s="2">
        <v>0</v>
      </c>
      <c r="L6" s="3" t="s">
        <v>19</v>
      </c>
    </row>
    <row r="7" spans="10:12" x14ac:dyDescent="0.2">
      <c r="J7" t="s">
        <v>5</v>
      </c>
      <c r="K7" s="2">
        <f>+K4-K5+K6</f>
        <v>202382.459814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46BBF-03C9-41A9-85AE-A65C09D4E9BF}">
  <dimension ref="A1:DB36"/>
  <sheetViews>
    <sheetView tabSelected="1" zoomScale="115" zoomScaleNormal="115"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T31" sqref="T31"/>
    </sheetView>
  </sheetViews>
  <sheetFormatPr defaultRowHeight="12.75" x14ac:dyDescent="0.2"/>
  <cols>
    <col min="1" max="1" width="5" bestFit="1" customWidth="1"/>
    <col min="2" max="2" width="16.42578125" customWidth="1"/>
    <col min="3" max="27" width="9.140625" style="3"/>
    <col min="45" max="45" width="10.7109375" bestFit="1" customWidth="1"/>
  </cols>
  <sheetData>
    <row r="1" spans="1:43" x14ac:dyDescent="0.2">
      <c r="A1" s="9" t="s">
        <v>7</v>
      </c>
    </row>
    <row r="2" spans="1:43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6</v>
      </c>
      <c r="L2" s="3" t="s">
        <v>17</v>
      </c>
      <c r="M2" s="3" t="s">
        <v>18</v>
      </c>
      <c r="N2" s="3" t="s">
        <v>19</v>
      </c>
      <c r="O2" s="3" t="s">
        <v>48</v>
      </c>
      <c r="P2" s="3" t="s">
        <v>49</v>
      </c>
      <c r="Q2" s="3" t="s">
        <v>50</v>
      </c>
      <c r="R2" s="3" t="s">
        <v>51</v>
      </c>
      <c r="S2" s="3" t="s">
        <v>53</v>
      </c>
      <c r="T2" s="3" t="s">
        <v>54</v>
      </c>
      <c r="U2" s="3" t="s">
        <v>55</v>
      </c>
      <c r="V2" s="3" t="s">
        <v>52</v>
      </c>
      <c r="W2" s="3" t="s">
        <v>56</v>
      </c>
      <c r="X2" s="3" t="s">
        <v>57</v>
      </c>
      <c r="Y2" s="3" t="s">
        <v>58</v>
      </c>
      <c r="Z2" s="3" t="s">
        <v>59</v>
      </c>
      <c r="AC2">
        <v>2017</v>
      </c>
      <c r="AD2">
        <v>2017</v>
      </c>
      <c r="AE2">
        <v>2018</v>
      </c>
      <c r="AF2">
        <f>+AE2+1</f>
        <v>2019</v>
      </c>
      <c r="AG2">
        <f t="shared" ref="AG2:AQ2" si="0">+AF2+1</f>
        <v>2020</v>
      </c>
      <c r="AH2">
        <f t="shared" si="0"/>
        <v>2021</v>
      </c>
      <c r="AI2">
        <f>+AH2+1</f>
        <v>2022</v>
      </c>
      <c r="AJ2">
        <f t="shared" si="0"/>
        <v>2023</v>
      </c>
      <c r="AK2">
        <f t="shared" si="0"/>
        <v>2024</v>
      </c>
      <c r="AL2">
        <f t="shared" si="0"/>
        <v>2025</v>
      </c>
      <c r="AM2">
        <f t="shared" si="0"/>
        <v>2026</v>
      </c>
      <c r="AN2">
        <f t="shared" si="0"/>
        <v>2027</v>
      </c>
      <c r="AO2">
        <f t="shared" si="0"/>
        <v>2028</v>
      </c>
      <c r="AP2">
        <f t="shared" si="0"/>
        <v>2029</v>
      </c>
      <c r="AQ2">
        <f t="shared" si="0"/>
        <v>2030</v>
      </c>
    </row>
    <row r="3" spans="1:43" s="2" customFormat="1" x14ac:dyDescent="0.2">
      <c r="B3" s="2" t="s">
        <v>33</v>
      </c>
      <c r="C3" s="4">
        <v>617.5</v>
      </c>
      <c r="D3" s="4">
        <v>460.8</v>
      </c>
      <c r="E3" s="4">
        <v>630.6</v>
      </c>
      <c r="F3" s="4">
        <v>746.9</v>
      </c>
      <c r="G3" s="4">
        <v>705.9</v>
      </c>
      <c r="H3" s="4">
        <v>796.4</v>
      </c>
      <c r="I3" s="4">
        <v>755.4</v>
      </c>
      <c r="J3" s="4">
        <v>842.8</v>
      </c>
      <c r="K3" s="4">
        <v>810.3</v>
      </c>
      <c r="L3" s="4">
        <v>895.3</v>
      </c>
      <c r="M3" s="4">
        <f>643.3+228.3</f>
        <v>871.59999999999991</v>
      </c>
      <c r="N3" s="4">
        <f>+AI3-M3-L3-K3</f>
        <v>940.69999999999982</v>
      </c>
      <c r="O3" s="4">
        <f>701.4+284.2</f>
        <v>985.59999999999991</v>
      </c>
      <c r="P3" s="4">
        <f>763.3+312.6</f>
        <v>1075.9000000000001</v>
      </c>
      <c r="Q3" s="4">
        <f>775.7+295.7</f>
        <v>1071.4000000000001</v>
      </c>
      <c r="R3" s="4">
        <f>+AJ3-Q3-P3-O3</f>
        <v>1143.7000000000003</v>
      </c>
      <c r="S3" s="4">
        <f>822.4+336.5</f>
        <v>1158.9000000000001</v>
      </c>
      <c r="T3" s="4">
        <f>891.4+353</f>
        <v>1244.4000000000001</v>
      </c>
      <c r="U3" s="4">
        <f>904.8+359.4</f>
        <v>1264.1999999999998</v>
      </c>
      <c r="V3" s="4">
        <f>+AK3-U3-T3-S3</f>
        <v>1411.5</v>
      </c>
      <c r="W3" s="4">
        <f>+S3*1.18</f>
        <v>1367.502</v>
      </c>
      <c r="X3" s="4">
        <f>+T3*1.18</f>
        <v>1468.3920000000001</v>
      </c>
      <c r="Y3" s="4">
        <f>+U3*1.18</f>
        <v>1491.7559999999996</v>
      </c>
      <c r="Z3" s="4">
        <f>+V3*1.18</f>
        <v>1665.57</v>
      </c>
      <c r="AA3" s="4"/>
      <c r="AC3" s="2">
        <v>1395.8</v>
      </c>
      <c r="AD3" s="2">
        <v>1636.9</v>
      </c>
      <c r="AE3" s="2">
        <v>1962</v>
      </c>
      <c r="AF3" s="2">
        <v>2408.1999999999998</v>
      </c>
      <c r="AG3" s="2">
        <f>SUM(C3:F3)</f>
        <v>2455.8000000000002</v>
      </c>
      <c r="AH3" s="2">
        <f>SUM(G3:J3)</f>
        <v>3100.5</v>
      </c>
      <c r="AI3" s="2">
        <f>2507.2+1010.7</f>
        <v>3517.8999999999996</v>
      </c>
      <c r="AJ3" s="2">
        <f>3059.8+1216.8</f>
        <v>4276.6000000000004</v>
      </c>
      <c r="AK3" s="2">
        <f>3626.4+1452.6</f>
        <v>5079</v>
      </c>
      <c r="AL3" s="2">
        <f>+SUM(W3:Z3)</f>
        <v>5993.2199999999993</v>
      </c>
      <c r="AM3" s="2">
        <f t="shared" ref="AM3:AQ3" si="1">+AL3*1.15</f>
        <v>6892.2029999999986</v>
      </c>
      <c r="AN3" s="2">
        <f t="shared" si="1"/>
        <v>7926.0334499999981</v>
      </c>
      <c r="AO3" s="2">
        <f t="shared" si="1"/>
        <v>9114.9384674999965</v>
      </c>
      <c r="AP3" s="2">
        <f t="shared" si="1"/>
        <v>10482.179237624996</v>
      </c>
      <c r="AQ3" s="2">
        <f t="shared" si="1"/>
        <v>12054.506123268744</v>
      </c>
    </row>
    <row r="4" spans="1:43" s="2" customFormat="1" x14ac:dyDescent="0.2">
      <c r="B4" s="2" t="s">
        <v>34</v>
      </c>
      <c r="C4" s="4">
        <v>283.3</v>
      </c>
      <c r="D4" s="4">
        <v>261</v>
      </c>
      <c r="E4" s="4">
        <v>267.8</v>
      </c>
      <c r="F4" s="4">
        <v>366.8</v>
      </c>
      <c r="G4" s="4">
        <v>368.7</v>
      </c>
      <c r="H4" s="4">
        <v>439.6</v>
      </c>
      <c r="I4" s="4">
        <v>415.2</v>
      </c>
      <c r="J4" s="4">
        <v>469.9</v>
      </c>
      <c r="K4" s="4">
        <v>428.1</v>
      </c>
      <c r="L4" s="4">
        <v>375.1</v>
      </c>
      <c r="M4" s="4">
        <f>264.7+161.2</f>
        <v>425.9</v>
      </c>
      <c r="N4" s="4">
        <f>+AI4-M4-L4-K4</f>
        <v>450.99999999999977</v>
      </c>
      <c r="O4" s="4">
        <f>221.8+205.6</f>
        <v>427.4</v>
      </c>
      <c r="P4" s="4">
        <f>189.4+202.9</f>
        <v>392.3</v>
      </c>
      <c r="Q4" s="4">
        <f>216+163.4</f>
        <v>379.4</v>
      </c>
      <c r="R4" s="4">
        <f>+AJ4-Q4-P4-O4</f>
        <v>480.60000000000025</v>
      </c>
      <c r="S4" s="4">
        <f>212.5+205.7</f>
        <v>418.2</v>
      </c>
      <c r="T4" s="4">
        <f>224.3+223.9</f>
        <v>448.20000000000005</v>
      </c>
      <c r="U4" s="2">
        <f>265.4+179.6</f>
        <v>445</v>
      </c>
      <c r="V4" s="4">
        <f>+AK4-U4-T4-S4</f>
        <v>654.40000000000009</v>
      </c>
      <c r="W4" s="4">
        <f>+S4*1.18</f>
        <v>493.47599999999994</v>
      </c>
      <c r="X4" s="4">
        <f>+T4*1.18</f>
        <v>528.87599999999998</v>
      </c>
      <c r="Y4" s="4">
        <f>+U4*1.18</f>
        <v>525.1</v>
      </c>
      <c r="Z4" s="4">
        <f>+V4*1.18</f>
        <v>772.19200000000012</v>
      </c>
      <c r="AA4" s="4"/>
      <c r="AC4" s="2">
        <v>791.6</v>
      </c>
      <c r="AD4" s="2">
        <v>928.4</v>
      </c>
      <c r="AE4" s="2">
        <v>1127.0999999999999</v>
      </c>
      <c r="AF4" s="2">
        <v>1346.1</v>
      </c>
      <c r="AG4" s="2">
        <f>SUM(C4:F4)</f>
        <v>1178.8999999999999</v>
      </c>
      <c r="AH4" s="2">
        <f>SUM(G4:J4)</f>
        <v>1693.4</v>
      </c>
      <c r="AI4" s="2">
        <f>966+714.1</f>
        <v>1680.1</v>
      </c>
      <c r="AJ4" s="2">
        <f>865.5+814.2</f>
        <v>1679.7</v>
      </c>
      <c r="AK4" s="2">
        <f>1122.4+843.4</f>
        <v>1965.8000000000002</v>
      </c>
      <c r="AL4" s="2">
        <f>+SUM(W4:Z4)</f>
        <v>2319.6439999999998</v>
      </c>
      <c r="AM4" s="2">
        <f t="shared" ref="AM4:AQ4" si="2">+AL4*1.15</f>
        <v>2667.5905999999995</v>
      </c>
      <c r="AN4" s="2">
        <f t="shared" si="2"/>
        <v>3067.7291899999991</v>
      </c>
      <c r="AO4" s="2">
        <f t="shared" si="2"/>
        <v>3527.8885684999987</v>
      </c>
      <c r="AP4" s="2">
        <f t="shared" si="2"/>
        <v>4057.0718537749981</v>
      </c>
      <c r="AQ4" s="2">
        <f t="shared" si="2"/>
        <v>4665.6326318412475</v>
      </c>
    </row>
    <row r="5" spans="1:43" s="2" customFormat="1" x14ac:dyDescent="0.2">
      <c r="B5" s="2" t="s">
        <v>20</v>
      </c>
      <c r="C5" s="4">
        <f>+C4+C3</f>
        <v>900.8</v>
      </c>
      <c r="D5" s="4">
        <f t="shared" ref="D5:E5" si="3">+D4+D3</f>
        <v>721.8</v>
      </c>
      <c r="E5" s="4">
        <f t="shared" si="3"/>
        <v>898.40000000000009</v>
      </c>
      <c r="F5" s="4">
        <f t="shared" ref="F5:L5" si="4">+F4+F3</f>
        <v>1113.7</v>
      </c>
      <c r="G5" s="4">
        <f t="shared" si="4"/>
        <v>1074.5999999999999</v>
      </c>
      <c r="H5" s="4">
        <f t="shared" si="4"/>
        <v>1236</v>
      </c>
      <c r="I5" s="4">
        <f t="shared" si="4"/>
        <v>1170.5999999999999</v>
      </c>
      <c r="J5" s="4">
        <f t="shared" si="4"/>
        <v>1312.6999999999998</v>
      </c>
      <c r="K5" s="4">
        <f t="shared" si="4"/>
        <v>1238.4000000000001</v>
      </c>
      <c r="L5" s="4">
        <f t="shared" si="4"/>
        <v>1270.4000000000001</v>
      </c>
      <c r="M5" s="4">
        <v>1297.5</v>
      </c>
      <c r="N5" s="4">
        <f>+AI5-M5-L5-K5</f>
        <v>1391.6999999999998</v>
      </c>
      <c r="O5" s="4">
        <v>1413</v>
      </c>
      <c r="P5" s="4">
        <v>1468.6</v>
      </c>
      <c r="Q5" s="4">
        <v>1450.8</v>
      </c>
      <c r="R5" s="4">
        <f>+AJ5-Q5-P5-O5</f>
        <v>1623.9</v>
      </c>
      <c r="S5" s="4">
        <v>1577.14</v>
      </c>
      <c r="T5" s="4">
        <v>1692.6</v>
      </c>
      <c r="U5" s="4">
        <v>1709.2</v>
      </c>
      <c r="V5" s="4">
        <f>+AK5-U5-T5-S5</f>
        <v>2066.0600000000004</v>
      </c>
      <c r="W5" s="4">
        <f>+W3+W4</f>
        <v>1860.9779999999998</v>
      </c>
      <c r="X5" s="4">
        <f>+X3+X4</f>
        <v>1997.268</v>
      </c>
      <c r="Y5" s="4">
        <f>+Y3+Y4</f>
        <v>2016.8559999999998</v>
      </c>
      <c r="Z5" s="4">
        <f>+Z3+Z4</f>
        <v>2437.7620000000002</v>
      </c>
      <c r="AA5" s="4"/>
      <c r="AC5" s="2">
        <f t="shared" ref="AC5" si="5">+AC3+AC4</f>
        <v>2187.4</v>
      </c>
      <c r="AD5" s="2">
        <f t="shared" ref="AD5:AH5" si="6">+AD3+AD4</f>
        <v>2565.3000000000002</v>
      </c>
      <c r="AE5" s="2">
        <f t="shared" si="6"/>
        <v>3089.1</v>
      </c>
      <c r="AF5" s="2">
        <f t="shared" si="6"/>
        <v>3754.2999999999997</v>
      </c>
      <c r="AG5" s="2">
        <f t="shared" si="6"/>
        <v>3634.7</v>
      </c>
      <c r="AH5" s="2">
        <f t="shared" si="6"/>
        <v>4793.8999999999996</v>
      </c>
      <c r="AI5" s="2">
        <v>5198</v>
      </c>
      <c r="AJ5" s="2">
        <v>5956.3</v>
      </c>
      <c r="AK5" s="2">
        <v>7045</v>
      </c>
      <c r="AL5" s="2">
        <f t="shared" ref="AL5:AQ5" si="7">+AL3+AL4</f>
        <v>8312.8639999999996</v>
      </c>
      <c r="AM5" s="2">
        <f t="shared" si="7"/>
        <v>9559.7935999999972</v>
      </c>
      <c r="AN5" s="2">
        <f t="shared" si="7"/>
        <v>10993.762639999997</v>
      </c>
      <c r="AO5" s="2">
        <f t="shared" si="7"/>
        <v>12642.827035999995</v>
      </c>
      <c r="AP5" s="2">
        <f t="shared" si="7"/>
        <v>14539.251091399994</v>
      </c>
      <c r="AQ5" s="2">
        <f t="shared" si="7"/>
        <v>16720.138755109991</v>
      </c>
    </row>
    <row r="6" spans="1:43" s="2" customFormat="1" x14ac:dyDescent="0.2">
      <c r="B6" s="2" t="s">
        <v>21</v>
      </c>
      <c r="C6" s="4">
        <v>198.7</v>
      </c>
      <c r="D6" s="4">
        <v>130.30000000000001</v>
      </c>
      <c r="E6" s="4">
        <v>179.3</v>
      </c>
      <c r="F6" s="4">
        <v>215.4</v>
      </c>
      <c r="G6" s="4">
        <v>217.5</v>
      </c>
      <c r="H6" s="4">
        <v>228</v>
      </c>
      <c r="I6" s="4">
        <v>232.7</v>
      </c>
      <c r="J6" s="4">
        <v>238</v>
      </c>
      <c r="K6" s="4">
        <v>249.3</v>
      </c>
      <c r="L6" s="4">
        <v>251.7</v>
      </c>
      <c r="M6" s="4">
        <v>259.89999999999998</v>
      </c>
      <c r="N6" s="4">
        <f>+AI6-M6-L6-K6</f>
        <v>263.30000000000013</v>
      </c>
      <c r="O6" s="4">
        <v>283.2</v>
      </c>
      <c r="P6" s="4">
        <v>287.3</v>
      </c>
      <c r="Q6" s="4">
        <v>292.89999999999998</v>
      </c>
      <c r="R6" s="4">
        <f>+AJ6-Q6-P6-O6</f>
        <v>304.39999999999992</v>
      </c>
      <c r="S6" s="4">
        <v>313.5</v>
      </c>
      <c r="T6" s="4">
        <v>317.3</v>
      </c>
      <c r="U6" s="4">
        <v>328.9</v>
      </c>
      <c r="V6" s="4">
        <f>+AK6-U6-T6-S6</f>
        <v>347.39999999999986</v>
      </c>
      <c r="W6" s="4">
        <f>+S6*1.3</f>
        <v>407.55</v>
      </c>
      <c r="X6" s="4">
        <f>+T6*1.3</f>
        <v>412.49</v>
      </c>
      <c r="Y6" s="4">
        <f>+U6*1.3</f>
        <v>427.57</v>
      </c>
      <c r="Z6" s="4">
        <f>+V6*1.3</f>
        <v>451.61999999999983</v>
      </c>
      <c r="AA6" s="4"/>
      <c r="AC6" s="2">
        <v>517</v>
      </c>
      <c r="AD6" s="2">
        <v>572.9</v>
      </c>
      <c r="AE6" s="2">
        <v>635.1</v>
      </c>
      <c r="AF6" s="2">
        <v>724.2</v>
      </c>
      <c r="AG6" s="2">
        <f>SUM(C6:F6)</f>
        <v>723.7</v>
      </c>
      <c r="AH6" s="2">
        <f>SUM(G6:J6)</f>
        <v>916.2</v>
      </c>
      <c r="AI6" s="2">
        <v>1024.2</v>
      </c>
      <c r="AJ6" s="2">
        <v>1167.8</v>
      </c>
      <c r="AK6" s="2">
        <v>1307.0999999999999</v>
      </c>
      <c r="AL6" s="2">
        <f>+SUM(W6:Z6)</f>
        <v>1699.2299999999998</v>
      </c>
      <c r="AM6" s="2">
        <f t="shared" ref="AM6" si="8">+AL6*1.05</f>
        <v>1784.1914999999999</v>
      </c>
      <c r="AN6" s="2">
        <f t="shared" ref="AN6:AQ6" si="9">+AM6*1.03</f>
        <v>1837.717245</v>
      </c>
      <c r="AO6" s="2">
        <f t="shared" si="9"/>
        <v>1892.84876235</v>
      </c>
      <c r="AP6" s="2">
        <f t="shared" si="9"/>
        <v>1949.6342252205</v>
      </c>
      <c r="AQ6" s="2">
        <f t="shared" si="9"/>
        <v>2008.1232519771149</v>
      </c>
    </row>
    <row r="7" spans="1:43" s="5" customFormat="1" x14ac:dyDescent="0.2">
      <c r="B7" s="5" t="s">
        <v>8</v>
      </c>
      <c r="C7" s="6">
        <f>+C5+C6</f>
        <v>1099.5</v>
      </c>
      <c r="D7" s="6">
        <f t="shared" ref="D7:E7" si="10">+D5+D6</f>
        <v>852.09999999999991</v>
      </c>
      <c r="E7" s="6">
        <f t="shared" si="10"/>
        <v>1077.7</v>
      </c>
      <c r="F7" s="6">
        <f t="shared" ref="F7:Z7" si="11">+F5+F6</f>
        <v>1329.1000000000001</v>
      </c>
      <c r="G7" s="6">
        <f t="shared" si="11"/>
        <v>1292.0999999999999</v>
      </c>
      <c r="H7" s="6">
        <f t="shared" si="11"/>
        <v>1464</v>
      </c>
      <c r="I7" s="6">
        <f t="shared" si="11"/>
        <v>1403.3</v>
      </c>
      <c r="J7" s="6">
        <f t="shared" si="11"/>
        <v>1550.6999999999998</v>
      </c>
      <c r="K7" s="6">
        <f t="shared" si="11"/>
        <v>1487.7</v>
      </c>
      <c r="L7" s="6">
        <f t="shared" si="11"/>
        <v>1522.1000000000001</v>
      </c>
      <c r="M7" s="6">
        <f t="shared" si="11"/>
        <v>1557.4</v>
      </c>
      <c r="N7" s="6">
        <f t="shared" si="11"/>
        <v>1655</v>
      </c>
      <c r="O7" s="6">
        <f t="shared" si="11"/>
        <v>1696.2</v>
      </c>
      <c r="P7" s="6">
        <f t="shared" si="11"/>
        <v>1755.8999999999999</v>
      </c>
      <c r="Q7" s="6">
        <f t="shared" si="11"/>
        <v>1743.6999999999998</v>
      </c>
      <c r="R7" s="6">
        <f t="shared" si="11"/>
        <v>1928.3</v>
      </c>
      <c r="S7" s="6">
        <f t="shared" si="11"/>
        <v>1890.64</v>
      </c>
      <c r="T7" s="6">
        <f t="shared" si="11"/>
        <v>2009.8999999999999</v>
      </c>
      <c r="U7" s="6">
        <f t="shared" si="11"/>
        <v>2038.1</v>
      </c>
      <c r="V7" s="6">
        <f t="shared" si="11"/>
        <v>2413.46</v>
      </c>
      <c r="W7" s="6">
        <f t="shared" si="11"/>
        <v>2268.5279999999998</v>
      </c>
      <c r="X7" s="6">
        <f t="shared" si="11"/>
        <v>2409.7579999999998</v>
      </c>
      <c r="Y7" s="6">
        <f t="shared" si="11"/>
        <v>2444.4259999999999</v>
      </c>
      <c r="Z7" s="6">
        <f t="shared" si="11"/>
        <v>2889.3820000000001</v>
      </c>
      <c r="AA7" s="6"/>
      <c r="AB7" s="6"/>
      <c r="AC7" s="5">
        <f t="shared" ref="AC7" si="12">+AC5+AC6</f>
        <v>2704.4</v>
      </c>
      <c r="AD7" s="5">
        <f t="shared" ref="AD7:AK7" si="13">+AD5+AD6</f>
        <v>3138.2000000000003</v>
      </c>
      <c r="AE7" s="5">
        <f t="shared" si="13"/>
        <v>3724.2</v>
      </c>
      <c r="AF7" s="5">
        <f t="shared" si="13"/>
        <v>4478.5</v>
      </c>
      <c r="AG7" s="5">
        <f t="shared" si="13"/>
        <v>4358.3999999999996</v>
      </c>
      <c r="AH7" s="5">
        <f t="shared" si="13"/>
        <v>5710.0999999999995</v>
      </c>
      <c r="AI7" s="5">
        <f t="shared" si="13"/>
        <v>6222.2</v>
      </c>
      <c r="AJ7" s="5">
        <f t="shared" si="13"/>
        <v>7124.1</v>
      </c>
      <c r="AK7" s="5">
        <f t="shared" si="13"/>
        <v>8352.1</v>
      </c>
      <c r="AL7" s="5">
        <f t="shared" ref="AL7:AQ7" si="14">+AL5+AL6</f>
        <v>10012.093999999999</v>
      </c>
      <c r="AM7" s="5">
        <f t="shared" si="14"/>
        <v>11343.985099999998</v>
      </c>
      <c r="AN7" s="5">
        <f t="shared" si="14"/>
        <v>12831.479884999997</v>
      </c>
      <c r="AO7" s="5">
        <f t="shared" si="14"/>
        <v>14535.675798349996</v>
      </c>
      <c r="AP7" s="5">
        <f t="shared" si="14"/>
        <v>16488.885316620494</v>
      </c>
      <c r="AQ7" s="5">
        <f t="shared" si="14"/>
        <v>18728.262007087105</v>
      </c>
    </row>
    <row r="8" spans="1:43" s="2" customFormat="1" x14ac:dyDescent="0.2">
      <c r="B8" s="2" t="s">
        <v>22</v>
      </c>
      <c r="C8" s="4">
        <v>361.3</v>
      </c>
      <c r="D8" s="4">
        <v>349.2</v>
      </c>
      <c r="E8" s="4">
        <v>353.4</v>
      </c>
      <c r="F8" s="4">
        <v>433.3</v>
      </c>
      <c r="G8" s="4">
        <v>389.5</v>
      </c>
      <c r="H8" s="4">
        <v>440.3</v>
      </c>
      <c r="I8" s="4">
        <v>431.9</v>
      </c>
      <c r="J8" s="4">
        <v>489.9</v>
      </c>
      <c r="K8" s="4">
        <v>478</v>
      </c>
      <c r="L8" s="4">
        <v>498.8</v>
      </c>
      <c r="M8" s="4">
        <v>505.3</v>
      </c>
      <c r="N8" s="4">
        <f>+AI8-M8-L8-K8</f>
        <v>544.10000000000014</v>
      </c>
      <c r="O8" s="4">
        <v>583.20000000000005</v>
      </c>
      <c r="P8" s="4">
        <v>584</v>
      </c>
      <c r="Q8" s="4">
        <v>576.5</v>
      </c>
      <c r="R8" s="4">
        <f>+AJ8-Q8-P8-O8</f>
        <v>650.89999999999986</v>
      </c>
      <c r="S8" s="4">
        <v>645.20000000000005</v>
      </c>
      <c r="T8" s="4">
        <v>637.20000000000005</v>
      </c>
      <c r="U8" s="4">
        <v>664.2</v>
      </c>
      <c r="V8" s="4">
        <f>+AK8-U8-T8-S8</f>
        <v>771.29999999999973</v>
      </c>
      <c r="W8" s="4"/>
      <c r="X8" s="4"/>
      <c r="Y8" s="4"/>
      <c r="Z8" s="4"/>
      <c r="AA8" s="4"/>
      <c r="AC8" s="2">
        <v>814.3</v>
      </c>
      <c r="AD8" s="2">
        <v>936.2</v>
      </c>
      <c r="AE8" s="2">
        <v>1120.0999999999999</v>
      </c>
      <c r="AF8" s="2">
        <v>1368.3</v>
      </c>
      <c r="AG8" s="2">
        <f>SUM(C8:F8)</f>
        <v>1497.2</v>
      </c>
      <c r="AH8" s="2">
        <f>SUM(G8:J8)</f>
        <v>1751.6</v>
      </c>
      <c r="AI8" s="2">
        <v>2026.2</v>
      </c>
      <c r="AJ8" s="2">
        <v>2394.6</v>
      </c>
      <c r="AK8" s="2">
        <v>2717.9</v>
      </c>
      <c r="AL8" s="2">
        <f t="shared" ref="AL8:AQ8" si="15">+AL7-AL9</f>
        <v>3303.9910199999995</v>
      </c>
      <c r="AM8" s="2">
        <f t="shared" si="15"/>
        <v>3743.5150829999993</v>
      </c>
      <c r="AN8" s="2">
        <f t="shared" si="15"/>
        <v>4234.3883620499982</v>
      </c>
      <c r="AO8" s="2">
        <f t="shared" si="15"/>
        <v>4796.7730134554986</v>
      </c>
      <c r="AP8" s="2">
        <f t="shared" si="15"/>
        <v>5441.3321544847622</v>
      </c>
      <c r="AQ8" s="2">
        <f t="shared" si="15"/>
        <v>6180.326462338744</v>
      </c>
    </row>
    <row r="9" spans="1:43" s="2" customFormat="1" x14ac:dyDescent="0.2">
      <c r="B9" s="2" t="s">
        <v>23</v>
      </c>
      <c r="C9" s="4">
        <f>+C7-C8</f>
        <v>738.2</v>
      </c>
      <c r="D9" s="4">
        <f t="shared" ref="D9:E9" si="16">+D7-D8</f>
        <v>502.89999999999992</v>
      </c>
      <c r="E9" s="4">
        <f t="shared" si="16"/>
        <v>724.30000000000007</v>
      </c>
      <c r="F9" s="4">
        <f t="shared" ref="F9:V9" si="17">+F7-F8</f>
        <v>895.80000000000018</v>
      </c>
      <c r="G9" s="4">
        <f t="shared" si="17"/>
        <v>902.59999999999991</v>
      </c>
      <c r="H9" s="4">
        <f t="shared" si="17"/>
        <v>1023.7</v>
      </c>
      <c r="I9" s="4">
        <f t="shared" si="17"/>
        <v>971.4</v>
      </c>
      <c r="J9" s="4">
        <f t="shared" si="17"/>
        <v>1060.7999999999997</v>
      </c>
      <c r="K9" s="4">
        <f t="shared" si="17"/>
        <v>1009.7</v>
      </c>
      <c r="L9" s="4">
        <f t="shared" si="17"/>
        <v>1023.3000000000002</v>
      </c>
      <c r="M9" s="4">
        <f t="shared" si="17"/>
        <v>1052.1000000000001</v>
      </c>
      <c r="N9" s="4">
        <f t="shared" si="17"/>
        <v>1110.8999999999999</v>
      </c>
      <c r="O9" s="4">
        <f t="shared" si="17"/>
        <v>1113</v>
      </c>
      <c r="P9" s="4">
        <f t="shared" si="17"/>
        <v>1171.8999999999999</v>
      </c>
      <c r="Q9" s="4">
        <f t="shared" si="17"/>
        <v>1167.1999999999998</v>
      </c>
      <c r="R9" s="4">
        <f t="shared" si="17"/>
        <v>1277.4000000000001</v>
      </c>
      <c r="S9" s="4">
        <f t="shared" si="17"/>
        <v>1245.44</v>
      </c>
      <c r="T9" s="4">
        <f t="shared" si="17"/>
        <v>1372.6999999999998</v>
      </c>
      <c r="U9" s="4">
        <f t="shared" si="17"/>
        <v>1373.8999999999999</v>
      </c>
      <c r="V9" s="4">
        <f t="shared" si="17"/>
        <v>1642.1600000000003</v>
      </c>
      <c r="W9" s="4"/>
      <c r="X9" s="4"/>
      <c r="Y9" s="4"/>
      <c r="Z9" s="4"/>
      <c r="AA9" s="4"/>
      <c r="AC9" s="2">
        <f t="shared" ref="AC9" si="18">+AC7-AC8</f>
        <v>1890.1000000000001</v>
      </c>
      <c r="AD9" s="2">
        <f t="shared" ref="AD9:AK9" si="19">+AD7-AD8</f>
        <v>2202</v>
      </c>
      <c r="AE9" s="2">
        <f t="shared" si="19"/>
        <v>2604.1</v>
      </c>
      <c r="AF9" s="2">
        <f t="shared" si="19"/>
        <v>3110.2</v>
      </c>
      <c r="AG9" s="2">
        <f t="shared" si="19"/>
        <v>2861.2</v>
      </c>
      <c r="AH9" s="2">
        <f t="shared" si="19"/>
        <v>3958.4999999999995</v>
      </c>
      <c r="AI9" s="2">
        <f t="shared" si="19"/>
        <v>4196</v>
      </c>
      <c r="AJ9" s="2">
        <f t="shared" si="19"/>
        <v>4729.5</v>
      </c>
      <c r="AK9" s="2">
        <f t="shared" si="19"/>
        <v>5634.2000000000007</v>
      </c>
      <c r="AL9" s="2">
        <f t="shared" ref="AL9:AQ9" si="20">+AL7*0.67</f>
        <v>6708.1029799999997</v>
      </c>
      <c r="AM9" s="2">
        <f t="shared" si="20"/>
        <v>7600.4700169999987</v>
      </c>
      <c r="AN9" s="2">
        <f t="shared" si="20"/>
        <v>8597.0915229499988</v>
      </c>
      <c r="AO9" s="2">
        <f t="shared" si="20"/>
        <v>9738.902784894497</v>
      </c>
      <c r="AP9" s="2">
        <f t="shared" si="20"/>
        <v>11047.553162135731</v>
      </c>
      <c r="AQ9" s="2">
        <f t="shared" si="20"/>
        <v>12547.935544748361</v>
      </c>
    </row>
    <row r="10" spans="1:43" s="2" customFormat="1" x14ac:dyDescent="0.2">
      <c r="B10" s="2" t="s">
        <v>24</v>
      </c>
      <c r="C10" s="4">
        <v>308.10000000000002</v>
      </c>
      <c r="D10" s="4">
        <v>279.10000000000002</v>
      </c>
      <c r="E10" s="4">
        <v>298.89999999999998</v>
      </c>
      <c r="F10" s="4">
        <v>330.2</v>
      </c>
      <c r="G10" s="4">
        <v>326</v>
      </c>
      <c r="H10" s="4">
        <v>350.2</v>
      </c>
      <c r="I10" s="4">
        <v>363.3</v>
      </c>
      <c r="J10" s="4">
        <v>427</v>
      </c>
      <c r="K10" s="4">
        <v>391.1</v>
      </c>
      <c r="L10" s="4">
        <v>418.4</v>
      </c>
      <c r="M10" s="4">
        <v>436.1</v>
      </c>
      <c r="N10" s="4">
        <f>+AI10-M10-L10-K10</f>
        <v>494.30000000000018</v>
      </c>
      <c r="O10" s="4">
        <v>480.5</v>
      </c>
      <c r="P10" s="4">
        <v>464.3</v>
      </c>
      <c r="Q10" s="4">
        <v>452</v>
      </c>
      <c r="R10" s="4">
        <f>+AJ10-Q10-P10-O10</f>
        <v>567.10000000000014</v>
      </c>
      <c r="S10" s="4">
        <v>491.5</v>
      </c>
      <c r="T10" s="4">
        <v>525.29999999999995</v>
      </c>
      <c r="U10" s="4">
        <v>510.6</v>
      </c>
      <c r="V10" s="4">
        <f>+AK10-U10-T10-S10</f>
        <v>612.60000000000014</v>
      </c>
      <c r="W10" s="4"/>
      <c r="X10" s="4"/>
      <c r="Y10" s="4"/>
      <c r="Z10" s="4"/>
      <c r="AA10" s="4"/>
      <c r="AC10" s="2">
        <v>705.3</v>
      </c>
      <c r="AD10" s="2">
        <v>810.5</v>
      </c>
      <c r="AE10" s="2">
        <v>986.6</v>
      </c>
      <c r="AF10" s="2">
        <v>1178.4000000000001</v>
      </c>
      <c r="AG10" s="2">
        <f>SUM(C10:F10)</f>
        <v>1216.3</v>
      </c>
      <c r="AH10" s="2">
        <f>SUM(G10:J10)</f>
        <v>1466.5</v>
      </c>
      <c r="AI10" s="2">
        <v>1739.9</v>
      </c>
      <c r="AJ10" s="2">
        <v>1963.9</v>
      </c>
      <c r="AK10" s="2">
        <v>2140</v>
      </c>
      <c r="AL10" s="2">
        <f t="shared" ref="AL10:AQ10" si="21">+AK10*1.01</f>
        <v>2161.4</v>
      </c>
      <c r="AM10" s="2">
        <f t="shared" si="21"/>
        <v>2183.0140000000001</v>
      </c>
      <c r="AN10" s="2">
        <f t="shared" si="21"/>
        <v>2204.8441400000002</v>
      </c>
      <c r="AO10" s="2">
        <f t="shared" si="21"/>
        <v>2226.8925814000004</v>
      </c>
      <c r="AP10" s="2">
        <f t="shared" si="21"/>
        <v>2249.1615072140003</v>
      </c>
      <c r="AQ10" s="2">
        <f t="shared" si="21"/>
        <v>2271.6531222861404</v>
      </c>
    </row>
    <row r="11" spans="1:43" s="2" customFormat="1" x14ac:dyDescent="0.2">
      <c r="B11" s="2" t="s">
        <v>25</v>
      </c>
      <c r="C11" s="4">
        <v>147.1</v>
      </c>
      <c r="D11" s="4">
        <v>143.19999999999999</v>
      </c>
      <c r="E11" s="4">
        <v>155</v>
      </c>
      <c r="F11" s="4">
        <v>149.80000000000001</v>
      </c>
      <c r="G11" s="4">
        <v>159.80000000000001</v>
      </c>
      <c r="H11" s="4">
        <v>162.30000000000001</v>
      </c>
      <c r="I11" s="4">
        <v>165.5</v>
      </c>
      <c r="J11" s="4">
        <v>183.4</v>
      </c>
      <c r="K11" s="4">
        <v>210.5</v>
      </c>
      <c r="L11" s="4">
        <v>207.3</v>
      </c>
      <c r="M11" s="4">
        <v>217.1</v>
      </c>
      <c r="N11" s="4">
        <f>+AI11-M11-L11-K11</f>
        <v>244.09999999999997</v>
      </c>
      <c r="O11" s="4">
        <v>244.9</v>
      </c>
      <c r="P11" s="4">
        <v>244.4</v>
      </c>
      <c r="Q11" s="4">
        <v>249.4</v>
      </c>
      <c r="R11" s="4">
        <f>+AJ11-Q11-P11-O11</f>
        <v>260.10000000000002</v>
      </c>
      <c r="S11" s="4">
        <v>284.5</v>
      </c>
      <c r="T11" s="4">
        <v>280.10000000000002</v>
      </c>
      <c r="U11" s="4">
        <v>286</v>
      </c>
      <c r="V11" s="4">
        <f>+AK11-U11-T11-S11</f>
        <v>294.39999999999998</v>
      </c>
      <c r="W11" s="4"/>
      <c r="X11" s="4"/>
      <c r="Y11" s="4"/>
      <c r="Z11" s="4"/>
      <c r="AA11" s="4"/>
      <c r="AC11" s="2">
        <v>239.6</v>
      </c>
      <c r="AD11" s="2">
        <v>328.6</v>
      </c>
      <c r="AE11" s="2">
        <v>418.1</v>
      </c>
      <c r="AF11" s="2">
        <v>557.29999999999995</v>
      </c>
      <c r="AG11" s="2">
        <f>SUM(C11:F11)</f>
        <v>595.09999999999991</v>
      </c>
      <c r="AH11" s="2">
        <f>SUM(G11:J11)</f>
        <v>671</v>
      </c>
      <c r="AI11" s="2">
        <v>879</v>
      </c>
      <c r="AJ11" s="2">
        <v>998.8</v>
      </c>
      <c r="AK11" s="2">
        <v>1145</v>
      </c>
      <c r="AL11" s="2">
        <f t="shared" ref="AL11:AQ11" si="22">+AK11*1.01</f>
        <v>1156.45</v>
      </c>
      <c r="AM11" s="2">
        <f t="shared" si="22"/>
        <v>1168.0145</v>
      </c>
      <c r="AN11" s="2">
        <f t="shared" si="22"/>
        <v>1179.694645</v>
      </c>
      <c r="AO11" s="2">
        <f t="shared" si="22"/>
        <v>1191.49159145</v>
      </c>
      <c r="AP11" s="2">
        <f t="shared" si="22"/>
        <v>1203.4065073644999</v>
      </c>
      <c r="AQ11" s="2">
        <f t="shared" si="22"/>
        <v>1215.440572438145</v>
      </c>
    </row>
    <row r="12" spans="1:43" s="2" customFormat="1" x14ac:dyDescent="0.2">
      <c r="B12" s="2" t="s">
        <v>26</v>
      </c>
      <c r="C12" s="4">
        <f>+C10+C11</f>
        <v>455.20000000000005</v>
      </c>
      <c r="D12" s="4">
        <f t="shared" ref="D12:E12" si="23">+D10+D11</f>
        <v>422.3</v>
      </c>
      <c r="E12" s="4">
        <f t="shared" si="23"/>
        <v>453.9</v>
      </c>
      <c r="F12" s="4">
        <f t="shared" ref="F12:V12" si="24">+F10+F11</f>
        <v>480</v>
      </c>
      <c r="G12" s="4">
        <f t="shared" si="24"/>
        <v>485.8</v>
      </c>
      <c r="H12" s="4">
        <f t="shared" si="24"/>
        <v>512.5</v>
      </c>
      <c r="I12" s="4">
        <f t="shared" si="24"/>
        <v>528.79999999999995</v>
      </c>
      <c r="J12" s="4">
        <f t="shared" si="24"/>
        <v>610.4</v>
      </c>
      <c r="K12" s="4">
        <f t="shared" si="24"/>
        <v>601.6</v>
      </c>
      <c r="L12" s="4">
        <f t="shared" si="24"/>
        <v>625.70000000000005</v>
      </c>
      <c r="M12" s="4">
        <f t="shared" si="24"/>
        <v>653.20000000000005</v>
      </c>
      <c r="N12" s="4">
        <f t="shared" si="24"/>
        <v>738.40000000000009</v>
      </c>
      <c r="O12" s="4">
        <f t="shared" si="24"/>
        <v>725.4</v>
      </c>
      <c r="P12" s="4">
        <f t="shared" si="24"/>
        <v>708.7</v>
      </c>
      <c r="Q12" s="4">
        <f t="shared" si="24"/>
        <v>701.4</v>
      </c>
      <c r="R12" s="4">
        <f t="shared" si="24"/>
        <v>827.20000000000016</v>
      </c>
      <c r="S12" s="4">
        <f t="shared" si="24"/>
        <v>776</v>
      </c>
      <c r="T12" s="4">
        <f t="shared" si="24"/>
        <v>805.4</v>
      </c>
      <c r="U12" s="4">
        <f t="shared" si="24"/>
        <v>796.6</v>
      </c>
      <c r="V12" s="4">
        <f t="shared" si="24"/>
        <v>907.00000000000011</v>
      </c>
      <c r="W12" s="4"/>
      <c r="X12" s="4"/>
      <c r="Y12" s="4"/>
      <c r="Z12" s="4"/>
      <c r="AA12" s="4"/>
      <c r="AC12" s="2">
        <f t="shared" ref="AC12" si="25">+AC10+AC11</f>
        <v>944.9</v>
      </c>
      <c r="AD12" s="2">
        <f t="shared" ref="AD12:AK12" si="26">+AD10+AD11</f>
        <v>1139.0999999999999</v>
      </c>
      <c r="AE12" s="2">
        <f t="shared" si="26"/>
        <v>1404.7</v>
      </c>
      <c r="AF12" s="2">
        <f t="shared" si="26"/>
        <v>1735.7</v>
      </c>
      <c r="AG12" s="2">
        <f t="shared" si="26"/>
        <v>1811.3999999999999</v>
      </c>
      <c r="AH12" s="2">
        <f t="shared" si="26"/>
        <v>2137.5</v>
      </c>
      <c r="AI12" s="2">
        <f t="shared" si="26"/>
        <v>2618.9</v>
      </c>
      <c r="AJ12" s="2">
        <f t="shared" si="26"/>
        <v>2962.7</v>
      </c>
      <c r="AK12" s="2">
        <f t="shared" si="26"/>
        <v>3285</v>
      </c>
      <c r="AL12" s="2">
        <f t="shared" ref="AL12:AQ12" si="27">+AL10+AL11</f>
        <v>3317.8500000000004</v>
      </c>
      <c r="AM12" s="2">
        <f t="shared" si="27"/>
        <v>3351.0285000000003</v>
      </c>
      <c r="AN12" s="2">
        <f t="shared" si="27"/>
        <v>3384.5387850000002</v>
      </c>
      <c r="AO12" s="2">
        <f t="shared" si="27"/>
        <v>3418.3841728500001</v>
      </c>
      <c r="AP12" s="2">
        <f t="shared" si="27"/>
        <v>3452.5680145785</v>
      </c>
      <c r="AQ12" s="2">
        <f t="shared" si="27"/>
        <v>3487.0936947242853</v>
      </c>
    </row>
    <row r="13" spans="1:43" s="2" customFormat="1" x14ac:dyDescent="0.2">
      <c r="B13" s="2" t="s">
        <v>27</v>
      </c>
      <c r="C13" s="4">
        <f>+C9-C12</f>
        <v>283</v>
      </c>
      <c r="D13" s="4">
        <f t="shared" ref="D13:E13" si="28">+D9-D12</f>
        <v>80.599999999999909</v>
      </c>
      <c r="E13" s="4">
        <f t="shared" si="28"/>
        <v>270.40000000000009</v>
      </c>
      <c r="F13" s="4">
        <f t="shared" ref="F13:V13" si="29">+F9-F12</f>
        <v>415.80000000000018</v>
      </c>
      <c r="G13" s="4">
        <f t="shared" si="29"/>
        <v>416.7999999999999</v>
      </c>
      <c r="H13" s="4">
        <f t="shared" si="29"/>
        <v>511.20000000000005</v>
      </c>
      <c r="I13" s="4">
        <f t="shared" si="29"/>
        <v>442.6</v>
      </c>
      <c r="J13" s="4">
        <f t="shared" si="29"/>
        <v>450.39999999999975</v>
      </c>
      <c r="K13" s="4">
        <f t="shared" si="29"/>
        <v>408.1</v>
      </c>
      <c r="L13" s="4">
        <f t="shared" si="29"/>
        <v>397.60000000000014</v>
      </c>
      <c r="M13" s="4">
        <f t="shared" si="29"/>
        <v>398.90000000000009</v>
      </c>
      <c r="N13" s="4">
        <f t="shared" si="29"/>
        <v>372.49999999999977</v>
      </c>
      <c r="O13" s="4">
        <f t="shared" si="29"/>
        <v>387.6</v>
      </c>
      <c r="P13" s="4">
        <f t="shared" si="29"/>
        <v>463.19999999999982</v>
      </c>
      <c r="Q13" s="4">
        <f t="shared" si="29"/>
        <v>465.79999999999984</v>
      </c>
      <c r="R13" s="4">
        <f t="shared" si="29"/>
        <v>450.19999999999993</v>
      </c>
      <c r="S13" s="4">
        <f t="shared" si="29"/>
        <v>469.44000000000005</v>
      </c>
      <c r="T13" s="4">
        <f t="shared" si="29"/>
        <v>567.29999999999984</v>
      </c>
      <c r="U13" s="4">
        <f t="shared" si="29"/>
        <v>577.29999999999984</v>
      </c>
      <c r="V13" s="4">
        <f t="shared" si="29"/>
        <v>735.1600000000002</v>
      </c>
      <c r="W13" s="4"/>
      <c r="X13" s="4"/>
      <c r="Y13" s="4"/>
      <c r="Z13" s="4"/>
      <c r="AA13" s="4"/>
      <c r="AC13" s="2">
        <f t="shared" ref="AC13" si="30">+AC9-AC12</f>
        <v>945.20000000000016</v>
      </c>
      <c r="AD13" s="2">
        <f t="shared" ref="AD13:AK13" si="31">+AD9-AD12</f>
        <v>1062.9000000000001</v>
      </c>
      <c r="AE13" s="2">
        <f t="shared" si="31"/>
        <v>1199.3999999999999</v>
      </c>
      <c r="AF13" s="2">
        <f t="shared" si="31"/>
        <v>1374.4999999999998</v>
      </c>
      <c r="AG13" s="2">
        <f t="shared" si="31"/>
        <v>1049.8</v>
      </c>
      <c r="AH13" s="2">
        <f t="shared" si="31"/>
        <v>1820.9999999999995</v>
      </c>
      <c r="AI13" s="2">
        <f t="shared" si="31"/>
        <v>1577.1</v>
      </c>
      <c r="AJ13" s="2">
        <f t="shared" si="31"/>
        <v>1766.8000000000002</v>
      </c>
      <c r="AK13" s="2">
        <f t="shared" si="31"/>
        <v>2349.2000000000007</v>
      </c>
      <c r="AL13" s="2">
        <f t="shared" ref="AL13:AQ13" si="32">+AL9-AL12</f>
        <v>3390.2529799999993</v>
      </c>
      <c r="AM13" s="2">
        <f t="shared" si="32"/>
        <v>4249.4415169999984</v>
      </c>
      <c r="AN13" s="2">
        <f t="shared" si="32"/>
        <v>5212.5527379499981</v>
      </c>
      <c r="AO13" s="2">
        <f t="shared" si="32"/>
        <v>6320.5186120444969</v>
      </c>
      <c r="AP13" s="2">
        <f t="shared" si="32"/>
        <v>7594.9851475572314</v>
      </c>
      <c r="AQ13" s="2">
        <f t="shared" si="32"/>
        <v>9060.8418500240768</v>
      </c>
    </row>
    <row r="14" spans="1:43" s="2" customFormat="1" x14ac:dyDescent="0.2">
      <c r="B14" s="2" t="s">
        <v>29</v>
      </c>
      <c r="C14" s="4">
        <v>25.1</v>
      </c>
      <c r="D14" s="4">
        <v>26.6</v>
      </c>
      <c r="E14" s="4">
        <v>84.8</v>
      </c>
      <c r="F14" s="4">
        <v>20.7</v>
      </c>
      <c r="G14" s="4">
        <v>32</v>
      </c>
      <c r="H14" s="4">
        <v>15</v>
      </c>
      <c r="I14" s="4">
        <v>18.5</v>
      </c>
      <c r="J14" s="4">
        <v>3.8</v>
      </c>
      <c r="K14" s="4">
        <v>-5.7</v>
      </c>
      <c r="L14" s="4">
        <v>9.3000000000000007</v>
      </c>
      <c r="M14" s="4">
        <v>3.9</v>
      </c>
      <c r="N14" s="4">
        <f>+AI14-M14-L14-K14</f>
        <v>22.2</v>
      </c>
      <c r="O14" s="4">
        <v>34.200000000000003</v>
      </c>
      <c r="P14" s="4">
        <v>36</v>
      </c>
      <c r="Q14" s="4">
        <v>56.2</v>
      </c>
      <c r="R14" s="4">
        <f>+AJ14-Q14-P14-O14</f>
        <v>65.699999999999974</v>
      </c>
      <c r="S14" s="4">
        <v>69.099999999999994</v>
      </c>
      <c r="T14" s="4">
        <v>87.2</v>
      </c>
      <c r="U14" s="4">
        <v>93.7</v>
      </c>
      <c r="V14" s="4">
        <f>+AK14-U14-T14-S14</f>
        <v>74.900000000000006</v>
      </c>
      <c r="W14" s="4"/>
      <c r="X14" s="4"/>
      <c r="Y14" s="4"/>
      <c r="Z14" s="4"/>
      <c r="AA14" s="4"/>
      <c r="AC14" s="2">
        <v>35.6</v>
      </c>
      <c r="AD14" s="2">
        <v>41.9</v>
      </c>
      <c r="AE14" s="2">
        <v>80.099999999999994</v>
      </c>
      <c r="AF14" s="2">
        <v>127.7</v>
      </c>
      <c r="AG14" s="2">
        <f>SUM(C14:F14)</f>
        <v>157.19999999999999</v>
      </c>
      <c r="AH14" s="2">
        <f>SUM(G14:J14)</f>
        <v>69.3</v>
      </c>
      <c r="AI14" s="2">
        <v>29.7</v>
      </c>
      <c r="AJ14" s="2">
        <v>192.1</v>
      </c>
      <c r="AK14" s="2">
        <v>324.89999999999998</v>
      </c>
      <c r="AL14" s="2">
        <f>+AK28*$AT$29</f>
        <v>83.102000000000004</v>
      </c>
      <c r="AM14" s="2">
        <f>+AL28*$AT$29</f>
        <v>142.14903466000001</v>
      </c>
      <c r="AN14" s="2">
        <f>+AM28*$AT$29</f>
        <v>216.80607403821998</v>
      </c>
      <c r="AO14" s="2">
        <f>+AN28*$AT$29</f>
        <v>309.10517384201967</v>
      </c>
      <c r="AP14" s="2">
        <f>+AO28*$AT$29</f>
        <v>421.80877820209048</v>
      </c>
      <c r="AQ14" s="2">
        <f>+AP28*$AT$29</f>
        <v>558.09427493999897</v>
      </c>
    </row>
    <row r="15" spans="1:43" s="2" customFormat="1" x14ac:dyDescent="0.2">
      <c r="B15" s="2" t="s">
        <v>30</v>
      </c>
      <c r="C15" s="4">
        <f>+C13+C14</f>
        <v>308.10000000000002</v>
      </c>
      <c r="D15" s="4">
        <f t="shared" ref="D15:E15" si="33">+D13+D14</f>
        <v>107.1999999999999</v>
      </c>
      <c r="E15" s="4">
        <f t="shared" si="33"/>
        <v>355.2000000000001</v>
      </c>
      <c r="F15" s="4">
        <f t="shared" ref="F15:V15" si="34">+F13+F14</f>
        <v>436.50000000000017</v>
      </c>
      <c r="G15" s="4">
        <f t="shared" si="34"/>
        <v>448.7999999999999</v>
      </c>
      <c r="H15" s="4">
        <f t="shared" si="34"/>
        <v>526.20000000000005</v>
      </c>
      <c r="I15" s="4">
        <f t="shared" si="34"/>
        <v>461.1</v>
      </c>
      <c r="J15" s="4">
        <f t="shared" si="34"/>
        <v>454.19999999999976</v>
      </c>
      <c r="K15" s="4">
        <f t="shared" si="34"/>
        <v>402.40000000000003</v>
      </c>
      <c r="L15" s="4">
        <f t="shared" si="34"/>
        <v>406.90000000000015</v>
      </c>
      <c r="M15" s="4">
        <f t="shared" si="34"/>
        <v>402.80000000000007</v>
      </c>
      <c r="N15" s="4">
        <f t="shared" si="34"/>
        <v>394.69999999999976</v>
      </c>
      <c r="O15" s="4">
        <f t="shared" si="34"/>
        <v>421.8</v>
      </c>
      <c r="P15" s="4">
        <f t="shared" si="34"/>
        <v>499.19999999999982</v>
      </c>
      <c r="Q15" s="4">
        <f t="shared" si="34"/>
        <v>521.99999999999989</v>
      </c>
      <c r="R15" s="4">
        <f t="shared" si="34"/>
        <v>515.89999999999986</v>
      </c>
      <c r="S15" s="4">
        <f t="shared" si="34"/>
        <v>538.54000000000008</v>
      </c>
      <c r="T15" s="4">
        <f t="shared" si="34"/>
        <v>654.49999999999989</v>
      </c>
      <c r="U15" s="4">
        <f t="shared" si="34"/>
        <v>670.99999999999989</v>
      </c>
      <c r="V15" s="4">
        <f t="shared" si="34"/>
        <v>810.06000000000017</v>
      </c>
      <c r="W15" s="4"/>
      <c r="X15" s="4"/>
      <c r="Y15" s="4"/>
      <c r="Z15" s="4"/>
      <c r="AA15" s="4"/>
      <c r="AC15" s="2">
        <f t="shared" ref="AC15" si="35">+AC13+AC14</f>
        <v>980.80000000000018</v>
      </c>
      <c r="AD15" s="2">
        <f t="shared" ref="AD15:AK15" si="36">+AD13+AD14</f>
        <v>1104.8000000000002</v>
      </c>
      <c r="AE15" s="2">
        <f t="shared" si="36"/>
        <v>1279.4999999999998</v>
      </c>
      <c r="AF15" s="2">
        <f t="shared" si="36"/>
        <v>1502.1999999999998</v>
      </c>
      <c r="AG15" s="2">
        <f t="shared" si="36"/>
        <v>1207</v>
      </c>
      <c r="AH15" s="2">
        <f t="shared" si="36"/>
        <v>1890.2999999999995</v>
      </c>
      <c r="AI15" s="2">
        <f t="shared" si="36"/>
        <v>1606.8</v>
      </c>
      <c r="AJ15" s="2">
        <f t="shared" si="36"/>
        <v>1958.9</v>
      </c>
      <c r="AK15" s="2">
        <f t="shared" si="36"/>
        <v>2674.1000000000008</v>
      </c>
      <c r="AL15" s="2">
        <f t="shared" ref="AL15:AQ15" si="37">+AL13+AL14</f>
        <v>3473.3549799999992</v>
      </c>
      <c r="AM15" s="2">
        <f t="shared" si="37"/>
        <v>4391.5905516599987</v>
      </c>
      <c r="AN15" s="2">
        <f t="shared" si="37"/>
        <v>5429.3588119882179</v>
      </c>
      <c r="AO15" s="2">
        <f t="shared" si="37"/>
        <v>6629.623785886517</v>
      </c>
      <c r="AP15" s="2">
        <f t="shared" si="37"/>
        <v>8016.7939257593216</v>
      </c>
      <c r="AQ15" s="2">
        <f t="shared" si="37"/>
        <v>9618.9361249640751</v>
      </c>
    </row>
    <row r="16" spans="1:43" s="2" customFormat="1" x14ac:dyDescent="0.2">
      <c r="B16" s="2" t="s">
        <v>31</v>
      </c>
      <c r="C16" s="4">
        <f>-8.1+2.7</f>
        <v>-5.3999999999999995</v>
      </c>
      <c r="D16" s="4">
        <f>37+2.2</f>
        <v>39.200000000000003</v>
      </c>
      <c r="E16" s="4">
        <f>38.4+2.9</f>
        <v>41.3</v>
      </c>
      <c r="F16" s="4">
        <f>72.9-1.6</f>
        <v>71.300000000000011</v>
      </c>
      <c r="G16" s="4">
        <f>13.6+8.9</f>
        <v>22.5</v>
      </c>
      <c r="H16" s="4">
        <f>3.2+5.8</f>
        <v>9</v>
      </c>
      <c r="I16" s="4">
        <f>73.9+6.7</f>
        <v>80.600000000000009</v>
      </c>
      <c r="J16" s="4">
        <f>71.5+2.1</f>
        <v>73.599999999999994</v>
      </c>
      <c r="K16" s="4">
        <f>33+3.8</f>
        <v>36.799999999999997</v>
      </c>
      <c r="L16" s="4">
        <f>93.3+5.8</f>
        <v>99.1</v>
      </c>
      <c r="M16" s="4">
        <v>78.099999999999994</v>
      </c>
      <c r="N16" s="4">
        <f>+AI16-M16-L16-K16</f>
        <v>48.399999999999991</v>
      </c>
      <c r="O16" s="4">
        <v>61</v>
      </c>
      <c r="P16" s="4">
        <v>73.2</v>
      </c>
      <c r="Q16" s="4">
        <v>102.2</v>
      </c>
      <c r="R16" s="4">
        <f>+AJ16-Q16-P16-O16</f>
        <v>-94.800000000000011</v>
      </c>
      <c r="S16" s="4">
        <v>-8.9</v>
      </c>
      <c r="T16" s="4">
        <v>123</v>
      </c>
      <c r="U16" s="4">
        <v>100.4</v>
      </c>
      <c r="V16" s="4">
        <f>+AK16-U16-T16-S16</f>
        <v>121.80000000000001</v>
      </c>
      <c r="W16" s="4"/>
      <c r="X16" s="4"/>
      <c r="Y16" s="4"/>
      <c r="Z16" s="4"/>
      <c r="AA16" s="4"/>
      <c r="AC16" s="2">
        <v>244.9</v>
      </c>
      <c r="AD16" s="2">
        <v>433.9</v>
      </c>
      <c r="AE16" s="2">
        <f>154.5-2.9</f>
        <v>151.6</v>
      </c>
      <c r="AF16" s="2">
        <f>120.4+2.5</f>
        <v>122.9</v>
      </c>
      <c r="AG16" s="2">
        <f>SUM(C16:F16)</f>
        <v>146.4</v>
      </c>
      <c r="AH16" s="2">
        <f>SUM(G16:J16)</f>
        <v>185.7</v>
      </c>
      <c r="AI16" s="2">
        <v>262.39999999999998</v>
      </c>
      <c r="AJ16" s="2">
        <v>141.6</v>
      </c>
      <c r="AK16" s="2">
        <v>336.3</v>
      </c>
      <c r="AL16" s="2">
        <f t="shared" ref="AL16:AQ16" si="38">+AL15*0.15</f>
        <v>521.00324699999987</v>
      </c>
      <c r="AM16" s="2">
        <f t="shared" si="38"/>
        <v>658.73858274899976</v>
      </c>
      <c r="AN16" s="2">
        <f t="shared" si="38"/>
        <v>814.40382179823268</v>
      </c>
      <c r="AO16" s="2">
        <f t="shared" si="38"/>
        <v>994.4435678829775</v>
      </c>
      <c r="AP16" s="2">
        <f t="shared" si="38"/>
        <v>1202.5190888638981</v>
      </c>
      <c r="AQ16" s="2">
        <f t="shared" si="38"/>
        <v>1442.8404187446113</v>
      </c>
    </row>
    <row r="17" spans="2:106" s="2" customFormat="1" x14ac:dyDescent="0.2">
      <c r="B17" s="2" t="s">
        <v>28</v>
      </c>
      <c r="C17" s="4">
        <f>+C15-C16</f>
        <v>313.5</v>
      </c>
      <c r="D17" s="4">
        <f t="shared" ref="D17:E17" si="39">+D15-D16</f>
        <v>67.999999999999901</v>
      </c>
      <c r="E17" s="4">
        <f t="shared" si="39"/>
        <v>313.90000000000009</v>
      </c>
      <c r="F17" s="4">
        <f t="shared" ref="F17:V17" si="40">+F15-F16</f>
        <v>365.20000000000016</v>
      </c>
      <c r="G17" s="4">
        <f t="shared" si="40"/>
        <v>426.2999999999999</v>
      </c>
      <c r="H17" s="4">
        <f t="shared" si="40"/>
        <v>517.20000000000005</v>
      </c>
      <c r="I17" s="4">
        <f t="shared" si="40"/>
        <v>380.5</v>
      </c>
      <c r="J17" s="4">
        <f t="shared" si="40"/>
        <v>380.5999999999998</v>
      </c>
      <c r="K17" s="4">
        <f t="shared" si="40"/>
        <v>365.6</v>
      </c>
      <c r="L17" s="4">
        <f t="shared" si="40"/>
        <v>307.80000000000018</v>
      </c>
      <c r="M17" s="4">
        <f t="shared" si="40"/>
        <v>324.70000000000005</v>
      </c>
      <c r="N17" s="4">
        <f t="shared" si="40"/>
        <v>346.29999999999978</v>
      </c>
      <c r="O17" s="4">
        <f t="shared" si="40"/>
        <v>360.8</v>
      </c>
      <c r="P17" s="4">
        <f t="shared" si="40"/>
        <v>425.99999999999983</v>
      </c>
      <c r="Q17" s="4">
        <f t="shared" si="40"/>
        <v>419.7999999999999</v>
      </c>
      <c r="R17" s="4">
        <f t="shared" si="40"/>
        <v>610.69999999999982</v>
      </c>
      <c r="S17" s="4">
        <f t="shared" si="40"/>
        <v>547.44000000000005</v>
      </c>
      <c r="T17" s="4">
        <f t="shared" si="40"/>
        <v>531.49999999999989</v>
      </c>
      <c r="U17" s="4">
        <f t="shared" si="40"/>
        <v>570.59999999999991</v>
      </c>
      <c r="V17" s="4">
        <f t="shared" si="40"/>
        <v>688.26000000000022</v>
      </c>
      <c r="W17" s="4"/>
      <c r="X17" s="4"/>
      <c r="Y17" s="4"/>
      <c r="Z17" s="4"/>
      <c r="AA17" s="4"/>
      <c r="AC17" s="2">
        <f t="shared" ref="AC17" si="41">+AC15-AC16</f>
        <v>735.9000000000002</v>
      </c>
      <c r="AD17" s="2">
        <f t="shared" ref="AD17:AK17" si="42">+AD15-AD16</f>
        <v>670.9000000000002</v>
      </c>
      <c r="AE17" s="2">
        <f t="shared" si="42"/>
        <v>1127.8999999999999</v>
      </c>
      <c r="AF17" s="2">
        <f t="shared" si="42"/>
        <v>1379.2999999999997</v>
      </c>
      <c r="AG17" s="2">
        <f t="shared" si="42"/>
        <v>1060.5999999999999</v>
      </c>
      <c r="AH17" s="2">
        <f t="shared" si="42"/>
        <v>1704.5999999999995</v>
      </c>
      <c r="AI17" s="2">
        <f t="shared" si="42"/>
        <v>1344.4</v>
      </c>
      <c r="AJ17" s="2">
        <f t="shared" si="42"/>
        <v>1817.3000000000002</v>
      </c>
      <c r="AK17" s="2">
        <f t="shared" si="42"/>
        <v>2337.8000000000006</v>
      </c>
      <c r="AL17" s="2">
        <f t="shared" ref="AL17:AQ17" si="43">+AL15-AL16</f>
        <v>2952.3517329999995</v>
      </c>
      <c r="AM17" s="2">
        <f t="shared" si="43"/>
        <v>3732.8519689109989</v>
      </c>
      <c r="AN17" s="2">
        <f t="shared" si="43"/>
        <v>4614.9549901899854</v>
      </c>
      <c r="AO17" s="2">
        <f t="shared" si="43"/>
        <v>5635.1802180035393</v>
      </c>
      <c r="AP17" s="2">
        <f t="shared" si="43"/>
        <v>6814.2748368954235</v>
      </c>
      <c r="AQ17" s="2">
        <f t="shared" si="43"/>
        <v>8176.0957062194639</v>
      </c>
      <c r="AR17" s="2">
        <f>AQ17*(1+$AT$26)</f>
        <v>8094.3347491572695</v>
      </c>
      <c r="AS17" s="2">
        <f t="shared" ref="AS17:DB17" si="44">AR17*(1+$AT$26)</f>
        <v>8013.3914016656963</v>
      </c>
      <c r="AT17" s="2">
        <f t="shared" si="44"/>
        <v>7933.2574876490389</v>
      </c>
      <c r="AU17" s="2">
        <f t="shared" si="44"/>
        <v>7853.9249127725489</v>
      </c>
      <c r="AV17" s="2">
        <f t="shared" si="44"/>
        <v>7775.3856636448236</v>
      </c>
      <c r="AW17" s="2">
        <f t="shared" si="44"/>
        <v>7697.6318070083753</v>
      </c>
      <c r="AX17" s="2">
        <f t="shared" si="44"/>
        <v>7620.6554889382915</v>
      </c>
      <c r="AY17" s="2">
        <f t="shared" si="44"/>
        <v>7544.4489340489081</v>
      </c>
      <c r="AZ17" s="2">
        <f t="shared" si="44"/>
        <v>7469.0044447084192</v>
      </c>
      <c r="BA17" s="2">
        <f t="shared" si="44"/>
        <v>7394.3144002613353</v>
      </c>
      <c r="BB17" s="2">
        <f t="shared" si="44"/>
        <v>7320.3712562587216</v>
      </c>
      <c r="BC17" s="2">
        <f t="shared" si="44"/>
        <v>7247.1675436961341</v>
      </c>
      <c r="BD17" s="2">
        <f t="shared" si="44"/>
        <v>7174.695868259173</v>
      </c>
      <c r="BE17" s="2">
        <f t="shared" si="44"/>
        <v>7102.9489095765812</v>
      </c>
      <c r="BF17" s="2">
        <f t="shared" si="44"/>
        <v>7031.9194204808155</v>
      </c>
      <c r="BG17" s="2">
        <f t="shared" si="44"/>
        <v>6961.6002262760076</v>
      </c>
      <c r="BH17" s="2">
        <f t="shared" si="44"/>
        <v>6891.9842240132475</v>
      </c>
      <c r="BI17" s="2">
        <f t="shared" si="44"/>
        <v>6823.0643817731152</v>
      </c>
      <c r="BJ17" s="2">
        <f t="shared" si="44"/>
        <v>6754.8337379553841</v>
      </c>
      <c r="BK17" s="2">
        <f t="shared" si="44"/>
        <v>6687.28540057583</v>
      </c>
      <c r="BL17" s="2">
        <f t="shared" si="44"/>
        <v>6620.4125465700718</v>
      </c>
      <c r="BM17" s="2">
        <f t="shared" si="44"/>
        <v>6554.2084211043712</v>
      </c>
      <c r="BN17" s="2">
        <f t="shared" si="44"/>
        <v>6488.6663368933278</v>
      </c>
      <c r="BO17" s="2">
        <f t="shared" si="44"/>
        <v>6423.7796735243946</v>
      </c>
      <c r="BP17" s="2">
        <f t="shared" si="44"/>
        <v>6359.5418767891506</v>
      </c>
      <c r="BQ17" s="2">
        <f t="shared" si="44"/>
        <v>6295.9464580212589</v>
      </c>
      <c r="BR17" s="2">
        <f t="shared" si="44"/>
        <v>6232.9869934410463</v>
      </c>
      <c r="BS17" s="2">
        <f t="shared" si="44"/>
        <v>6170.6571235066358</v>
      </c>
      <c r="BT17" s="2">
        <f t="shared" si="44"/>
        <v>6108.950552271569</v>
      </c>
      <c r="BU17" s="2">
        <f t="shared" si="44"/>
        <v>6047.8610467488534</v>
      </c>
      <c r="BV17" s="2">
        <f t="shared" si="44"/>
        <v>5987.3824362813648</v>
      </c>
      <c r="BW17" s="2">
        <f t="shared" si="44"/>
        <v>5927.5086119185507</v>
      </c>
      <c r="BX17" s="2">
        <f t="shared" si="44"/>
        <v>5868.2335257993655</v>
      </c>
      <c r="BY17" s="2">
        <f t="shared" si="44"/>
        <v>5809.5511905413714</v>
      </c>
      <c r="BZ17" s="2">
        <f t="shared" si="44"/>
        <v>5751.4556786359581</v>
      </c>
      <c r="CA17" s="2">
        <f t="shared" si="44"/>
        <v>5693.9411218495989</v>
      </c>
      <c r="CB17" s="2">
        <f t="shared" si="44"/>
        <v>5637.0017106311025</v>
      </c>
      <c r="CC17" s="2">
        <f t="shared" si="44"/>
        <v>5580.6316935247914</v>
      </c>
      <c r="CD17" s="2">
        <f t="shared" si="44"/>
        <v>5524.8253765895433</v>
      </c>
      <c r="CE17" s="2">
        <f t="shared" si="44"/>
        <v>5469.5771228236481</v>
      </c>
      <c r="CF17" s="2">
        <f t="shared" si="44"/>
        <v>5414.8813515954116</v>
      </c>
      <c r="CG17" s="2">
        <f t="shared" si="44"/>
        <v>5360.7325380794573</v>
      </c>
      <c r="CH17" s="2">
        <f t="shared" si="44"/>
        <v>5307.1252126986628</v>
      </c>
      <c r="CI17" s="2">
        <f t="shared" si="44"/>
        <v>5254.0539605716758</v>
      </c>
      <c r="CJ17" s="2">
        <f t="shared" si="44"/>
        <v>5201.5134209659591</v>
      </c>
      <c r="CK17" s="2">
        <f t="shared" si="44"/>
        <v>5149.4982867562994</v>
      </c>
      <c r="CL17" s="2">
        <f t="shared" si="44"/>
        <v>5098.0033038887368</v>
      </c>
      <c r="CM17" s="2">
        <f t="shared" si="44"/>
        <v>5047.0232708498497</v>
      </c>
      <c r="CN17" s="2">
        <f t="shared" si="44"/>
        <v>4996.553038141351</v>
      </c>
      <c r="CO17" s="2">
        <f t="shared" si="44"/>
        <v>4946.5875077599376</v>
      </c>
      <c r="CP17" s="2">
        <f t="shared" si="44"/>
        <v>4897.1216326823378</v>
      </c>
      <c r="CQ17" s="2">
        <f t="shared" si="44"/>
        <v>4848.1504163555146</v>
      </c>
      <c r="CR17" s="2">
        <f t="shared" si="44"/>
        <v>4799.6689121919599</v>
      </c>
      <c r="CS17" s="2">
        <f t="shared" si="44"/>
        <v>4751.6722230700407</v>
      </c>
      <c r="CT17" s="2">
        <f t="shared" si="44"/>
        <v>4704.1555008393407</v>
      </c>
      <c r="CU17" s="2">
        <f t="shared" si="44"/>
        <v>4657.1139458309472</v>
      </c>
      <c r="CV17" s="2">
        <f t="shared" si="44"/>
        <v>4610.5428063726376</v>
      </c>
      <c r="CW17" s="2">
        <f t="shared" si="44"/>
        <v>4564.4373783089113</v>
      </c>
      <c r="CX17" s="2">
        <f t="shared" si="44"/>
        <v>4518.7930045258217</v>
      </c>
      <c r="CY17" s="2">
        <f t="shared" si="44"/>
        <v>4473.6050744805634</v>
      </c>
      <c r="CZ17" s="2">
        <f t="shared" si="44"/>
        <v>4428.8690237357578</v>
      </c>
      <c r="DA17" s="2">
        <f t="shared" si="44"/>
        <v>4384.5803334984003</v>
      </c>
      <c r="DB17" s="2">
        <f t="shared" si="44"/>
        <v>4340.7345301634159</v>
      </c>
    </row>
    <row r="18" spans="2:106" s="2" customFormat="1" x14ac:dyDescent="0.2">
      <c r="B18" s="2" t="s">
        <v>32</v>
      </c>
      <c r="C18" s="7">
        <f>+C17/C19</f>
        <v>2.6168614357262103</v>
      </c>
      <c r="D18" s="7">
        <f t="shared" ref="D18:E18" si="45">+D17/D19</f>
        <v>0.56808688387635675</v>
      </c>
      <c r="E18" s="7">
        <f t="shared" si="45"/>
        <v>2.6028192371475964</v>
      </c>
      <c r="F18" s="7">
        <f t="shared" ref="F18:V18" si="46">+F17/F19</f>
        <v>1.0052298375997801</v>
      </c>
      <c r="G18" s="7">
        <f t="shared" si="46"/>
        <v>1.1711538461538458</v>
      </c>
      <c r="H18" s="7">
        <f t="shared" si="46"/>
        <v>1.4173746231844344</v>
      </c>
      <c r="I18" s="7">
        <f t="shared" si="46"/>
        <v>1.0356559608056615</v>
      </c>
      <c r="J18" s="7">
        <f t="shared" si="46"/>
        <v>1.0359281437125745</v>
      </c>
      <c r="K18" s="7">
        <f t="shared" si="46"/>
        <v>0.9970002727024817</v>
      </c>
      <c r="L18" s="7">
        <f t="shared" si="46"/>
        <v>0.84583676834295196</v>
      </c>
      <c r="M18" s="7">
        <f t="shared" si="46"/>
        <v>0.90069348127600568</v>
      </c>
      <c r="N18" s="7">
        <f t="shared" si="46"/>
        <v>0.95215837228484956</v>
      </c>
      <c r="O18" s="7">
        <f t="shared" si="46"/>
        <v>1.0134831460674159</v>
      </c>
      <c r="P18" s="7">
        <f t="shared" si="46"/>
        <v>1.1922753988245167</v>
      </c>
      <c r="Q18" s="7">
        <f t="shared" si="46"/>
        <v>1.1719709659408148</v>
      </c>
      <c r="R18" s="7">
        <f t="shared" si="46"/>
        <v>1.7098460102659816</v>
      </c>
      <c r="S18" s="7">
        <f t="shared" si="46"/>
        <v>1.5185575589459086</v>
      </c>
      <c r="T18" s="7">
        <f t="shared" si="46"/>
        <v>1.4722991689750689</v>
      </c>
      <c r="U18" s="7">
        <f t="shared" si="46"/>
        <v>1.573200992555831</v>
      </c>
      <c r="V18" s="7">
        <f t="shared" si="46"/>
        <v>1.8908241758241764</v>
      </c>
      <c r="W18" s="4"/>
      <c r="X18" s="4"/>
      <c r="Y18" s="4"/>
      <c r="Z18" s="4"/>
      <c r="AA18" s="4"/>
      <c r="AC18" s="1">
        <f t="shared" ref="AC18" si="47">+AC17/AC19</f>
        <v>6.2417302798982206</v>
      </c>
      <c r="AD18" s="1">
        <f t="shared" ref="AD18:AK18" si="48">+AD17/AD19</f>
        <v>5.7687016337059349</v>
      </c>
      <c r="AE18" s="1">
        <f t="shared" si="48"/>
        <v>9.4941077441077439</v>
      </c>
      <c r="AF18" s="1">
        <f t="shared" si="48"/>
        <v>11.542259414225938</v>
      </c>
      <c r="AG18" s="1">
        <f t="shared" si="48"/>
        <v>2.9193503991191849</v>
      </c>
      <c r="AH18" s="1">
        <f t="shared" si="48"/>
        <v>4.6583316253330596</v>
      </c>
      <c r="AI18" s="1">
        <f t="shared" si="48"/>
        <v>3.7138121546961327</v>
      </c>
      <c r="AJ18" s="1">
        <f t="shared" si="48"/>
        <v>5.0847789591494132</v>
      </c>
      <c r="AK18" s="1">
        <f t="shared" si="48"/>
        <v>6.4580110497237584</v>
      </c>
      <c r="AL18" s="1">
        <f t="shared" ref="AL18:AQ18" si="49">+AL17/AL19</f>
        <v>8.1556677707182299</v>
      </c>
      <c r="AM18" s="1">
        <f t="shared" si="49"/>
        <v>10.311745770472372</v>
      </c>
      <c r="AN18" s="1">
        <f t="shared" si="49"/>
        <v>12.748494448038635</v>
      </c>
      <c r="AO18" s="1">
        <f t="shared" si="49"/>
        <v>15.566796182330219</v>
      </c>
      <c r="AP18" s="1">
        <f t="shared" si="49"/>
        <v>18.823963637832662</v>
      </c>
      <c r="AQ18" s="1">
        <f t="shared" si="49"/>
        <v>22.585899740937744</v>
      </c>
    </row>
    <row r="19" spans="2:106" s="2" customFormat="1" x14ac:dyDescent="0.2">
      <c r="B19" s="2" t="s">
        <v>1</v>
      </c>
      <c r="C19" s="4">
        <v>119.8</v>
      </c>
      <c r="D19" s="4">
        <v>119.7</v>
      </c>
      <c r="E19" s="4">
        <v>120.6</v>
      </c>
      <c r="F19" s="4">
        <v>363.3</v>
      </c>
      <c r="G19" s="4">
        <v>364</v>
      </c>
      <c r="H19" s="4">
        <v>364.9</v>
      </c>
      <c r="I19" s="4">
        <v>367.4</v>
      </c>
      <c r="J19" s="4">
        <v>367.4</v>
      </c>
      <c r="K19" s="4">
        <v>366.7</v>
      </c>
      <c r="L19" s="4">
        <v>363.9</v>
      </c>
      <c r="M19" s="4">
        <v>360.5</v>
      </c>
      <c r="N19" s="4">
        <f>+AVERAGE(K19:M19)</f>
        <v>363.7</v>
      </c>
      <c r="O19" s="4">
        <v>356</v>
      </c>
      <c r="P19" s="4">
        <v>357.3</v>
      </c>
      <c r="Q19" s="4">
        <v>358.2</v>
      </c>
      <c r="R19" s="4">
        <f>+AVERAGE(O19:Q19)</f>
        <v>357.16666666666669</v>
      </c>
      <c r="S19" s="4">
        <v>360.5</v>
      </c>
      <c r="T19" s="4">
        <v>361</v>
      </c>
      <c r="U19" s="4">
        <v>362.7</v>
      </c>
      <c r="V19" s="4">
        <v>364</v>
      </c>
      <c r="W19" s="4"/>
      <c r="X19" s="4"/>
      <c r="Y19" s="4"/>
      <c r="Z19" s="4"/>
      <c r="AA19" s="4"/>
      <c r="AC19" s="2">
        <v>117.9</v>
      </c>
      <c r="AD19" s="2">
        <v>116.3</v>
      </c>
      <c r="AE19" s="2">
        <v>118.8</v>
      </c>
      <c r="AF19" s="2">
        <v>119.5</v>
      </c>
      <c r="AG19" s="2">
        <f>F19</f>
        <v>363.3</v>
      </c>
      <c r="AH19" s="2">
        <f>AVERAGE(G19:J19)</f>
        <v>365.92499999999995</v>
      </c>
      <c r="AI19" s="2">
        <v>362</v>
      </c>
      <c r="AJ19" s="2">
        <v>357.4</v>
      </c>
      <c r="AK19" s="2">
        <v>362</v>
      </c>
      <c r="AL19" s="2">
        <f t="shared" ref="AL19:AQ19" si="50">+AK19</f>
        <v>362</v>
      </c>
      <c r="AM19" s="2">
        <f t="shared" si="50"/>
        <v>362</v>
      </c>
      <c r="AN19" s="2">
        <f t="shared" si="50"/>
        <v>362</v>
      </c>
      <c r="AO19" s="2">
        <f t="shared" si="50"/>
        <v>362</v>
      </c>
      <c r="AP19" s="2">
        <f t="shared" si="50"/>
        <v>362</v>
      </c>
      <c r="AQ19" s="2">
        <f t="shared" si="50"/>
        <v>362</v>
      </c>
    </row>
    <row r="20" spans="2:106" s="2" customFormat="1" x14ac:dyDescent="0.2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2:106" s="13" customFormat="1" x14ac:dyDescent="0.2">
      <c r="B21" s="13" t="s">
        <v>60</v>
      </c>
      <c r="C21" s="14"/>
      <c r="D21" s="14"/>
      <c r="E21" s="14"/>
      <c r="F21" s="14"/>
      <c r="G21" s="14">
        <f t="shared" ref="G21:U21" si="51">+G3/C3-1</f>
        <v>0.14315789473684215</v>
      </c>
      <c r="H21" s="14">
        <f t="shared" si="51"/>
        <v>0.72829861111111094</v>
      </c>
      <c r="I21" s="14">
        <f t="shared" si="51"/>
        <v>0.19790675547097991</v>
      </c>
      <c r="J21" s="14">
        <f t="shared" si="51"/>
        <v>0.12839737582005628</v>
      </c>
      <c r="K21" s="14">
        <f t="shared" si="51"/>
        <v>0.14789630259243514</v>
      </c>
      <c r="L21" s="14">
        <f t="shared" si="51"/>
        <v>0.12418382722250132</v>
      </c>
      <c r="M21" s="14">
        <f t="shared" si="51"/>
        <v>0.15382578766216559</v>
      </c>
      <c r="N21" s="14">
        <f t="shared" si="51"/>
        <v>0.11616041765543406</v>
      </c>
      <c r="O21" s="14">
        <f t="shared" si="51"/>
        <v>0.2163396272985314</v>
      </c>
      <c r="P21" s="14">
        <f t="shared" si="51"/>
        <v>0.2017200938232997</v>
      </c>
      <c r="Q21" s="14">
        <f t="shared" si="51"/>
        <v>0.22923359339146421</v>
      </c>
      <c r="R21" s="14">
        <f t="shared" si="51"/>
        <v>0.21579674710322161</v>
      </c>
      <c r="S21" s="14">
        <f t="shared" si="51"/>
        <v>0.17583198051948079</v>
      </c>
      <c r="T21" s="14">
        <f t="shared" si="51"/>
        <v>0.15661306812900833</v>
      </c>
      <c r="U21" s="14">
        <f t="shared" si="51"/>
        <v>0.17995146537240969</v>
      </c>
      <c r="V21" s="14">
        <f>+V3/R3-1</f>
        <v>0.23415231266940606</v>
      </c>
      <c r="W21" s="14">
        <f>+W3/S3-1</f>
        <v>0.17999999999999994</v>
      </c>
      <c r="X21" s="14">
        <f>+X3/T3-1</f>
        <v>0.17999999999999994</v>
      </c>
      <c r="Y21" s="14">
        <f>+Y3/U3-1</f>
        <v>0.17999999999999994</v>
      </c>
      <c r="Z21" s="14">
        <f>+Z3/V3-1</f>
        <v>0.17999999999999994</v>
      </c>
      <c r="AA21" s="14"/>
      <c r="AD21" s="13">
        <f t="shared" ref="AD21:AJ21" si="52">+AD3/AC3-1</f>
        <v>0.1727324831637771</v>
      </c>
      <c r="AE21" s="13">
        <f t="shared" si="52"/>
        <v>0.19860712322072205</v>
      </c>
      <c r="AF21" s="13">
        <f t="shared" si="52"/>
        <v>0.22742099898063195</v>
      </c>
      <c r="AG21" s="13">
        <f t="shared" si="52"/>
        <v>1.9765800182709237E-2</v>
      </c>
      <c r="AH21" s="13">
        <f t="shared" si="52"/>
        <v>0.26252137796237474</v>
      </c>
      <c r="AI21" s="13">
        <f t="shared" si="52"/>
        <v>0.13462344783099489</v>
      </c>
      <c r="AJ21" s="13">
        <f t="shared" si="52"/>
        <v>0.21566843855709394</v>
      </c>
      <c r="AK21" s="13">
        <f>+AK3/AJ3-1</f>
        <v>0.18762568395454315</v>
      </c>
      <c r="AL21" s="13">
        <f>+AL3/AK3-1</f>
        <v>0.17999999999999994</v>
      </c>
      <c r="AM21" s="13">
        <f>+AM3/AL3-1</f>
        <v>0.14999999999999991</v>
      </c>
      <c r="AN21" s="13">
        <f>+AN3/AM3-1</f>
        <v>0.14999999999999991</v>
      </c>
      <c r="AO21" s="13">
        <f>+AO3/AN3-1</f>
        <v>0.14999999999999991</v>
      </c>
      <c r="AP21" s="13">
        <f>+AP3/AO3-1</f>
        <v>0.14999999999999991</v>
      </c>
      <c r="AQ21" s="13">
        <f>+AQ3/AP3-1</f>
        <v>0.14999999999999991</v>
      </c>
    </row>
    <row r="22" spans="2:106" s="13" customFormat="1" x14ac:dyDescent="0.2">
      <c r="B22" s="13" t="s">
        <v>61</v>
      </c>
      <c r="C22" s="14"/>
      <c r="D22" s="14"/>
      <c r="E22" s="14"/>
      <c r="F22" s="14"/>
      <c r="G22" s="14">
        <f t="shared" ref="G22:U22" si="53">+G4/C4-1</f>
        <v>0.30144722908577481</v>
      </c>
      <c r="H22" s="14">
        <f t="shared" si="53"/>
        <v>0.68429118773946374</v>
      </c>
      <c r="I22" s="14">
        <f t="shared" si="53"/>
        <v>0.55041075429424935</v>
      </c>
      <c r="J22" s="14">
        <f t="shared" si="53"/>
        <v>0.2810796074154851</v>
      </c>
      <c r="K22" s="14">
        <f t="shared" si="53"/>
        <v>0.161106590724166</v>
      </c>
      <c r="L22" s="14">
        <f t="shared" si="53"/>
        <v>-0.14672429481346683</v>
      </c>
      <c r="M22" s="14">
        <f t="shared" si="53"/>
        <v>2.5770712909441107E-2</v>
      </c>
      <c r="N22" s="14">
        <f t="shared" si="53"/>
        <v>-4.0221323685891042E-2</v>
      </c>
      <c r="O22" s="14">
        <f t="shared" si="53"/>
        <v>-1.6351319785098406E-3</v>
      </c>
      <c r="P22" s="14">
        <f t="shared" si="53"/>
        <v>4.5854438816315568E-2</v>
      </c>
      <c r="Q22" s="14">
        <f t="shared" si="53"/>
        <v>-0.10918055881662359</v>
      </c>
      <c r="R22" s="14">
        <f t="shared" si="53"/>
        <v>6.5631929046564341E-2</v>
      </c>
      <c r="S22" s="14">
        <f t="shared" si="53"/>
        <v>-2.1525503041647132E-2</v>
      </c>
      <c r="T22" s="14">
        <f t="shared" si="53"/>
        <v>0.1424929900586287</v>
      </c>
      <c r="U22" s="14">
        <f t="shared" si="53"/>
        <v>0.17290458618871907</v>
      </c>
      <c r="V22" s="14">
        <f>+V4/R4-1</f>
        <v>0.36163129421556328</v>
      </c>
      <c r="W22" s="14">
        <f>+W4/S4-1</f>
        <v>0.17999999999999994</v>
      </c>
      <c r="X22" s="14">
        <f>+X4/T4-1</f>
        <v>0.17999999999999994</v>
      </c>
      <c r="Y22" s="14">
        <f>+Y4/U4-1</f>
        <v>0.18000000000000016</v>
      </c>
      <c r="Z22" s="14">
        <f>+Z4/V4-1</f>
        <v>0.17999999999999994</v>
      </c>
      <c r="AA22" s="14"/>
      <c r="AD22" s="13">
        <f t="shared" ref="AD22:AJ22" si="54">+AD4/AC4-1</f>
        <v>0.17281455280444669</v>
      </c>
      <c r="AE22" s="13">
        <f t="shared" si="54"/>
        <v>0.21402412753123645</v>
      </c>
      <c r="AF22" s="13">
        <f t="shared" si="54"/>
        <v>0.19430396593026344</v>
      </c>
      <c r="AG22" s="13">
        <f t="shared" si="54"/>
        <v>-0.12421068271302282</v>
      </c>
      <c r="AH22" s="13">
        <f t="shared" si="54"/>
        <v>0.43642378488421429</v>
      </c>
      <c r="AI22" s="13">
        <f t="shared" si="54"/>
        <v>-7.8540214952168563E-3</v>
      </c>
      <c r="AJ22" s="13">
        <f t="shared" si="54"/>
        <v>-2.380810666030575E-4</v>
      </c>
      <c r="AK22" s="13">
        <f>+AK4/AJ4-1</f>
        <v>0.17032803476811353</v>
      </c>
      <c r="AL22" s="13">
        <f>+AL4/AK4-1</f>
        <v>0.17999999999999972</v>
      </c>
      <c r="AM22" s="13">
        <f>+AM4/AL4-1</f>
        <v>0.14999999999999991</v>
      </c>
      <c r="AN22" s="13">
        <f>+AN4/AM4-1</f>
        <v>0.14999999999999991</v>
      </c>
      <c r="AO22" s="13">
        <f>+AO4/AN4-1</f>
        <v>0.14999999999999991</v>
      </c>
      <c r="AP22" s="13">
        <f>+AP4/AO4-1</f>
        <v>0.14999999999999991</v>
      </c>
      <c r="AQ22" s="13">
        <f>+AQ4/AP4-1</f>
        <v>0.14999999999999991</v>
      </c>
    </row>
    <row r="23" spans="2:106" s="11" customFormat="1" x14ac:dyDescent="0.2">
      <c r="B23" s="5" t="s">
        <v>35</v>
      </c>
      <c r="C23" s="12"/>
      <c r="D23" s="12"/>
      <c r="E23" s="15"/>
      <c r="F23" s="15"/>
      <c r="G23" s="15">
        <f t="shared" ref="G23" si="55">+G7/C7-1</f>
        <v>0.1751705320600272</v>
      </c>
      <c r="H23" s="15">
        <f t="shared" ref="H23:K23" si="56">+H7/D7-1</f>
        <v>0.71810820326252811</v>
      </c>
      <c r="I23" s="15">
        <f t="shared" si="56"/>
        <v>0.3021248956110234</v>
      </c>
      <c r="J23" s="15">
        <f t="shared" si="56"/>
        <v>0.16672936573621211</v>
      </c>
      <c r="K23" s="15">
        <f t="shared" si="56"/>
        <v>0.15138147202228946</v>
      </c>
      <c r="L23" s="15">
        <f>+L7/H7-1</f>
        <v>3.9685792349726912E-2</v>
      </c>
      <c r="M23" s="15">
        <f>+M7/I7-1</f>
        <v>0.10981258462196264</v>
      </c>
      <c r="N23" s="15">
        <f>+N7/J7-1</f>
        <v>6.7259947120655417E-2</v>
      </c>
      <c r="O23" s="15">
        <f>+O7/K7-1</f>
        <v>0.14014922363379712</v>
      </c>
      <c r="P23" s="15">
        <f>+P7/L7-1</f>
        <v>0.15360357400959179</v>
      </c>
      <c r="Q23" s="15">
        <f>+Q7/M7-1</f>
        <v>0.11962244766919206</v>
      </c>
      <c r="R23" s="15">
        <f>+R7/N7-1</f>
        <v>0.16513595166163131</v>
      </c>
      <c r="S23" s="15">
        <f>+S7/O7-1</f>
        <v>0.11463270840702755</v>
      </c>
      <c r="T23" s="15">
        <f>+T7/P7-1</f>
        <v>0.14465516259468081</v>
      </c>
      <c r="U23" s="15">
        <f>+U7/Q7-1</f>
        <v>0.16883638240523036</v>
      </c>
      <c r="V23" s="15">
        <f>+V7/R7-1</f>
        <v>0.25159985479437852</v>
      </c>
      <c r="W23" s="15">
        <f>+W7/S7-1</f>
        <v>0.19987305885837592</v>
      </c>
      <c r="X23" s="15">
        <f>+X7/T7-1</f>
        <v>0.19894422608089957</v>
      </c>
      <c r="Y23" s="15">
        <f>+Y7/U7-1</f>
        <v>0.199365094941367</v>
      </c>
      <c r="Z23" s="15">
        <f>+Z7/V7-1</f>
        <v>0.19719489861029404</v>
      </c>
      <c r="AA23" s="15"/>
      <c r="AD23" s="16">
        <f t="shared" ref="AD23:AH23" si="57">+AD7/AC7-1</f>
        <v>0.16040526549327039</v>
      </c>
      <c r="AE23" s="16">
        <f t="shared" si="57"/>
        <v>0.18673124721177725</v>
      </c>
      <c r="AF23" s="16">
        <f t="shared" si="57"/>
        <v>0.20254014284947108</v>
      </c>
      <c r="AG23" s="16">
        <f t="shared" si="57"/>
        <v>-2.6817014625432734E-2</v>
      </c>
      <c r="AH23" s="16">
        <f t="shared" si="57"/>
        <v>0.31013674743024966</v>
      </c>
      <c r="AI23" s="16">
        <f t="shared" ref="AI23" si="58">+AI7/AH7-1</f>
        <v>8.968319293882776E-2</v>
      </c>
      <c r="AJ23" s="16">
        <f t="shared" ref="AJ23:AQ23" si="59">+AJ7/AI7-1</f>
        <v>0.1449487319597571</v>
      </c>
      <c r="AK23" s="16">
        <f t="shared" si="59"/>
        <v>0.17237265058042417</v>
      </c>
      <c r="AL23" s="16">
        <f t="shared" si="59"/>
        <v>0.19875169119143665</v>
      </c>
      <c r="AM23" s="16">
        <f t="shared" si="59"/>
        <v>0.13302822566388195</v>
      </c>
      <c r="AN23" s="16">
        <f t="shared" si="59"/>
        <v>0.13112629925792119</v>
      </c>
      <c r="AO23" s="16">
        <f t="shared" si="59"/>
        <v>0.13281366830822083</v>
      </c>
      <c r="AP23" s="16">
        <f t="shared" si="59"/>
        <v>0.13437349218343297</v>
      </c>
      <c r="AQ23" s="16">
        <f t="shared" si="59"/>
        <v>0.13581128423577304</v>
      </c>
    </row>
    <row r="24" spans="2:106" x14ac:dyDescent="0.2">
      <c r="B24" s="2" t="s">
        <v>23</v>
      </c>
      <c r="C24" s="8">
        <f>C9/C7</f>
        <v>0.67139608913142346</v>
      </c>
      <c r="D24" s="8">
        <f t="shared" ref="D24:M24" si="60">D9/D7</f>
        <v>0.5901889449595118</v>
      </c>
      <c r="E24" s="8">
        <f t="shared" si="60"/>
        <v>0.67207942841235968</v>
      </c>
      <c r="F24" s="8">
        <f t="shared" si="60"/>
        <v>0.67398991798961705</v>
      </c>
      <c r="G24" s="8">
        <f t="shared" si="60"/>
        <v>0.69855274359569686</v>
      </c>
      <c r="H24" s="8">
        <f t="shared" si="60"/>
        <v>0.69924863387978142</v>
      </c>
      <c r="I24" s="8">
        <f t="shared" si="60"/>
        <v>0.69222546853844513</v>
      </c>
      <c r="J24" s="8">
        <f t="shared" si="60"/>
        <v>0.68407815825111229</v>
      </c>
      <c r="K24" s="8">
        <f t="shared" si="60"/>
        <v>0.67869866236472409</v>
      </c>
      <c r="L24" s="8">
        <f t="shared" si="60"/>
        <v>0.67229485579134096</v>
      </c>
      <c r="M24" s="8">
        <f t="shared" si="60"/>
        <v>0.67554899190959294</v>
      </c>
      <c r="N24" s="8">
        <f t="shared" ref="N24:O24" si="61">N9/N7</f>
        <v>0.67123867069486398</v>
      </c>
      <c r="O24" s="8">
        <f t="shared" si="61"/>
        <v>0.65617262115316588</v>
      </c>
      <c r="P24" s="8">
        <f t="shared" ref="P24:R24" si="62">P9/P7</f>
        <v>0.66740702773506466</v>
      </c>
      <c r="Q24" s="8">
        <f t="shared" si="62"/>
        <v>0.66938120089464925</v>
      </c>
      <c r="R24" s="8">
        <f t="shared" si="62"/>
        <v>0.66244878908883476</v>
      </c>
      <c r="S24" s="8">
        <f>S9/S7</f>
        <v>0.65873989760081242</v>
      </c>
      <c r="T24" s="8">
        <f>T9/T7</f>
        <v>0.68296930195532113</v>
      </c>
      <c r="U24" s="8">
        <f>U9/U7</f>
        <v>0.67410823806486431</v>
      </c>
      <c r="V24" s="8">
        <f>V9/V7</f>
        <v>0.68041732616243911</v>
      </c>
      <c r="W24" s="8"/>
      <c r="X24" s="8"/>
      <c r="Y24" s="8"/>
      <c r="Z24" s="8"/>
      <c r="AA24" s="8"/>
      <c r="AC24" s="8">
        <f t="shared" ref="AC24" si="63">AC9/AC7</f>
        <v>0.69889809199822517</v>
      </c>
      <c r="AD24" s="8">
        <f t="shared" ref="AD24:AE24" si="64">AD9/AD7</f>
        <v>0.70167612006882918</v>
      </c>
      <c r="AE24" s="8">
        <f t="shared" si="64"/>
        <v>0.69923742011707213</v>
      </c>
      <c r="AF24" s="8">
        <f t="shared" ref="AF24:AG24" si="65">AF9/AF7</f>
        <v>0.69447359607011272</v>
      </c>
      <c r="AG24" s="8">
        <f t="shared" si="65"/>
        <v>0.65647944199706321</v>
      </c>
      <c r="AH24" s="8">
        <f t="shared" ref="AH24" si="66">AH9/AH7</f>
        <v>0.69324530218384961</v>
      </c>
      <c r="AI24" s="8">
        <f t="shared" ref="AI24" si="67">AI9/AI7</f>
        <v>0.67435955128411174</v>
      </c>
      <c r="AJ24" s="8">
        <f t="shared" ref="AJ24:AQ24" si="68">AJ9/AJ7</f>
        <v>0.66387333136817284</v>
      </c>
      <c r="AK24" s="8">
        <f t="shared" si="68"/>
        <v>0.67458483495168886</v>
      </c>
      <c r="AL24" s="8">
        <f t="shared" si="68"/>
        <v>0.67</v>
      </c>
      <c r="AM24" s="8">
        <f t="shared" si="68"/>
        <v>0.67</v>
      </c>
      <c r="AN24" s="8">
        <f t="shared" si="68"/>
        <v>0.67</v>
      </c>
      <c r="AO24" s="8">
        <f t="shared" si="68"/>
        <v>0.67</v>
      </c>
      <c r="AP24" s="8">
        <f t="shared" si="68"/>
        <v>0.67</v>
      </c>
      <c r="AQ24" s="8">
        <f t="shared" si="68"/>
        <v>0.67</v>
      </c>
    </row>
    <row r="25" spans="2:106" x14ac:dyDescent="0.2">
      <c r="B25" s="2" t="s">
        <v>36</v>
      </c>
      <c r="C25" s="8">
        <f>C16/C15</f>
        <v>-1.7526777020447904E-2</v>
      </c>
      <c r="D25" s="8">
        <f t="shared" ref="D25:M25" si="69">D16/D15</f>
        <v>0.36567164179104511</v>
      </c>
      <c r="E25" s="8">
        <f t="shared" si="69"/>
        <v>0.11627252252252249</v>
      </c>
      <c r="F25" s="8">
        <f t="shared" si="69"/>
        <v>0.1633447880870561</v>
      </c>
      <c r="G25" s="8">
        <f t="shared" si="69"/>
        <v>5.0133689839572206E-2</v>
      </c>
      <c r="H25" s="8">
        <f t="shared" si="69"/>
        <v>1.7103762827822118E-2</v>
      </c>
      <c r="I25" s="8">
        <f t="shared" si="69"/>
        <v>0.17479939275645198</v>
      </c>
      <c r="J25" s="8">
        <f t="shared" si="69"/>
        <v>0.16204315279612513</v>
      </c>
      <c r="K25" s="8">
        <f t="shared" si="69"/>
        <v>9.1451292246520863E-2</v>
      </c>
      <c r="L25" s="8">
        <f t="shared" si="69"/>
        <v>0.24354878348488562</v>
      </c>
      <c r="M25" s="8">
        <f t="shared" si="69"/>
        <v>0.19389275074478646</v>
      </c>
      <c r="N25" s="8">
        <f t="shared" ref="N25:O25" si="70">N16/N15</f>
        <v>0.12262477831264257</v>
      </c>
      <c r="O25" s="8">
        <f t="shared" si="70"/>
        <v>0.14461830251303937</v>
      </c>
      <c r="P25" s="8">
        <f t="shared" ref="P25:R25" si="71">P16/P15</f>
        <v>0.14663461538461545</v>
      </c>
      <c r="Q25" s="8">
        <f t="shared" si="71"/>
        <v>0.19578544061302686</v>
      </c>
      <c r="R25" s="8">
        <f t="shared" si="71"/>
        <v>-0.18375654196549726</v>
      </c>
      <c r="S25" s="8">
        <f>S16/S15</f>
        <v>-1.6526163330486128E-2</v>
      </c>
      <c r="T25" s="8">
        <f>T16/T15</f>
        <v>0.18792971734148209</v>
      </c>
      <c r="U25" s="8">
        <f>U16/U15</f>
        <v>0.14962742175856933</v>
      </c>
      <c r="V25" s="8">
        <f>V16/V15</f>
        <v>0.15035923264943335</v>
      </c>
      <c r="W25" s="8"/>
      <c r="X25" s="8"/>
      <c r="Y25" s="8"/>
      <c r="Z25" s="8"/>
      <c r="AA25" s="8"/>
      <c r="AC25" s="8">
        <f t="shared" ref="AC25" si="72">AC16/AC15</f>
        <v>0.24969412724306683</v>
      </c>
      <c r="AD25" s="8">
        <f t="shared" ref="AD25:AE25" si="73">AD16/AD15</f>
        <v>0.39274076755973925</v>
      </c>
      <c r="AE25" s="8">
        <f t="shared" si="73"/>
        <v>0.118483782727628</v>
      </c>
      <c r="AF25" s="8">
        <f t="shared" ref="AF25:AG25" si="74">AF16/AF15</f>
        <v>8.1813340434030102E-2</v>
      </c>
      <c r="AG25" s="8">
        <f t="shared" si="74"/>
        <v>0.12129246064623032</v>
      </c>
      <c r="AH25" s="8">
        <f t="shared" ref="AH25" si="75">AH16/AH15</f>
        <v>9.8238374861133168E-2</v>
      </c>
      <c r="AI25" s="8">
        <f t="shared" ref="AI25" si="76">AI16/AI15</f>
        <v>0.1633059497137167</v>
      </c>
      <c r="AJ25" s="8">
        <f t="shared" ref="AJ25:AQ25" si="77">AJ16/AJ15</f>
        <v>7.2285466333146142E-2</v>
      </c>
      <c r="AK25" s="8">
        <f t="shared" si="77"/>
        <v>0.12576193859616316</v>
      </c>
      <c r="AL25" s="8">
        <f t="shared" si="77"/>
        <v>0.15</v>
      </c>
      <c r="AM25" s="8">
        <f t="shared" si="77"/>
        <v>0.15</v>
      </c>
      <c r="AN25" s="8">
        <f t="shared" si="77"/>
        <v>0.15</v>
      </c>
      <c r="AO25" s="8">
        <f t="shared" si="77"/>
        <v>0.15</v>
      </c>
      <c r="AP25" s="8">
        <f t="shared" si="77"/>
        <v>0.15</v>
      </c>
      <c r="AQ25" s="8">
        <f t="shared" si="77"/>
        <v>0.15</v>
      </c>
    </row>
    <row r="26" spans="2:106" s="13" customFormat="1" x14ac:dyDescent="0.2">
      <c r="B26" s="13" t="s">
        <v>62</v>
      </c>
      <c r="C26" s="14"/>
      <c r="D26" s="14"/>
      <c r="E26" s="14"/>
      <c r="F26" s="14"/>
      <c r="G26" s="14">
        <f t="shared" ref="G26:U26" si="78">+G17/C17-1</f>
        <v>0.35980861244019113</v>
      </c>
      <c r="H26" s="14">
        <f t="shared" si="78"/>
        <v>6.6058823529411885</v>
      </c>
      <c r="I26" s="14">
        <f t="shared" si="78"/>
        <v>0.21216948072634567</v>
      </c>
      <c r="J26" s="14">
        <f t="shared" si="78"/>
        <v>4.2168674698794151E-2</v>
      </c>
      <c r="K26" s="14">
        <f t="shared" si="78"/>
        <v>-0.14238798967862987</v>
      </c>
      <c r="L26" s="14">
        <f t="shared" si="78"/>
        <v>-0.40487238979118301</v>
      </c>
      <c r="M26" s="14">
        <f t="shared" si="78"/>
        <v>-0.14664914586070943</v>
      </c>
      <c r="N26" s="14">
        <f t="shared" si="78"/>
        <v>-9.0120861797162499E-2</v>
      </c>
      <c r="O26" s="14">
        <f t="shared" si="78"/>
        <v>-1.3129102844638973E-2</v>
      </c>
      <c r="P26" s="14">
        <f t="shared" si="78"/>
        <v>0.38401559454190903</v>
      </c>
      <c r="Q26" s="14">
        <f t="shared" si="78"/>
        <v>0.29288574068370754</v>
      </c>
      <c r="R26" s="14">
        <f t="shared" si="78"/>
        <v>0.76349985561651801</v>
      </c>
      <c r="S26" s="14">
        <f t="shared" si="78"/>
        <v>0.51729490022172953</v>
      </c>
      <c r="T26" s="14">
        <f t="shared" si="78"/>
        <v>0.24765258215962471</v>
      </c>
      <c r="U26" s="14">
        <f t="shared" si="78"/>
        <v>0.35921867555979059</v>
      </c>
      <c r="V26" s="14">
        <f>+V17/R17-1</f>
        <v>0.12700180121172489</v>
      </c>
      <c r="W26" s="14"/>
      <c r="X26" s="14"/>
      <c r="Y26" s="14"/>
      <c r="Z26" s="14"/>
      <c r="AA26" s="14"/>
      <c r="AD26" s="13">
        <f>+AD17/AC17-1</f>
        <v>-8.8327218372061367E-2</v>
      </c>
      <c r="AE26" s="13">
        <f>+AE17/AD17-1</f>
        <v>0.68117454166045532</v>
      </c>
      <c r="AF26" s="13">
        <f>+AF17/AE17-1</f>
        <v>0.22289210036350737</v>
      </c>
      <c r="AG26" s="13">
        <f>+AG17/AF17-1</f>
        <v>-0.23105923294424702</v>
      </c>
      <c r="AH26" s="13">
        <f>+AH17/AG17-1</f>
        <v>0.60720346973411243</v>
      </c>
      <c r="AI26" s="13">
        <f>+AI17/AH17-1</f>
        <v>-0.21131057139504839</v>
      </c>
      <c r="AJ26" s="13">
        <f>+AJ17/AI17-1</f>
        <v>0.35175542993156794</v>
      </c>
      <c r="AK26" s="13">
        <f>+AK17/AJ17-1</f>
        <v>0.2864139107467123</v>
      </c>
      <c r="AS26" s="13" t="s">
        <v>39</v>
      </c>
      <c r="AT26" s="13">
        <v>-0.01</v>
      </c>
    </row>
    <row r="27" spans="2:106" x14ac:dyDescent="0.2">
      <c r="V27" s="14"/>
      <c r="AT27" s="10"/>
    </row>
    <row r="28" spans="2:106" s="2" customFormat="1" x14ac:dyDescent="0.2">
      <c r="B28" s="2" t="s">
        <v>3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J28" s="2">
        <f>+AI28+AJ17</f>
        <v>1817.3000000000002</v>
      </c>
      <c r="AK28" s="2">
        <f>+AJ28+AK17</f>
        <v>4155.1000000000004</v>
      </c>
      <c r="AL28" s="2">
        <f>+AK28+AL17</f>
        <v>7107.4517329999999</v>
      </c>
      <c r="AM28" s="2">
        <f>+AL28+AM17</f>
        <v>10840.303701910998</v>
      </c>
      <c r="AN28" s="2">
        <f>+AM28+AN17</f>
        <v>15455.258692100982</v>
      </c>
      <c r="AO28" s="2">
        <f>+AN28+AO17</f>
        <v>21090.438910104524</v>
      </c>
      <c r="AP28" s="2">
        <f>+AO28+AP17</f>
        <v>27904.713746999947</v>
      </c>
      <c r="AQ28" s="2">
        <f>+AP28+AQ17</f>
        <v>36080.809453219408</v>
      </c>
      <c r="AS28" s="2" t="s">
        <v>37</v>
      </c>
      <c r="AT28" s="10">
        <v>7.0000000000000007E-2</v>
      </c>
    </row>
    <row r="29" spans="2:106" x14ac:dyDescent="0.2">
      <c r="AS29" t="s">
        <v>38</v>
      </c>
      <c r="AT29" s="10">
        <v>0.02</v>
      </c>
    </row>
    <row r="30" spans="2:106" s="2" customFormat="1" x14ac:dyDescent="0.2">
      <c r="B30" s="2" t="s">
        <v>41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G30" s="2">
        <v>1484.8</v>
      </c>
      <c r="AH30" s="2">
        <v>2089.4</v>
      </c>
      <c r="AI30" s="2">
        <v>1490.8</v>
      </c>
      <c r="AJ30" s="2">
        <v>1813.8</v>
      </c>
      <c r="AK30" s="2">
        <v>2415</v>
      </c>
      <c r="AS30" s="2" t="s">
        <v>40</v>
      </c>
      <c r="AT30" s="2">
        <f>NPV(AT28,AK17:DC17)+Main!K5</f>
        <v>95921.379453831309</v>
      </c>
    </row>
    <row r="31" spans="2:106" s="2" customFormat="1" x14ac:dyDescent="0.2">
      <c r="B31" s="2" t="s">
        <v>42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G31" s="2">
        <v>-940.6</v>
      </c>
      <c r="AH31" s="2">
        <v>-2461.5</v>
      </c>
      <c r="AI31" s="2">
        <v>1370.8</v>
      </c>
      <c r="AJ31" s="2">
        <v>-360.1</v>
      </c>
      <c r="AK31" s="2">
        <v>-3272.8</v>
      </c>
    </row>
    <row r="32" spans="2:106" s="2" customFormat="1" x14ac:dyDescent="0.2">
      <c r="B32" s="2" t="s">
        <v>43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G32" s="2">
        <v>-341.5</v>
      </c>
      <c r="AH32" s="2">
        <v>-339.5</v>
      </c>
      <c r="AI32" s="2">
        <v>-532.4</v>
      </c>
      <c r="AJ32" s="2">
        <v>-1064.2</v>
      </c>
      <c r="AK32" s="2">
        <v>-1111.2</v>
      </c>
    </row>
    <row r="33" spans="2:37" s="5" customFormat="1" x14ac:dyDescent="0.2">
      <c r="B33" s="5" t="s">
        <v>44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G33" s="5">
        <f>+AG30+AG32</f>
        <v>1143.3</v>
      </c>
      <c r="AH33" s="5">
        <f>+AH30+AH32</f>
        <v>1749.9</v>
      </c>
      <c r="AI33" s="5">
        <f>+AI30+AI32</f>
        <v>958.4</v>
      </c>
      <c r="AJ33" s="5">
        <f>+AJ30+AJ32</f>
        <v>749.59999999999991</v>
      </c>
      <c r="AK33" s="5">
        <f>+AK30+AK32</f>
        <v>1303.8</v>
      </c>
    </row>
    <row r="34" spans="2:37" s="2" customFormat="1" x14ac:dyDescent="0.2">
      <c r="B34" s="2" t="s">
        <v>45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G34" s="2">
        <v>-85.7</v>
      </c>
      <c r="AH34" s="2">
        <v>43</v>
      </c>
      <c r="AI34" s="2">
        <v>-2572.3000000000002</v>
      </c>
      <c r="AJ34" s="2">
        <v>-287.60000000000002</v>
      </c>
      <c r="AK34" s="2">
        <v>150.9</v>
      </c>
    </row>
    <row r="35" spans="2:37" s="2" customFormat="1" x14ac:dyDescent="0.2">
      <c r="B35" s="2" t="s">
        <v>46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G35" s="2">
        <v>-2.6</v>
      </c>
      <c r="AH35" s="2">
        <v>-3.4</v>
      </c>
      <c r="AI35" s="2">
        <v>5.4</v>
      </c>
      <c r="AJ35" s="2">
        <v>3.3</v>
      </c>
      <c r="AK35" s="2">
        <v>-0.8</v>
      </c>
    </row>
    <row r="36" spans="2:37" s="2" customFormat="1" x14ac:dyDescent="0.2">
      <c r="B36" s="2" t="s">
        <v>47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G36" s="2">
        <f>+AG30+AG31+AG34+AG35</f>
        <v>455.89999999999992</v>
      </c>
      <c r="AH36" s="2">
        <f>+AH30+AH31+AH34+AH35</f>
        <v>-332.49999999999989</v>
      </c>
      <c r="AI36" s="2">
        <f>+AI30+AI31+AI34+AI35</f>
        <v>294.6999999999997</v>
      </c>
      <c r="AJ36" s="2">
        <f>+AJ30+AJ31+AJ34+AJ35</f>
        <v>1169.3999999999999</v>
      </c>
      <c r="AK36" s="2">
        <f>+AK30+AK31+AK34+AK35</f>
        <v>-707.70000000000016</v>
      </c>
    </row>
  </sheetData>
  <hyperlinks>
    <hyperlink ref="A1" location="Main!A1" display="Main" xr:uid="{B2D8A783-362C-4B88-B9E5-047C72375CA3}"/>
  </hyperlinks>
  <pageMargins left="0.7" right="0.7" top="0.75" bottom="0.75" header="0.3" footer="0.3"/>
  <ignoredErrors>
    <ignoredError sqref="N19" formulaRange="1"/>
    <ignoredError sqref="N15 N9 N7 R15 R9 R7 V15 V9 V7 AM6:AQ6 AL5:AL6 W6:Z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Geli Braholli</cp:lastModifiedBy>
  <dcterms:created xsi:type="dcterms:W3CDTF">2022-07-22T04:24:37Z</dcterms:created>
  <dcterms:modified xsi:type="dcterms:W3CDTF">2025-02-14T01:32:09Z</dcterms:modified>
</cp:coreProperties>
</file>