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dels\"/>
    </mc:Choice>
  </mc:AlternateContent>
  <xr:revisionPtr revIDLastSave="0" documentId="13_ncr:1_{80D8EF24-CBC9-4D52-87A2-D84B00753C35}" xr6:coauthVersionLast="47" xr6:coauthVersionMax="47" xr10:uidLastSave="{00000000-0000-0000-0000-000000000000}"/>
  <bookViews>
    <workbookView xWindow="-120" yWindow="-120" windowWidth="29040" windowHeight="15840" activeTab="1" xr2:uid="{1AB585C5-9022-4802-B4B6-3A30DA42CD93}"/>
  </bookViews>
  <sheets>
    <sheet name="main" sheetId="1" r:id="rId1"/>
    <sheet name="model" sheetId="2" r:id="rId2"/>
  </sheets>
  <definedNames>
    <definedName name="_xlnm._FilterDatabase" localSheetId="0" hidden="1">main!$L$17:$P$68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E28" i="2"/>
  <c r="E27" i="2"/>
  <c r="E26" i="2"/>
  <c r="J9" i="2"/>
  <c r="J22" i="2" s="1"/>
  <c r="G22" i="2"/>
  <c r="H22" i="2"/>
  <c r="I22" i="2"/>
  <c r="C31" i="2"/>
  <c r="D31" i="2"/>
  <c r="E31" i="2"/>
  <c r="F31" i="2"/>
  <c r="G31" i="2"/>
  <c r="H31" i="2"/>
  <c r="I31" i="2"/>
  <c r="P8" i="2" l="1"/>
  <c r="J8" i="1" l="1"/>
  <c r="J5" i="1"/>
  <c r="O7" i="2"/>
  <c r="P7" i="2"/>
  <c r="S5" i="2"/>
  <c r="T5" i="2" s="1"/>
  <c r="U5" i="2" s="1"/>
  <c r="V5" i="2" s="1"/>
  <c r="W5" i="2" s="1"/>
  <c r="X5" i="2" s="1"/>
  <c r="Y5" i="2" s="1"/>
  <c r="Z5" i="2" s="1"/>
  <c r="AA5" i="2" s="1"/>
  <c r="AB5" i="2" s="1"/>
  <c r="R6" i="2"/>
  <c r="S6" i="2" s="1"/>
  <c r="T6" i="2" s="1"/>
  <c r="U6" i="2" s="1"/>
  <c r="V6" i="2" s="1"/>
  <c r="W6" i="2" s="1"/>
  <c r="X6" i="2" s="1"/>
  <c r="Y6" i="2" s="1"/>
  <c r="Z6" i="2" s="1"/>
  <c r="AA6" i="2" s="1"/>
  <c r="AB6" i="2" s="1"/>
  <c r="D27" i="1"/>
  <c r="E27" i="1"/>
  <c r="O44" i="2"/>
  <c r="P44" i="2"/>
  <c r="N44" i="2"/>
  <c r="P40" i="2"/>
  <c r="O40" i="2"/>
  <c r="N40" i="2"/>
  <c r="C65" i="1"/>
  <c r="C58" i="1"/>
  <c r="I30" i="2"/>
  <c r="O30" i="2"/>
  <c r="P30" i="2"/>
  <c r="G30" i="2"/>
  <c r="H30" i="2"/>
  <c r="F18" i="2"/>
  <c r="J18" i="2" s="1"/>
  <c r="Q18" i="2" s="1"/>
  <c r="F16" i="2"/>
  <c r="J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F13" i="2"/>
  <c r="J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F12" i="2"/>
  <c r="J12" i="2" s="1"/>
  <c r="Q12" i="2" s="1"/>
  <c r="R12" i="2" s="1"/>
  <c r="F10" i="2"/>
  <c r="J10" i="2" s="1"/>
  <c r="Q10" i="2" s="1"/>
  <c r="F9" i="2"/>
  <c r="N14" i="2"/>
  <c r="N11" i="2"/>
  <c r="N31" i="2" s="1"/>
  <c r="O14" i="2"/>
  <c r="O11" i="2"/>
  <c r="O31" i="2" s="1"/>
  <c r="P21" i="2"/>
  <c r="P14" i="2"/>
  <c r="P11" i="2"/>
  <c r="P31" i="2" s="1"/>
  <c r="J39" i="1"/>
  <c r="D37" i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18" i="1"/>
  <c r="P18" i="1" s="1"/>
  <c r="C27" i="1"/>
  <c r="D22" i="1"/>
  <c r="E22" i="1"/>
  <c r="C22" i="1"/>
  <c r="C14" i="2"/>
  <c r="C11" i="2"/>
  <c r="G14" i="2"/>
  <c r="G11" i="2"/>
  <c r="D14" i="2"/>
  <c r="D11" i="2"/>
  <c r="H14" i="2"/>
  <c r="H11" i="2"/>
  <c r="E14" i="2"/>
  <c r="E11" i="2"/>
  <c r="I14" i="2"/>
  <c r="I11" i="2"/>
  <c r="I63" i="2"/>
  <c r="I66" i="2" s="1"/>
  <c r="I68" i="2" s="1"/>
  <c r="I50" i="2"/>
  <c r="I57" i="2" s="1"/>
  <c r="R14" i="2" l="1"/>
  <c r="S12" i="2"/>
  <c r="I15" i="2"/>
  <c r="I17" i="2" s="1"/>
  <c r="I19" i="2" s="1"/>
  <c r="I20" i="2" s="1"/>
  <c r="F11" i="2"/>
  <c r="Q14" i="2"/>
  <c r="D15" i="2"/>
  <c r="D17" i="2" s="1"/>
  <c r="D19" i="2" s="1"/>
  <c r="D20" i="2" s="1"/>
  <c r="J14" i="2"/>
  <c r="J30" i="2"/>
  <c r="F14" i="2"/>
  <c r="P15" i="2"/>
  <c r="P17" i="2" s="1"/>
  <c r="N15" i="2"/>
  <c r="N17" i="2" s="1"/>
  <c r="O15" i="2"/>
  <c r="O17" i="2" s="1"/>
  <c r="P68" i="1"/>
  <c r="C15" i="2"/>
  <c r="C17" i="2" s="1"/>
  <c r="C19" i="2" s="1"/>
  <c r="C20" i="2" s="1"/>
  <c r="G15" i="2"/>
  <c r="G17" i="2" s="1"/>
  <c r="G19" i="2" s="1"/>
  <c r="G20" i="2" s="1"/>
  <c r="H15" i="2"/>
  <c r="H17" i="2" s="1"/>
  <c r="H19" i="2" s="1"/>
  <c r="H20" i="2" s="1"/>
  <c r="E15" i="2"/>
  <c r="E17" i="2" s="1"/>
  <c r="E19" i="2" s="1"/>
  <c r="E20" i="2" s="1"/>
  <c r="T12" i="2" l="1"/>
  <c r="S14" i="2"/>
  <c r="F15" i="2"/>
  <c r="F17" i="2" s="1"/>
  <c r="F19" i="2" s="1"/>
  <c r="F20" i="2" s="1"/>
  <c r="P19" i="2"/>
  <c r="P32" i="2"/>
  <c r="O19" i="2"/>
  <c r="O33" i="2" s="1"/>
  <c r="O32" i="2"/>
  <c r="N19" i="2"/>
  <c r="N33" i="2" s="1"/>
  <c r="N32" i="2"/>
  <c r="J11" i="2"/>
  <c r="Q9" i="2"/>
  <c r="J15" i="2" l="1"/>
  <c r="J17" i="2" s="1"/>
  <c r="J19" i="2" s="1"/>
  <c r="J20" i="2" s="1"/>
  <c r="J31" i="2"/>
  <c r="U12" i="2"/>
  <c r="T14" i="2"/>
  <c r="Q7" i="2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Q36" i="2"/>
  <c r="P20" i="2"/>
  <c r="P33" i="2"/>
  <c r="Q30" i="2"/>
  <c r="Q11" i="2"/>
  <c r="Q8" i="2" l="1"/>
  <c r="V12" i="2"/>
  <c r="U14" i="2"/>
  <c r="Q15" i="2"/>
  <c r="Q17" i="2" s="1"/>
  <c r="Q31" i="2"/>
  <c r="R8" i="2" l="1"/>
  <c r="W12" i="2"/>
  <c r="V14" i="2"/>
  <c r="Q19" i="2"/>
  <c r="Q33" i="2" s="1"/>
  <c r="Q32" i="2"/>
  <c r="S8" i="2" l="1"/>
  <c r="X12" i="2"/>
  <c r="W14" i="2"/>
  <c r="T8" i="2" l="1"/>
  <c r="Y12" i="2"/>
  <c r="X14" i="2"/>
  <c r="U8" i="2" l="1"/>
  <c r="Z12" i="2"/>
  <c r="Y14" i="2"/>
  <c r="V8" i="2" l="1"/>
  <c r="AA12" i="2"/>
  <c r="Z14" i="2"/>
  <c r="W8" i="2" l="1"/>
  <c r="AB12" i="2"/>
  <c r="AB14" i="2" s="1"/>
  <c r="AA14" i="2"/>
  <c r="S9" i="2"/>
  <c r="R9" i="2"/>
  <c r="X8" i="2" l="1"/>
  <c r="S10" i="2"/>
  <c r="S11" i="2" s="1"/>
  <c r="R10" i="2"/>
  <c r="R11" i="2" s="1"/>
  <c r="Y8" i="2" l="1"/>
  <c r="R15" i="2"/>
  <c r="R17" i="2" s="1"/>
  <c r="S15" i="2"/>
  <c r="S17" i="2" s="1"/>
  <c r="T9" i="2"/>
  <c r="Z8" i="2" l="1"/>
  <c r="T10" i="2"/>
  <c r="T11" i="2" s="1"/>
  <c r="U9" i="2"/>
  <c r="S18" i="2"/>
  <c r="R18" i="2"/>
  <c r="AB8" i="2" l="1"/>
  <c r="AA8" i="2"/>
  <c r="R19" i="2"/>
  <c r="U10" i="2"/>
  <c r="U11" i="2" s="1"/>
  <c r="T15" i="2"/>
  <c r="T17" i="2" s="1"/>
  <c r="V9" i="2"/>
  <c r="S19" i="2"/>
  <c r="V10" i="2" l="1"/>
  <c r="V11" i="2" s="1"/>
  <c r="W9" i="2"/>
  <c r="U15" i="2"/>
  <c r="U17" i="2" s="1"/>
  <c r="T18" i="2"/>
  <c r="T19" i="2" l="1"/>
  <c r="V15" i="2"/>
  <c r="V17" i="2" s="1"/>
  <c r="W10" i="2"/>
  <c r="W11" i="2"/>
  <c r="U18" i="2"/>
  <c r="X9" i="2"/>
  <c r="U19" i="2" l="1"/>
  <c r="Y9" i="2"/>
  <c r="W15" i="2"/>
  <c r="W17" i="2" s="1"/>
  <c r="X10" i="2"/>
  <c r="X11" i="2" s="1"/>
  <c r="V18" i="2"/>
  <c r="V19" i="2" l="1"/>
  <c r="X15" i="2"/>
  <c r="X17" i="2" s="1"/>
  <c r="W18" i="2"/>
  <c r="Y10" i="2"/>
  <c r="Y11" i="2" s="1"/>
  <c r="Z9" i="2"/>
  <c r="Y15" i="2" l="1"/>
  <c r="Y17" i="2" s="1"/>
  <c r="Z10" i="2"/>
  <c r="Z11" i="2" s="1"/>
  <c r="W19" i="2"/>
  <c r="AA9" i="2"/>
  <c r="AB9" i="2"/>
  <c r="X18" i="2"/>
  <c r="Z15" i="2" l="1"/>
  <c r="Z17" i="2" s="1"/>
  <c r="AB10" i="2"/>
  <c r="AB11" i="2" s="1"/>
  <c r="AA10" i="2"/>
  <c r="AA11" i="2" s="1"/>
  <c r="X19" i="2"/>
  <c r="Y18" i="2"/>
  <c r="AA15" i="2" l="1"/>
  <c r="AA17" i="2" s="1"/>
  <c r="AB15" i="2"/>
  <c r="AB17" i="2" s="1"/>
  <c r="Y19" i="2"/>
  <c r="Z18" i="2"/>
  <c r="Z19" i="2" l="1"/>
  <c r="AB18" i="2"/>
  <c r="AA18" i="2"/>
  <c r="AB19" i="2" l="1"/>
  <c r="AA19" i="2"/>
  <c r="AC19" i="2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T24" i="2" s="1"/>
  <c r="T25" i="2" s="1"/>
  <c r="T27" i="2" s="1"/>
</calcChain>
</file>

<file path=xl/sharedStrings.xml><?xml version="1.0" encoding="utf-8"?>
<sst xmlns="http://schemas.openxmlformats.org/spreadsheetml/2006/main" count="203" uniqueCount="190">
  <si>
    <t>Price</t>
  </si>
  <si>
    <t>Shares</t>
  </si>
  <si>
    <t>MC</t>
  </si>
  <si>
    <t>Cash</t>
  </si>
  <si>
    <t xml:space="preserve">Debt </t>
  </si>
  <si>
    <t xml:space="preserve">EV </t>
  </si>
  <si>
    <t xml:space="preserve">Cash </t>
  </si>
  <si>
    <t xml:space="preserve">AR </t>
  </si>
  <si>
    <t>Inventories '</t>
  </si>
  <si>
    <t xml:space="preserve">Prepaids </t>
  </si>
  <si>
    <t xml:space="preserve">PPE </t>
  </si>
  <si>
    <t xml:space="preserve">Lease </t>
  </si>
  <si>
    <t xml:space="preserve">Goodwill </t>
  </si>
  <si>
    <t>Intangibles</t>
  </si>
  <si>
    <t xml:space="preserve">Compensation </t>
  </si>
  <si>
    <t xml:space="preserve">OLTA </t>
  </si>
  <si>
    <t xml:space="preserve">ASSETS </t>
  </si>
  <si>
    <t xml:space="preserve">AP </t>
  </si>
  <si>
    <t xml:space="preserve">Accrued </t>
  </si>
  <si>
    <t xml:space="preserve">Deferred </t>
  </si>
  <si>
    <t>Taxes</t>
  </si>
  <si>
    <t xml:space="preserve">OLTL </t>
  </si>
  <si>
    <t xml:space="preserve">Liabilities </t>
  </si>
  <si>
    <t>SE</t>
  </si>
  <si>
    <t xml:space="preserve">L + SE </t>
  </si>
  <si>
    <t xml:space="preserve">Revenue </t>
  </si>
  <si>
    <t xml:space="preserve">COGS </t>
  </si>
  <si>
    <t xml:space="preserve">Gross </t>
  </si>
  <si>
    <t xml:space="preserve">SGA </t>
  </si>
  <si>
    <t xml:space="preserve">Operating expenses </t>
  </si>
  <si>
    <t xml:space="preserve">Operating income </t>
  </si>
  <si>
    <t xml:space="preserve">Interest </t>
  </si>
  <si>
    <t xml:space="preserve">Pretax </t>
  </si>
  <si>
    <t xml:space="preserve">Tax </t>
  </si>
  <si>
    <t xml:space="preserve">Net income </t>
  </si>
  <si>
    <t>Other</t>
  </si>
  <si>
    <t>Q324</t>
  </si>
  <si>
    <t>Q224</t>
  </si>
  <si>
    <t>Q124</t>
  </si>
  <si>
    <t>Q423</t>
  </si>
  <si>
    <t>Q323</t>
  </si>
  <si>
    <t>Q223</t>
  </si>
  <si>
    <t>Q123</t>
  </si>
  <si>
    <t xml:space="preserve">EPS </t>
  </si>
  <si>
    <t xml:space="preserve">Shares </t>
  </si>
  <si>
    <t xml:space="preserve">Founded </t>
  </si>
  <si>
    <t xml:space="preserve">CEO </t>
  </si>
  <si>
    <t xml:space="preserve">Sector </t>
  </si>
  <si>
    <t xml:space="preserve">Cosmetics </t>
  </si>
  <si>
    <t xml:space="preserve">25,000 products </t>
  </si>
  <si>
    <t xml:space="preserve">600 brands </t>
  </si>
  <si>
    <t xml:space="preserve">1500 stores </t>
  </si>
  <si>
    <t xml:space="preserve">43.3 million active loyalty reward members </t>
  </si>
  <si>
    <t>USA beauty and saloon industry estimated $181 billion.</t>
  </si>
  <si>
    <t xml:space="preserve">Beauty industry = $112 billion --&gt; Ulta pretend they have 10% market share </t>
  </si>
  <si>
    <t xml:space="preserve">Saloon industry = $69 billion --&gt; Ulta pretend they have 1% market share </t>
  </si>
  <si>
    <t xml:space="preserve">Typical Ulta shop is 10,000 square feet , 950 feet dedicated to full-service salon </t>
  </si>
  <si>
    <t xml:space="preserve">Stores </t>
  </si>
  <si>
    <t xml:space="preserve">Stores opened </t>
  </si>
  <si>
    <t xml:space="preserve">Stores closed </t>
  </si>
  <si>
    <t xml:space="preserve">Total Stores </t>
  </si>
  <si>
    <t xml:space="preserve">Total sqft </t>
  </si>
  <si>
    <t>Avg sqft x store</t>
  </si>
  <si>
    <t xml:space="preserve">Stores remodeled </t>
  </si>
  <si>
    <t xml:space="preserve">Stores relocated </t>
  </si>
  <si>
    <t>Stores beginning</t>
  </si>
  <si>
    <t>(in millions)</t>
  </si>
  <si>
    <t>Avg investment required to open a ULTA beauty store is 2.0 mill</t>
  </si>
  <si>
    <t xml:space="preserve">18% shopping both , physicall and online </t>
  </si>
  <si>
    <t xml:space="preserve">Percentage of sales </t>
  </si>
  <si>
    <t xml:space="preserve">Skincare </t>
  </si>
  <si>
    <t xml:space="preserve">Haircare </t>
  </si>
  <si>
    <t xml:space="preserve">Fragrance </t>
  </si>
  <si>
    <t>Services</t>
  </si>
  <si>
    <t xml:space="preserve">Accessories </t>
  </si>
  <si>
    <t>ULTA INC ("ULTA")</t>
  </si>
  <si>
    <t xml:space="preserve">L'Oreal + Estee lauder counter for 56% of revenue </t>
  </si>
  <si>
    <t>Promising to reach 1700 stores in the foreseable future , and 50% of packaging recycable till 2025</t>
  </si>
  <si>
    <t xml:space="preserve">Headcount </t>
  </si>
  <si>
    <t>Significant portion of profits is made in Q4</t>
  </si>
  <si>
    <t xml:space="preserve">Mother's Day </t>
  </si>
  <si>
    <t xml:space="preserve">Valentine's Day </t>
  </si>
  <si>
    <t>Location</t>
  </si>
  <si>
    <t>Population (2025)</t>
  </si>
  <si>
    <t>Stores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</si>
  <si>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</si>
  <si>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</si>
  <si>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</si>
  <si>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</si>
  <si>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</si>
  <si>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</si>
  <si>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</si>
  <si>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</si>
  <si>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</si>
  <si>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</si>
  <si>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</si>
  <si>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</si>
  <si>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</si>
  <si>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</si>
  <si>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</si>
  <si>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</si>
  <si>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</si>
  <si>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</si>
  <si>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</si>
  <si>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</si>
  <si>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</si>
  <si>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</si>
  <si>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</si>
  <si>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</si>
  <si>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</si>
  <si>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</si>
  <si>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</si>
  <si>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</si>
  <si>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</si>
  <si>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</si>
  <si>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</si>
  <si>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</si>
  <si>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</si>
  <si>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</si>
  <si>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</si>
  <si>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</si>
  <si>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</si>
  <si>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</si>
  <si>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</si>
  <si>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</si>
  <si>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</si>
  <si>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</si>
  <si>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</si>
  <si>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</si>
  <si>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</si>
  <si>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</si>
  <si>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</si>
  <si>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</si>
  <si>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</si>
  <si>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</si>
  <si>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Store / person</t>
  </si>
  <si>
    <t xml:space="preserve">average </t>
  </si>
  <si>
    <t>%</t>
  </si>
  <si>
    <t>Distribution Centers</t>
  </si>
  <si>
    <t xml:space="preserve">Locations </t>
  </si>
  <si>
    <t xml:space="preserve">Type </t>
  </si>
  <si>
    <t xml:space="preserve">SQFT </t>
  </si>
  <si>
    <t xml:space="preserve">Lease expiration </t>
  </si>
  <si>
    <t xml:space="preserve">Bolingbrook , Illinois </t>
  </si>
  <si>
    <t xml:space="preserve">Pennsylvania </t>
  </si>
  <si>
    <t xml:space="preserve">Dallas , Texas </t>
  </si>
  <si>
    <t xml:space="preserve">California </t>
  </si>
  <si>
    <t xml:space="preserve">Indiana </t>
  </si>
  <si>
    <t xml:space="preserve">South Carolina </t>
  </si>
  <si>
    <t xml:space="preserve">Jacksonville Florida </t>
  </si>
  <si>
    <t xml:space="preserve">Romeoville , Illinois </t>
  </si>
  <si>
    <t xml:space="preserve">MFC </t>
  </si>
  <si>
    <t xml:space="preserve">DC </t>
  </si>
  <si>
    <t xml:space="preserve">FFC </t>
  </si>
  <si>
    <t>06/31/2033</t>
  </si>
  <si>
    <t xml:space="preserve">David C. Kimbell </t>
  </si>
  <si>
    <t>named 2021</t>
  </si>
  <si>
    <t xml:space="preserve">Procter &amp; Gamble ties </t>
  </si>
  <si>
    <t xml:space="preserve">From october 2023 to Feb 24 bought </t>
  </si>
  <si>
    <t>worth of shares avg price 457</t>
  </si>
  <si>
    <t xml:space="preserve">Oct 2022 announced $2 billion buyback , budget left to buybacks $99 mill </t>
  </si>
  <si>
    <r>
      <t xml:space="preserve">Number of securities remaining available for future issuance for future issuance compensation plans  ==  </t>
    </r>
    <r>
      <rPr>
        <b/>
        <sz val="12"/>
        <color theme="1"/>
        <rFont val="Arial"/>
        <family val="2"/>
      </rPr>
      <t>2,280,721</t>
    </r>
    <r>
      <rPr>
        <sz val="12"/>
        <color theme="1"/>
        <rFont val="Arial"/>
        <family val="2"/>
      </rPr>
      <t xml:space="preserve">
</t>
    </r>
  </si>
  <si>
    <t xml:space="preserve">x avg price </t>
  </si>
  <si>
    <t xml:space="preserve">Revenue y/y </t>
  </si>
  <si>
    <t>Q424</t>
  </si>
  <si>
    <t xml:space="preserve">Lease obligations </t>
  </si>
  <si>
    <t xml:space="preserve">Less than 1 year </t>
  </si>
  <si>
    <t xml:space="preserve">1 - 3 Years </t>
  </si>
  <si>
    <t xml:space="preserve">3 - 5 Years </t>
  </si>
  <si>
    <t xml:space="preserve">More than 5 years </t>
  </si>
  <si>
    <t xml:space="preserve">Purchase obligations </t>
  </si>
  <si>
    <t>Gross margin</t>
  </si>
  <si>
    <t xml:space="preserve">Tax rate </t>
  </si>
  <si>
    <t xml:space="preserve">NI </t>
  </si>
  <si>
    <t xml:space="preserve">CFFO </t>
  </si>
  <si>
    <t xml:space="preserve">CapEX </t>
  </si>
  <si>
    <t xml:space="preserve">FCF </t>
  </si>
  <si>
    <t xml:space="preserve">CFFI </t>
  </si>
  <si>
    <t xml:space="preserve">CFFF </t>
  </si>
  <si>
    <t xml:space="preserve">Net change </t>
  </si>
  <si>
    <t xml:space="preserve">Advertising exp </t>
  </si>
  <si>
    <t xml:space="preserve">Advertising % </t>
  </si>
  <si>
    <t xml:space="preserve">Rev / store </t>
  </si>
  <si>
    <t>terminal</t>
  </si>
  <si>
    <t>discount</t>
  </si>
  <si>
    <t>npv</t>
  </si>
  <si>
    <t>share</t>
  </si>
  <si>
    <t xml:space="preserve">current </t>
  </si>
  <si>
    <t xml:space="preserve">change </t>
  </si>
  <si>
    <t xml:space="preserve">Store rev y/y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</si>
</sst>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9" fontId="0" fillId="0" borderId="0" xfId="1" applyFont="1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0" fontId="0" fillId="0" borderId="5" xfId="0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9" fontId="2" fillId="0" borderId="0" xfId="0" applyNumberFormat="1" applyFont="1"/>
    <xf numFmtId="0" fontId="0" fillId="0" borderId="10" xfId="0" applyBorder="1"/>
    <xf numFmtId="0" fontId="0" fillId="0" borderId="10" xfId="0" applyBorder="1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/>
    </xf>
    <xf numFmtId="0" fontId="0" fillId="2" borderId="0" xfId="0" applyFill="1"/>
    <xf numFmtId="3" fontId="0" fillId="0" borderId="0" xfId="1" applyNumberFormat="1" applyFont="1"/>
    <xf numFmtId="10" fontId="0" fillId="0" borderId="0" xfId="1" applyNumberFormat="1" applyFont="1"/>
    <xf numFmtId="10" fontId="3" fillId="0" borderId="0" xfId="1" applyNumberFormat="1" applyFont="1"/>
    <xf numFmtId="0" fontId="0" fillId="0" borderId="7" xfId="0" applyBorder="1" applyAlignment="1">
      <alignment horizontal="center"/>
    </xf>
    <xf numFmtId="3" fontId="2" fillId="3" borderId="0" xfId="0" applyNumberFormat="1" applyFont="1" applyFill="1"/>
    <xf numFmtId="3" fontId="2" fillId="3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9" fontId="0" fillId="0" borderId="0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9525</xdr:rowOff>
    </xdr:from>
    <xdr:to>
      <xdr:col>9</xdr:col>
      <xdr:colOff>19050</xdr:colOff>
      <xdr:row>63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256D91E-FFAE-D1E2-C67E-0168ACF8FEE3}"/>
            </a:ext>
          </a:extLst>
        </xdr:cNvPr>
        <xdr:cNvCxnSpPr/>
      </xdr:nvCxnSpPr>
      <xdr:spPr>
        <a:xfrm>
          <a:off x="7534275" y="200025"/>
          <a:ext cx="9525" cy="7896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0</xdr:row>
      <xdr:rowOff>0</xdr:rowOff>
    </xdr:from>
    <xdr:to>
      <xdr:col>17</xdr:col>
      <xdr:colOff>38100</xdr:colOff>
      <xdr:row>62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7D64E0E-EF1D-4150-A734-D120598B742D}"/>
            </a:ext>
          </a:extLst>
        </xdr:cNvPr>
        <xdr:cNvCxnSpPr/>
      </xdr:nvCxnSpPr>
      <xdr:spPr>
        <a:xfrm>
          <a:off x="12125325" y="0"/>
          <a:ext cx="9525" cy="7896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9684-1443-406F-B631-01E2FF97F71A}">
  <dimension ref="A2:Q68"/>
  <sheetViews>
    <sheetView workbookViewId="0">
      <selection activeCell="E26" sqref="E26"/>
    </sheetView>
  </sheetViews>
  <sheetFormatPr defaultRowHeight="15" x14ac:dyDescent="0.2"/>
  <cols>
    <col min="1" max="1" width="9.33203125" customWidth="1"/>
    <col min="2" max="2" width="17.5546875" customWidth="1"/>
    <col min="3" max="3" width="15.5546875" customWidth="1"/>
    <col min="4" max="4" width="11.5546875" customWidth="1"/>
    <col min="8" max="8" width="8" customWidth="1"/>
    <col min="10" max="10" width="10.88671875" bestFit="1" customWidth="1"/>
    <col min="12" max="12" width="13.33203125" customWidth="1"/>
    <col min="13" max="13" width="14.44140625" customWidth="1"/>
    <col min="15" max="15" width="12.109375" customWidth="1"/>
  </cols>
  <sheetData>
    <row r="2" spans="2:15" ht="15.75" thickBot="1" x14ac:dyDescent="0.25">
      <c r="I2" s="23" t="s">
        <v>75</v>
      </c>
      <c r="J2" s="23"/>
      <c r="M2">
        <v>2024</v>
      </c>
      <c r="N2">
        <v>2023</v>
      </c>
      <c r="O2">
        <v>2022</v>
      </c>
    </row>
    <row r="3" spans="2:15" ht="15.75" x14ac:dyDescent="0.25">
      <c r="B3" t="s">
        <v>45</v>
      </c>
      <c r="C3">
        <v>1990</v>
      </c>
      <c r="I3" s="6" t="s">
        <v>0</v>
      </c>
      <c r="J3" s="7">
        <v>408</v>
      </c>
      <c r="L3" s="2" t="s">
        <v>69</v>
      </c>
      <c r="N3" s="4"/>
      <c r="O3" s="4"/>
    </row>
    <row r="4" spans="2:15" x14ac:dyDescent="0.2">
      <c r="B4" t="s">
        <v>46</v>
      </c>
      <c r="C4" t="s">
        <v>155</v>
      </c>
      <c r="D4" t="s">
        <v>156</v>
      </c>
      <c r="E4" t="s">
        <v>157</v>
      </c>
      <c r="I4" s="8" t="s">
        <v>1</v>
      </c>
      <c r="J4" s="9">
        <v>47.114727000000002</v>
      </c>
      <c r="L4" t="s">
        <v>48</v>
      </c>
      <c r="M4" s="4">
        <v>0.41</v>
      </c>
      <c r="N4" s="4">
        <v>0.42</v>
      </c>
      <c r="O4" s="4">
        <v>0.43</v>
      </c>
    </row>
    <row r="5" spans="2:15" x14ac:dyDescent="0.2">
      <c r="B5" t="s">
        <v>47</v>
      </c>
      <c r="C5" t="s">
        <v>48</v>
      </c>
      <c r="I5" s="8" t="s">
        <v>2</v>
      </c>
      <c r="J5" s="9">
        <f>+J3*J4</f>
        <v>19222.808616000002</v>
      </c>
      <c r="L5" t="s">
        <v>70</v>
      </c>
      <c r="M5" s="4">
        <v>0.19</v>
      </c>
      <c r="N5" s="4">
        <v>0.17</v>
      </c>
      <c r="O5" s="4">
        <v>0.17</v>
      </c>
    </row>
    <row r="6" spans="2:15" x14ac:dyDescent="0.2">
      <c r="B6" t="s">
        <v>78</v>
      </c>
      <c r="C6" s="18">
        <v>56000</v>
      </c>
      <c r="I6" s="8" t="s">
        <v>3</v>
      </c>
      <c r="J6" s="9">
        <v>413.96199999999999</v>
      </c>
      <c r="L6" t="s">
        <v>71</v>
      </c>
      <c r="M6" s="4">
        <v>0.19</v>
      </c>
      <c r="N6" s="4">
        <v>0.21</v>
      </c>
      <c r="O6" s="4">
        <v>0.2</v>
      </c>
    </row>
    <row r="7" spans="2:15" x14ac:dyDescent="0.2">
      <c r="C7" s="1"/>
      <c r="I7" s="8" t="s">
        <v>4</v>
      </c>
      <c r="J7" s="9">
        <v>0</v>
      </c>
      <c r="L7" t="s">
        <v>72</v>
      </c>
      <c r="M7" s="4">
        <v>0.15</v>
      </c>
      <c r="N7" s="4">
        <v>0.14000000000000001</v>
      </c>
      <c r="O7" s="4">
        <v>0.14000000000000001</v>
      </c>
    </row>
    <row r="8" spans="2:15" ht="15.75" thickBot="1" x14ac:dyDescent="0.25">
      <c r="B8" t="s">
        <v>49</v>
      </c>
      <c r="I8" s="10" t="s">
        <v>5</v>
      </c>
      <c r="J8" s="11">
        <f>+J5-J6+J7</f>
        <v>18808.846616000003</v>
      </c>
      <c r="L8" t="s">
        <v>73</v>
      </c>
      <c r="M8" s="4">
        <v>0.03</v>
      </c>
      <c r="N8" s="4">
        <v>0.03</v>
      </c>
      <c r="O8" s="4">
        <v>0.03</v>
      </c>
    </row>
    <row r="9" spans="2:15" x14ac:dyDescent="0.2">
      <c r="B9" t="s">
        <v>50</v>
      </c>
      <c r="L9" t="s">
        <v>74</v>
      </c>
      <c r="M9" s="4">
        <v>0.03</v>
      </c>
      <c r="N9" s="4">
        <v>0.03</v>
      </c>
      <c r="O9" s="4">
        <v>0.03</v>
      </c>
    </row>
    <row r="10" spans="2:15" x14ac:dyDescent="0.2">
      <c r="B10" t="s">
        <v>51</v>
      </c>
    </row>
    <row r="11" spans="2:15" x14ac:dyDescent="0.2">
      <c r="B11" t="s">
        <v>52</v>
      </c>
      <c r="L11" t="s">
        <v>76</v>
      </c>
    </row>
    <row r="13" spans="2:15" x14ac:dyDescent="0.2">
      <c r="B13" t="s">
        <v>53</v>
      </c>
      <c r="L13" t="s">
        <v>79</v>
      </c>
    </row>
    <row r="14" spans="2:15" x14ac:dyDescent="0.2">
      <c r="B14" t="s">
        <v>54</v>
      </c>
      <c r="L14" t="s">
        <v>80</v>
      </c>
    </row>
    <row r="15" spans="2:15" x14ac:dyDescent="0.2">
      <c r="B15" t="s">
        <v>55</v>
      </c>
      <c r="L15" t="s">
        <v>81</v>
      </c>
    </row>
    <row r="17" spans="1:16" x14ac:dyDescent="0.2">
      <c r="B17" t="s">
        <v>56</v>
      </c>
      <c r="L17" s="15" t="s">
        <v>82</v>
      </c>
      <c r="M17" s="15" t="s">
        <v>83</v>
      </c>
      <c r="N17" s="16" t="s">
        <v>84</v>
      </c>
      <c r="O17" s="15" t="s">
        <v>135</v>
      </c>
      <c r="P17" s="16" t="s">
        <v>137</v>
      </c>
    </row>
    <row r="18" spans="1:16" x14ac:dyDescent="0.2">
      <c r="C18">
        <v>2024</v>
      </c>
      <c r="D18">
        <v>2023</v>
      </c>
      <c r="E18">
        <v>2022</v>
      </c>
      <c r="L18" t="s">
        <v>85</v>
      </c>
      <c r="M18" s="1">
        <v>5127000</v>
      </c>
      <c r="N18">
        <v>25</v>
      </c>
      <c r="O18" s="12">
        <f>+M18/N18</f>
        <v>205080</v>
      </c>
      <c r="P18" s="4">
        <f>+O18/M18</f>
        <v>0.04</v>
      </c>
    </row>
    <row r="19" spans="1:16" x14ac:dyDescent="0.2">
      <c r="B19" t="s">
        <v>65</v>
      </c>
      <c r="C19">
        <v>1355</v>
      </c>
      <c r="D19">
        <v>1308</v>
      </c>
      <c r="E19">
        <v>1264</v>
      </c>
      <c r="L19" t="s">
        <v>86</v>
      </c>
      <c r="M19" s="1">
        <v>734000</v>
      </c>
      <c r="N19">
        <v>3</v>
      </c>
      <c r="O19" s="12">
        <f t="shared" ref="O19:O67" si="0">+M19/N19</f>
        <v>244666.66666666666</v>
      </c>
      <c r="P19" s="4">
        <f t="shared" ref="P19:P67" si="1">+O19/M19</f>
        <v>0.33333333333333331</v>
      </c>
    </row>
    <row r="20" spans="1:16" x14ac:dyDescent="0.2">
      <c r="B20" t="s">
        <v>58</v>
      </c>
      <c r="C20">
        <v>33</v>
      </c>
      <c r="D20">
        <v>47</v>
      </c>
      <c r="E20">
        <v>48</v>
      </c>
      <c r="L20" t="s">
        <v>87</v>
      </c>
      <c r="M20" s="1">
        <v>7798000</v>
      </c>
      <c r="N20">
        <v>35</v>
      </c>
      <c r="O20" s="12">
        <f t="shared" si="0"/>
        <v>222800</v>
      </c>
      <c r="P20" s="4">
        <f t="shared" si="1"/>
        <v>2.8571428571428571E-2</v>
      </c>
    </row>
    <row r="21" spans="1:16" x14ac:dyDescent="0.2">
      <c r="B21" t="s">
        <v>59</v>
      </c>
      <c r="C21">
        <v>3</v>
      </c>
      <c r="D21">
        <v>0</v>
      </c>
      <c r="E21">
        <v>4</v>
      </c>
      <c r="L21" t="s">
        <v>88</v>
      </c>
      <c r="M21" s="1">
        <v>3072000</v>
      </c>
      <c r="N21">
        <v>11</v>
      </c>
      <c r="O21" s="12">
        <f t="shared" si="0"/>
        <v>279272.72727272729</v>
      </c>
      <c r="P21" s="4">
        <f t="shared" si="1"/>
        <v>9.0909090909090912E-2</v>
      </c>
    </row>
    <row r="22" spans="1:16" x14ac:dyDescent="0.2">
      <c r="B22" t="s">
        <v>60</v>
      </c>
      <c r="C22">
        <f>+C19+C20-C21</f>
        <v>1385</v>
      </c>
      <c r="D22">
        <f>+D19+D20-D21</f>
        <v>1355</v>
      </c>
      <c r="E22">
        <f>+E19+E20-E21</f>
        <v>1308</v>
      </c>
      <c r="L22" t="s">
        <v>89</v>
      </c>
      <c r="M22" s="1">
        <v>39760000</v>
      </c>
      <c r="N22">
        <v>170</v>
      </c>
      <c r="O22" s="12">
        <f t="shared" si="0"/>
        <v>233882.35294117648</v>
      </c>
      <c r="P22" s="4">
        <f t="shared" si="1"/>
        <v>5.8823529411764705E-3</v>
      </c>
    </row>
    <row r="23" spans="1:16" x14ac:dyDescent="0.2">
      <c r="L23" t="s">
        <v>90</v>
      </c>
      <c r="M23" s="1">
        <v>6266000</v>
      </c>
      <c r="N23">
        <v>27</v>
      </c>
      <c r="O23" s="12">
        <f t="shared" si="0"/>
        <v>232074.07407407407</v>
      </c>
      <c r="P23" s="4">
        <f t="shared" si="1"/>
        <v>3.7037037037037035E-2</v>
      </c>
    </row>
    <row r="24" spans="1:16" x14ac:dyDescent="0.2">
      <c r="L24" t="s">
        <v>91</v>
      </c>
      <c r="M24" s="1">
        <v>3621000</v>
      </c>
      <c r="N24">
        <v>19</v>
      </c>
      <c r="O24" s="12">
        <f t="shared" si="0"/>
        <v>190578.94736842104</v>
      </c>
      <c r="P24" s="4">
        <f t="shared" si="1"/>
        <v>5.2631578947368418E-2</v>
      </c>
    </row>
    <row r="25" spans="1:16" x14ac:dyDescent="0.2">
      <c r="A25" t="s">
        <v>66</v>
      </c>
      <c r="B25" t="s">
        <v>61</v>
      </c>
      <c r="C25">
        <v>14.515000000000001</v>
      </c>
      <c r="D25">
        <v>14.2</v>
      </c>
      <c r="E25">
        <v>13.77</v>
      </c>
      <c r="L25" t="s">
        <v>92</v>
      </c>
      <c r="M25" s="1">
        <v>1036000</v>
      </c>
      <c r="N25">
        <v>4</v>
      </c>
      <c r="O25" s="12">
        <f t="shared" si="0"/>
        <v>259000</v>
      </c>
      <c r="P25" s="4">
        <f t="shared" si="1"/>
        <v>0.25</v>
      </c>
    </row>
    <row r="26" spans="1:16" x14ac:dyDescent="0.2">
      <c r="B26" t="s">
        <v>62</v>
      </c>
      <c r="C26">
        <v>10481</v>
      </c>
      <c r="D26">
        <v>10480</v>
      </c>
      <c r="E26">
        <v>10528</v>
      </c>
      <c r="L26" t="s">
        <v>93</v>
      </c>
      <c r="M26" s="1">
        <v>22711000</v>
      </c>
      <c r="N26">
        <v>99</v>
      </c>
      <c r="O26" s="12">
        <f t="shared" si="0"/>
        <v>229404.0404040404</v>
      </c>
      <c r="P26" s="4">
        <f t="shared" si="1"/>
        <v>1.01010101010101E-2</v>
      </c>
    </row>
    <row r="27" spans="1:16" x14ac:dyDescent="0.2">
      <c r="B27" t="s">
        <v>57</v>
      </c>
      <c r="C27" s="1">
        <f>+C25*1000000/C26</f>
        <v>1384.8869382692492</v>
      </c>
      <c r="D27" s="1">
        <f>+D25*1000000/D26</f>
        <v>1354.9618320610687</v>
      </c>
      <c r="E27" s="1">
        <f>+E25*1000000/E26</f>
        <v>1307.9407294832827</v>
      </c>
      <c r="L27" t="s">
        <v>94</v>
      </c>
      <c r="M27" s="1">
        <v>11009000</v>
      </c>
      <c r="N27">
        <v>43</v>
      </c>
      <c r="O27" s="12">
        <f t="shared" si="0"/>
        <v>256023.2558139535</v>
      </c>
      <c r="P27" s="4">
        <f t="shared" si="1"/>
        <v>2.3255813953488372E-2</v>
      </c>
    </row>
    <row r="28" spans="1:16" x14ac:dyDescent="0.2">
      <c r="C28" s="1"/>
      <c r="L28" t="s">
        <v>95</v>
      </c>
      <c r="M28" s="1">
        <v>1464000</v>
      </c>
      <c r="N28">
        <v>4</v>
      </c>
      <c r="O28" s="12">
        <f t="shared" si="0"/>
        <v>366000</v>
      </c>
      <c r="P28" s="4">
        <f t="shared" si="1"/>
        <v>0.25</v>
      </c>
    </row>
    <row r="29" spans="1:16" x14ac:dyDescent="0.2">
      <c r="B29" t="s">
        <v>63</v>
      </c>
      <c r="C29">
        <v>18</v>
      </c>
      <c r="D29">
        <v>20</v>
      </c>
      <c r="E29">
        <v>9</v>
      </c>
      <c r="L29" t="s">
        <v>96</v>
      </c>
      <c r="M29" s="1">
        <v>2004000</v>
      </c>
      <c r="N29">
        <v>9</v>
      </c>
      <c r="O29" s="12">
        <f t="shared" si="0"/>
        <v>222666.66666666666</v>
      </c>
      <c r="P29" s="4">
        <f t="shared" si="1"/>
        <v>0.1111111111111111</v>
      </c>
    </row>
    <row r="30" spans="1:16" x14ac:dyDescent="0.2">
      <c r="B30" t="s">
        <v>64</v>
      </c>
      <c r="C30">
        <v>7</v>
      </c>
      <c r="D30">
        <v>12</v>
      </c>
      <c r="E30">
        <v>7</v>
      </c>
      <c r="L30" t="s">
        <v>97</v>
      </c>
      <c r="M30" s="1">
        <v>12807000</v>
      </c>
      <c r="N30">
        <v>55</v>
      </c>
      <c r="O30" s="12">
        <f t="shared" si="0"/>
        <v>232854.54545454544</v>
      </c>
      <c r="P30" s="4">
        <f t="shared" si="1"/>
        <v>1.8181818181818181E-2</v>
      </c>
    </row>
    <row r="31" spans="1:16" x14ac:dyDescent="0.2">
      <c r="L31" t="s">
        <v>98</v>
      </c>
      <c r="M31" s="1">
        <v>6874000</v>
      </c>
      <c r="N31">
        <v>26</v>
      </c>
      <c r="O31" s="12">
        <f t="shared" si="0"/>
        <v>264384.61538461538</v>
      </c>
      <c r="P31" s="4">
        <f t="shared" si="1"/>
        <v>3.8461538461538464E-2</v>
      </c>
    </row>
    <row r="32" spans="1:16" x14ac:dyDescent="0.2">
      <c r="B32" t="s">
        <v>77</v>
      </c>
      <c r="L32" t="s">
        <v>99</v>
      </c>
      <c r="M32" s="1">
        <v>3222000</v>
      </c>
      <c r="N32">
        <v>11</v>
      </c>
      <c r="O32" s="12">
        <f t="shared" si="0"/>
        <v>292909.09090909088</v>
      </c>
      <c r="P32" s="4">
        <f t="shared" si="1"/>
        <v>9.0909090909090898E-2</v>
      </c>
    </row>
    <row r="33" spans="2:16" x14ac:dyDescent="0.2">
      <c r="B33" t="s">
        <v>67</v>
      </c>
      <c r="L33" t="s">
        <v>100</v>
      </c>
      <c r="M33" s="1">
        <v>2940000</v>
      </c>
      <c r="N33">
        <v>13</v>
      </c>
      <c r="O33" s="12">
        <f t="shared" si="0"/>
        <v>226153.84615384616</v>
      </c>
      <c r="P33" s="4">
        <f t="shared" si="1"/>
        <v>7.6923076923076927E-2</v>
      </c>
    </row>
    <row r="34" spans="2:16" x14ac:dyDescent="0.2">
      <c r="L34" t="s">
        <v>101</v>
      </c>
      <c r="M34" s="1">
        <v>4543000</v>
      </c>
      <c r="N34">
        <v>16</v>
      </c>
      <c r="O34" s="12">
        <f t="shared" si="0"/>
        <v>283937.5</v>
      </c>
      <c r="P34" s="4">
        <f t="shared" si="1"/>
        <v>6.25E-2</v>
      </c>
    </row>
    <row r="35" spans="2:16" x14ac:dyDescent="0.2">
      <c r="B35" t="s">
        <v>68</v>
      </c>
      <c r="L35" t="s">
        <v>102</v>
      </c>
      <c r="M35" s="1">
        <v>4583000</v>
      </c>
      <c r="N35">
        <v>18</v>
      </c>
      <c r="O35" s="12">
        <f t="shared" si="0"/>
        <v>254611.11111111112</v>
      </c>
      <c r="P35" s="4">
        <f t="shared" si="1"/>
        <v>5.5555555555555559E-2</v>
      </c>
    </row>
    <row r="36" spans="2:16" x14ac:dyDescent="0.2">
      <c r="B36" t="s">
        <v>160</v>
      </c>
      <c r="L36" t="s">
        <v>103</v>
      </c>
      <c r="M36" s="1">
        <v>1396000</v>
      </c>
      <c r="N36">
        <v>3</v>
      </c>
      <c r="O36" s="12">
        <f t="shared" si="0"/>
        <v>465333.33333333331</v>
      </c>
      <c r="P36" s="4">
        <f t="shared" si="1"/>
        <v>0.33333333333333331</v>
      </c>
    </row>
    <row r="37" spans="2:16" x14ac:dyDescent="0.2">
      <c r="B37" t="s">
        <v>158</v>
      </c>
      <c r="D37" s="1">
        <f>352498*457</f>
        <v>161091586</v>
      </c>
      <c r="E37" t="s">
        <v>159</v>
      </c>
      <c r="J37" t="s">
        <v>162</v>
      </c>
      <c r="L37" t="s">
        <v>104</v>
      </c>
      <c r="M37" s="1">
        <v>6286000</v>
      </c>
      <c r="N37">
        <v>28</v>
      </c>
      <c r="O37" s="12">
        <f t="shared" si="0"/>
        <v>224500</v>
      </c>
      <c r="P37" s="4">
        <f t="shared" si="1"/>
        <v>3.5714285714285712E-2</v>
      </c>
    </row>
    <row r="38" spans="2:16" ht="15.75" x14ac:dyDescent="0.25">
      <c r="B38" t="s">
        <v>161</v>
      </c>
      <c r="I38" s="19"/>
      <c r="J38">
        <v>303</v>
      </c>
      <c r="L38" t="s">
        <v>105</v>
      </c>
      <c r="M38" s="1">
        <v>7136000</v>
      </c>
      <c r="N38">
        <v>27</v>
      </c>
      <c r="O38" s="12">
        <f t="shared" si="0"/>
        <v>264296.29629629629</v>
      </c>
      <c r="P38" s="4">
        <f t="shared" si="1"/>
        <v>3.7037037037037035E-2</v>
      </c>
    </row>
    <row r="39" spans="2:16" x14ac:dyDescent="0.2">
      <c r="J39" s="1">
        <f>2280721*303</f>
        <v>691058463</v>
      </c>
      <c r="L39" t="s">
        <v>106</v>
      </c>
      <c r="M39" s="1">
        <v>10098000</v>
      </c>
      <c r="N39">
        <v>49</v>
      </c>
      <c r="O39" s="12">
        <f t="shared" si="0"/>
        <v>206081.63265306121</v>
      </c>
      <c r="P39" s="4">
        <f t="shared" si="1"/>
        <v>2.0408163265306121E-2</v>
      </c>
    </row>
    <row r="40" spans="2:16" x14ac:dyDescent="0.2">
      <c r="L40" t="s">
        <v>107</v>
      </c>
      <c r="M40" s="1">
        <v>6025000</v>
      </c>
      <c r="N40">
        <v>31</v>
      </c>
      <c r="O40" s="12">
        <f t="shared" si="0"/>
        <v>194354.83870967742</v>
      </c>
      <c r="P40" s="4">
        <f t="shared" si="1"/>
        <v>3.2258064516129031E-2</v>
      </c>
    </row>
    <row r="41" spans="2:16" x14ac:dyDescent="0.2">
      <c r="B41" t="s">
        <v>138</v>
      </c>
      <c r="L41" t="s">
        <v>108</v>
      </c>
      <c r="M41" s="1">
        <v>2907000</v>
      </c>
      <c r="N41">
        <v>12</v>
      </c>
      <c r="O41" s="12">
        <f t="shared" si="0"/>
        <v>242250</v>
      </c>
      <c r="P41" s="4">
        <f t="shared" si="1"/>
        <v>8.3333333333333329E-2</v>
      </c>
    </row>
    <row r="42" spans="2:16" ht="15.75" x14ac:dyDescent="0.25">
      <c r="B42" s="2" t="s">
        <v>139</v>
      </c>
      <c r="C42" s="2" t="s">
        <v>140</v>
      </c>
      <c r="D42" s="2" t="s">
        <v>141</v>
      </c>
      <c r="E42" s="2" t="s">
        <v>142</v>
      </c>
      <c r="F42" s="2"/>
      <c r="L42" t="s">
        <v>109</v>
      </c>
      <c r="M42" s="1">
        <v>6217000</v>
      </c>
      <c r="N42">
        <v>25</v>
      </c>
      <c r="O42" s="12">
        <f t="shared" si="0"/>
        <v>248680</v>
      </c>
      <c r="P42" s="4">
        <f t="shared" si="1"/>
        <v>0.04</v>
      </c>
    </row>
    <row r="43" spans="2:16" x14ac:dyDescent="0.2">
      <c r="B43" t="s">
        <v>143</v>
      </c>
      <c r="C43" t="s">
        <v>151</v>
      </c>
      <c r="D43" s="1">
        <v>321132</v>
      </c>
      <c r="E43" t="s">
        <v>154</v>
      </c>
      <c r="L43" t="s">
        <v>110</v>
      </c>
      <c r="M43" s="1">
        <v>1139000</v>
      </c>
      <c r="N43">
        <v>6</v>
      </c>
      <c r="O43" s="12">
        <f t="shared" si="0"/>
        <v>189833.33333333334</v>
      </c>
      <c r="P43" s="4">
        <f t="shared" si="1"/>
        <v>0.16666666666666669</v>
      </c>
    </row>
    <row r="44" spans="2:16" x14ac:dyDescent="0.2">
      <c r="B44" t="s">
        <v>144</v>
      </c>
      <c r="C44" t="s">
        <v>152</v>
      </c>
      <c r="D44" s="1">
        <v>503605</v>
      </c>
      <c r="E44" s="17">
        <v>46568</v>
      </c>
      <c r="L44" t="s">
        <v>111</v>
      </c>
      <c r="M44" s="1">
        <v>1999000</v>
      </c>
      <c r="N44">
        <v>5</v>
      </c>
      <c r="O44" s="12">
        <f t="shared" si="0"/>
        <v>399800</v>
      </c>
      <c r="P44" s="4">
        <f t="shared" si="1"/>
        <v>0.2</v>
      </c>
    </row>
    <row r="45" spans="2:16" x14ac:dyDescent="0.2">
      <c r="B45" t="s">
        <v>145</v>
      </c>
      <c r="C45" t="s">
        <v>152</v>
      </c>
      <c r="D45" s="1">
        <v>670680</v>
      </c>
      <c r="E45" s="17">
        <v>46234</v>
      </c>
      <c r="L45" t="s">
        <v>112</v>
      </c>
      <c r="M45" s="1">
        <v>3313000</v>
      </c>
      <c r="N45">
        <v>16</v>
      </c>
      <c r="O45" s="12">
        <f t="shared" si="0"/>
        <v>207062.5</v>
      </c>
      <c r="P45" s="4">
        <f t="shared" si="1"/>
        <v>6.25E-2</v>
      </c>
    </row>
    <row r="46" spans="2:16" x14ac:dyDescent="0.2">
      <c r="B46" t="s">
        <v>146</v>
      </c>
      <c r="C46" t="s">
        <v>152</v>
      </c>
      <c r="D46" s="1">
        <v>670680</v>
      </c>
      <c r="E46" s="17">
        <v>46965</v>
      </c>
      <c r="L46" t="s">
        <v>113</v>
      </c>
      <c r="M46" s="1">
        <v>1402000</v>
      </c>
      <c r="N46">
        <v>8</v>
      </c>
      <c r="O46" s="12">
        <f t="shared" si="0"/>
        <v>175250</v>
      </c>
      <c r="P46" s="4">
        <f t="shared" si="1"/>
        <v>0.125</v>
      </c>
    </row>
    <row r="47" spans="2:16" x14ac:dyDescent="0.2">
      <c r="B47" t="s">
        <v>147</v>
      </c>
      <c r="C47" t="s">
        <v>152</v>
      </c>
      <c r="D47" s="1">
        <v>670680</v>
      </c>
      <c r="E47" s="17">
        <v>45869</v>
      </c>
      <c r="L47" t="s">
        <v>114</v>
      </c>
      <c r="M47" s="1">
        <v>9288000</v>
      </c>
      <c r="N47">
        <v>45</v>
      </c>
      <c r="O47" s="12">
        <f t="shared" si="0"/>
        <v>206400</v>
      </c>
      <c r="P47" s="4">
        <f t="shared" si="1"/>
        <v>2.2222222222222223E-2</v>
      </c>
    </row>
    <row r="48" spans="2:16" x14ac:dyDescent="0.2">
      <c r="B48" t="s">
        <v>148</v>
      </c>
      <c r="C48" t="s">
        <v>151</v>
      </c>
      <c r="D48" s="1">
        <v>303580</v>
      </c>
      <c r="E48" s="17">
        <v>48730</v>
      </c>
      <c r="L48" t="s">
        <v>115</v>
      </c>
      <c r="M48" s="1">
        <v>2128000</v>
      </c>
      <c r="N48">
        <v>7</v>
      </c>
      <c r="O48" s="12">
        <f t="shared" si="0"/>
        <v>304000</v>
      </c>
      <c r="P48" s="4">
        <f t="shared" si="1"/>
        <v>0.14285714285714285</v>
      </c>
    </row>
    <row r="49" spans="2:16" x14ac:dyDescent="0.2">
      <c r="B49" t="s">
        <v>149</v>
      </c>
      <c r="C49" t="s">
        <v>153</v>
      </c>
      <c r="D49" s="1">
        <v>203463</v>
      </c>
      <c r="E49" s="17">
        <v>47391</v>
      </c>
      <c r="L49" t="s">
        <v>116</v>
      </c>
      <c r="M49" s="1">
        <v>19573000</v>
      </c>
      <c r="N49">
        <v>55</v>
      </c>
      <c r="O49" s="12">
        <f t="shared" si="0"/>
        <v>355872.72727272729</v>
      </c>
      <c r="P49" s="4">
        <f t="shared" si="1"/>
        <v>1.8181818181818184E-2</v>
      </c>
    </row>
    <row r="50" spans="2:16" x14ac:dyDescent="0.2">
      <c r="B50" t="s">
        <v>150</v>
      </c>
      <c r="C50" t="s">
        <v>153</v>
      </c>
      <c r="D50" s="1">
        <v>291335</v>
      </c>
      <c r="E50" s="17">
        <v>46173</v>
      </c>
      <c r="L50" t="s">
        <v>117</v>
      </c>
      <c r="M50" s="1">
        <v>11254000</v>
      </c>
      <c r="N50">
        <v>45</v>
      </c>
      <c r="O50" s="12">
        <f t="shared" si="0"/>
        <v>250088.88888888888</v>
      </c>
      <c r="P50" s="4">
        <f t="shared" si="1"/>
        <v>2.222222222222222E-2</v>
      </c>
    </row>
    <row r="51" spans="2:16" x14ac:dyDescent="0.2">
      <c r="L51" t="s">
        <v>118</v>
      </c>
      <c r="M51" s="1">
        <v>801000</v>
      </c>
      <c r="N51">
        <v>4</v>
      </c>
      <c r="O51" s="12">
        <f t="shared" si="0"/>
        <v>200250</v>
      </c>
      <c r="P51" s="4">
        <f t="shared" si="1"/>
        <v>0.25</v>
      </c>
    </row>
    <row r="52" spans="2:16" x14ac:dyDescent="0.2">
      <c r="L52" t="s">
        <v>119</v>
      </c>
      <c r="M52" s="1">
        <v>11880000</v>
      </c>
      <c r="N52">
        <v>46</v>
      </c>
      <c r="O52" s="12">
        <f t="shared" si="0"/>
        <v>258260.86956521738</v>
      </c>
      <c r="P52" s="4">
        <f t="shared" si="1"/>
        <v>2.1739130434782608E-2</v>
      </c>
    </row>
    <row r="53" spans="2:16" ht="15.75" x14ac:dyDescent="0.25">
      <c r="B53" s="2" t="s">
        <v>165</v>
      </c>
      <c r="L53" t="s">
        <v>120</v>
      </c>
      <c r="M53" s="1">
        <v>4112000</v>
      </c>
      <c r="N53">
        <v>22</v>
      </c>
      <c r="O53" s="12">
        <f t="shared" si="0"/>
        <v>186909.09090909091</v>
      </c>
      <c r="P53" s="4">
        <f t="shared" si="1"/>
        <v>4.5454545454545456E-2</v>
      </c>
    </row>
    <row r="54" spans="2:16" x14ac:dyDescent="0.2">
      <c r="B54" t="s">
        <v>166</v>
      </c>
      <c r="C54" s="1">
        <v>351517000</v>
      </c>
      <c r="L54" t="s">
        <v>121</v>
      </c>
      <c r="M54" s="1">
        <v>4369000</v>
      </c>
      <c r="N54">
        <v>18</v>
      </c>
      <c r="O54" s="12">
        <f t="shared" si="0"/>
        <v>242722.22222222222</v>
      </c>
      <c r="P54" s="4">
        <f t="shared" si="1"/>
        <v>5.5555555555555552E-2</v>
      </c>
    </row>
    <row r="55" spans="2:16" x14ac:dyDescent="0.2">
      <c r="B55" t="s">
        <v>167</v>
      </c>
      <c r="C55" s="1">
        <v>755334000</v>
      </c>
      <c r="L55" t="s">
        <v>122</v>
      </c>
      <c r="M55" s="1">
        <v>13211000</v>
      </c>
      <c r="N55">
        <v>45</v>
      </c>
      <c r="O55" s="12">
        <f t="shared" si="0"/>
        <v>293577.77777777775</v>
      </c>
      <c r="P55" s="4">
        <f t="shared" si="1"/>
        <v>2.222222222222222E-2</v>
      </c>
    </row>
    <row r="56" spans="2:16" x14ac:dyDescent="0.2">
      <c r="B56" t="s">
        <v>168</v>
      </c>
      <c r="C56" s="1">
        <v>548888000</v>
      </c>
      <c r="L56" t="s">
        <v>123</v>
      </c>
      <c r="M56" s="1">
        <v>1124000</v>
      </c>
      <c r="N56">
        <v>4</v>
      </c>
      <c r="O56" s="12">
        <f t="shared" si="0"/>
        <v>281000</v>
      </c>
      <c r="P56" s="4">
        <f t="shared" si="1"/>
        <v>0.25</v>
      </c>
    </row>
    <row r="57" spans="2:16" x14ac:dyDescent="0.2">
      <c r="B57" t="s">
        <v>169</v>
      </c>
      <c r="C57" s="1">
        <v>636913000</v>
      </c>
      <c r="L57" t="s">
        <v>124</v>
      </c>
      <c r="M57" s="1">
        <v>5590000</v>
      </c>
      <c r="N57">
        <v>24</v>
      </c>
      <c r="O57" s="12">
        <f t="shared" si="0"/>
        <v>232916.66666666666</v>
      </c>
      <c r="P57" s="4">
        <f t="shared" si="1"/>
        <v>4.1666666666666664E-2</v>
      </c>
    </row>
    <row r="58" spans="2:16" ht="15.75" x14ac:dyDescent="0.25">
      <c r="C58" s="3">
        <f>+SUM(C54:C57)</f>
        <v>2292652000</v>
      </c>
      <c r="L58" t="s">
        <v>125</v>
      </c>
      <c r="M58" s="1">
        <v>929000</v>
      </c>
      <c r="N58">
        <v>3</v>
      </c>
      <c r="O58" s="12">
        <f t="shared" si="0"/>
        <v>309666.66666666669</v>
      </c>
      <c r="P58" s="4">
        <f t="shared" si="1"/>
        <v>0.33333333333333337</v>
      </c>
    </row>
    <row r="59" spans="2:16" x14ac:dyDescent="0.2">
      <c r="L59" t="s">
        <v>126</v>
      </c>
      <c r="M59" s="1">
        <v>7346000</v>
      </c>
      <c r="N59">
        <v>31</v>
      </c>
      <c r="O59" s="12">
        <f t="shared" si="0"/>
        <v>236967.74193548388</v>
      </c>
      <c r="P59" s="4">
        <f t="shared" si="1"/>
        <v>3.2258064516129031E-2</v>
      </c>
    </row>
    <row r="60" spans="2:16" ht="15.75" x14ac:dyDescent="0.25">
      <c r="B60" s="2" t="s">
        <v>170</v>
      </c>
      <c r="L60" t="s">
        <v>127</v>
      </c>
      <c r="M60" s="1">
        <v>31170000</v>
      </c>
      <c r="N60">
        <v>131</v>
      </c>
      <c r="O60" s="12">
        <f t="shared" si="0"/>
        <v>237938.93129770993</v>
      </c>
      <c r="P60" s="4">
        <f t="shared" si="1"/>
        <v>7.6335877862595426E-3</v>
      </c>
    </row>
    <row r="61" spans="2:16" x14ac:dyDescent="0.2">
      <c r="B61" t="s">
        <v>166</v>
      </c>
      <c r="C61" s="1">
        <v>39954000</v>
      </c>
      <c r="L61" t="s">
        <v>128</v>
      </c>
      <c r="M61" s="1">
        <v>3590000</v>
      </c>
      <c r="N61">
        <v>15</v>
      </c>
      <c r="O61" s="12">
        <f t="shared" si="0"/>
        <v>239333.33333333334</v>
      </c>
      <c r="P61" s="4">
        <f t="shared" si="1"/>
        <v>6.6666666666666666E-2</v>
      </c>
    </row>
    <row r="62" spans="2:16" x14ac:dyDescent="0.2">
      <c r="B62" t="s">
        <v>167</v>
      </c>
      <c r="C62" s="1">
        <v>15633000</v>
      </c>
      <c r="L62" t="s">
        <v>129</v>
      </c>
      <c r="M62" s="1">
        <v>645000</v>
      </c>
      <c r="N62">
        <v>1</v>
      </c>
      <c r="O62" s="12">
        <f t="shared" si="0"/>
        <v>645000</v>
      </c>
      <c r="P62" s="4">
        <f t="shared" si="1"/>
        <v>1</v>
      </c>
    </row>
    <row r="63" spans="2:16" x14ac:dyDescent="0.2">
      <c r="B63" t="s">
        <v>168</v>
      </c>
      <c r="C63" s="1"/>
      <c r="L63" t="s">
        <v>130</v>
      </c>
      <c r="M63" s="1">
        <v>8895000</v>
      </c>
      <c r="N63">
        <v>33</v>
      </c>
      <c r="O63" s="12">
        <f t="shared" si="0"/>
        <v>269545.45454545453</v>
      </c>
      <c r="P63" s="4">
        <f t="shared" si="1"/>
        <v>3.03030303030303E-2</v>
      </c>
    </row>
    <row r="64" spans="2:16" x14ac:dyDescent="0.2">
      <c r="B64" t="s">
        <v>169</v>
      </c>
      <c r="C64" s="1"/>
      <c r="L64" t="s">
        <v>131</v>
      </c>
      <c r="M64" s="1">
        <v>8316000</v>
      </c>
      <c r="N64">
        <v>37</v>
      </c>
      <c r="O64" s="12">
        <f t="shared" si="0"/>
        <v>224756.75675675675</v>
      </c>
      <c r="P64" s="4">
        <f t="shared" si="1"/>
        <v>2.7027027027027025E-2</v>
      </c>
    </row>
    <row r="65" spans="3:17" ht="15.75" x14ac:dyDescent="0.25">
      <c r="C65" s="3">
        <f>+SUM(C61:C64)</f>
        <v>55587000</v>
      </c>
      <c r="L65" t="s">
        <v>132</v>
      </c>
      <c r="M65" s="1">
        <v>1742000</v>
      </c>
      <c r="N65">
        <v>7</v>
      </c>
      <c r="O65" s="12">
        <f t="shared" si="0"/>
        <v>248857.14285714287</v>
      </c>
      <c r="P65" s="4">
        <f t="shared" si="1"/>
        <v>0.14285714285714288</v>
      </c>
    </row>
    <row r="66" spans="3:17" x14ac:dyDescent="0.2">
      <c r="L66" t="s">
        <v>133</v>
      </c>
      <c r="M66" s="1">
        <v>6002000</v>
      </c>
      <c r="N66">
        <v>21</v>
      </c>
      <c r="O66" s="12">
        <f t="shared" si="0"/>
        <v>285809.52380952379</v>
      </c>
      <c r="P66" s="4">
        <f t="shared" si="1"/>
        <v>4.7619047619047616E-2</v>
      </c>
    </row>
    <row r="67" spans="3:17" ht="15.75" thickBot="1" x14ac:dyDescent="0.25">
      <c r="L67" t="s">
        <v>134</v>
      </c>
      <c r="M67" s="1">
        <v>578000</v>
      </c>
      <c r="N67">
        <v>4</v>
      </c>
      <c r="O67" s="13">
        <f t="shared" si="0"/>
        <v>144500</v>
      </c>
      <c r="P67" s="4">
        <f t="shared" si="1"/>
        <v>0.25</v>
      </c>
    </row>
    <row r="68" spans="3:17" ht="15.75" x14ac:dyDescent="0.25">
      <c r="P68" s="14">
        <f>+AVERAGE(P18:P67)</f>
        <v>0.11082868293456059</v>
      </c>
      <c r="Q68" t="s">
        <v>136</v>
      </c>
    </row>
  </sheetData>
  <autoFilter ref="L17:P68" xr:uid="{4E729684-1443-406F-B631-01E2FF97F71A}"/>
  <mergeCells count="1"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A4DB-F194-46EA-92F0-65067433B2F7}">
  <dimension ref="B5:CA68"/>
  <sheetViews>
    <sheetView tabSelected="1" zoomScale="130" zoomScaleNormal="130" workbookViewId="0">
      <pane xSplit="2" ySplit="5" topLeftCell="D6" activePane="bottomRight" state="frozen"/>
      <selection pane="topRight" activeCell="C1" sqref="C1"/>
      <selection pane="bottomLeft" activeCell="A6" sqref="A6"/>
      <selection pane="bottomRight" activeCell="H25" sqref="H25"/>
    </sheetView>
  </sheetViews>
  <sheetFormatPr defaultRowHeight="15" x14ac:dyDescent="0.2"/>
  <cols>
    <col min="2" max="2" width="16.6640625" customWidth="1"/>
    <col min="8" max="8" width="10" bestFit="1" customWidth="1"/>
  </cols>
  <sheetData>
    <row r="5" spans="2:28" x14ac:dyDescent="0.2">
      <c r="C5" t="s">
        <v>42</v>
      </c>
      <c r="D5" t="s">
        <v>41</v>
      </c>
      <c r="E5" t="s">
        <v>40</v>
      </c>
      <c r="F5" t="s">
        <v>39</v>
      </c>
      <c r="G5" t="s">
        <v>38</v>
      </c>
      <c r="H5" t="s">
        <v>37</v>
      </c>
      <c r="I5" t="s">
        <v>36</v>
      </c>
      <c r="J5" t="s">
        <v>164</v>
      </c>
      <c r="N5">
        <v>2021</v>
      </c>
      <c r="O5">
        <v>2022</v>
      </c>
      <c r="P5">
        <v>2023</v>
      </c>
      <c r="Q5">
        <v>2024</v>
      </c>
      <c r="R5">
        <v>2025</v>
      </c>
      <c r="S5">
        <f t="shared" ref="S5:AB5" si="0">+R5+1</f>
        <v>2026</v>
      </c>
      <c r="T5">
        <f t="shared" si="0"/>
        <v>2027</v>
      </c>
      <c r="U5">
        <f t="shared" si="0"/>
        <v>2028</v>
      </c>
      <c r="V5">
        <f t="shared" si="0"/>
        <v>2029</v>
      </c>
      <c r="W5">
        <f t="shared" si="0"/>
        <v>2030</v>
      </c>
      <c r="X5">
        <f t="shared" si="0"/>
        <v>2031</v>
      </c>
      <c r="Y5">
        <f t="shared" si="0"/>
        <v>2032</v>
      </c>
      <c r="Z5">
        <f t="shared" si="0"/>
        <v>2033</v>
      </c>
      <c r="AA5">
        <f t="shared" si="0"/>
        <v>2034</v>
      </c>
      <c r="AB5">
        <f t="shared" si="0"/>
        <v>2035</v>
      </c>
    </row>
    <row r="6" spans="2:28" s="1" customFormat="1" x14ac:dyDescent="0.2">
      <c r="B6" s="1" t="s">
        <v>84</v>
      </c>
      <c r="O6" s="1">
        <v>1308</v>
      </c>
      <c r="P6" s="1">
        <v>1355</v>
      </c>
      <c r="Q6" s="20">
        <v>1385</v>
      </c>
      <c r="R6" s="1">
        <f t="shared" ref="R6:AB6" si="1">+Q6+40</f>
        <v>1425</v>
      </c>
      <c r="S6" s="1">
        <f t="shared" si="1"/>
        <v>1465</v>
      </c>
      <c r="T6" s="1">
        <f t="shared" si="1"/>
        <v>1505</v>
      </c>
      <c r="U6" s="1">
        <f t="shared" si="1"/>
        <v>1545</v>
      </c>
      <c r="V6" s="1">
        <f t="shared" si="1"/>
        <v>1585</v>
      </c>
      <c r="W6" s="1">
        <f t="shared" si="1"/>
        <v>1625</v>
      </c>
      <c r="X6" s="1">
        <f t="shared" si="1"/>
        <v>1665</v>
      </c>
      <c r="Y6" s="1">
        <f t="shared" si="1"/>
        <v>1705</v>
      </c>
      <c r="Z6" s="1">
        <f t="shared" si="1"/>
        <v>1745</v>
      </c>
      <c r="AA6" s="1">
        <f t="shared" si="1"/>
        <v>1785</v>
      </c>
      <c r="AB6" s="1">
        <f t="shared" si="1"/>
        <v>1825</v>
      </c>
    </row>
    <row r="7" spans="2:28" s="1" customFormat="1" x14ac:dyDescent="0.2">
      <c r="B7" s="1" t="s">
        <v>182</v>
      </c>
      <c r="O7" s="5">
        <f>+(O9*1000000/O6)/1000000</f>
        <v>7.8047247706422018</v>
      </c>
      <c r="P7" s="5">
        <f>+(P9*1000000/P6)/1000000</f>
        <v>8.2710723247232476</v>
      </c>
      <c r="Q7" s="5">
        <f>+(Q9*1000000/Q6)/1000000</f>
        <v>8.293670346570396</v>
      </c>
      <c r="R7" s="5">
        <f>+Q7*1.02</f>
        <v>8.459543753501805</v>
      </c>
      <c r="S7" s="5">
        <f t="shared" ref="S7:AB7" si="2">+R7*1.02</f>
        <v>8.6287346285718414</v>
      </c>
      <c r="T7" s="5">
        <f t="shared" si="2"/>
        <v>8.8013093211432789</v>
      </c>
      <c r="U7" s="5">
        <f t="shared" si="2"/>
        <v>8.9773355075661438</v>
      </c>
      <c r="V7" s="5">
        <f t="shared" si="2"/>
        <v>9.1568822177174667</v>
      </c>
      <c r="W7" s="5">
        <f t="shared" si="2"/>
        <v>9.3400198620718164</v>
      </c>
      <c r="X7" s="5">
        <f t="shared" si="2"/>
        <v>9.5268202593132525</v>
      </c>
      <c r="Y7" s="5">
        <f t="shared" si="2"/>
        <v>9.7173566644995173</v>
      </c>
      <c r="Z7" s="5">
        <f t="shared" si="2"/>
        <v>9.9117037977895084</v>
      </c>
      <c r="AA7" s="5">
        <f t="shared" si="2"/>
        <v>10.109937873745299</v>
      </c>
      <c r="AB7" s="5">
        <f t="shared" si="2"/>
        <v>10.312136631220206</v>
      </c>
    </row>
    <row r="8" spans="2:28" x14ac:dyDescent="0.2">
      <c r="B8" t="s">
        <v>189</v>
      </c>
      <c r="O8" s="21"/>
      <c r="P8" s="22">
        <f>+P7/O7-1</f>
        <v>5.975195382100229E-2</v>
      </c>
      <c r="Q8" s="22">
        <f>+Q7/P7-1</f>
        <v>2.7321755825542304E-3</v>
      </c>
      <c r="R8" s="22">
        <f t="shared" ref="R8:AB8" si="3">+R7/Q7-1</f>
        <v>2.0000000000000018E-2</v>
      </c>
      <c r="S8" s="22">
        <f t="shared" si="3"/>
        <v>2.0000000000000018E-2</v>
      </c>
      <c r="T8" s="22">
        <f t="shared" si="3"/>
        <v>2.0000000000000018E-2</v>
      </c>
      <c r="U8" s="22">
        <f t="shared" si="3"/>
        <v>2.0000000000000018E-2</v>
      </c>
      <c r="V8" s="22">
        <f t="shared" si="3"/>
        <v>2.0000000000000018E-2</v>
      </c>
      <c r="W8" s="22">
        <f t="shared" si="3"/>
        <v>2.0000000000000018E-2</v>
      </c>
      <c r="X8" s="22">
        <f t="shared" si="3"/>
        <v>2.0000000000000018E-2</v>
      </c>
      <c r="Y8" s="22">
        <f t="shared" si="3"/>
        <v>2.0000000000000018E-2</v>
      </c>
      <c r="Z8" s="22">
        <f t="shared" si="3"/>
        <v>2.0000000000000018E-2</v>
      </c>
      <c r="AA8" s="22">
        <f t="shared" si="3"/>
        <v>2.0000000000000018E-2</v>
      </c>
      <c r="AB8" s="22">
        <f t="shared" si="3"/>
        <v>2.0000000000000018E-2</v>
      </c>
    </row>
    <row r="9" spans="2:28" s="3" customFormat="1" ht="15.75" x14ac:dyDescent="0.25">
      <c r="B9" s="3" t="s">
        <v>25</v>
      </c>
      <c r="C9" s="3">
        <v>2634.2629999999999</v>
      </c>
      <c r="D9" s="3">
        <v>2529.8090000000002</v>
      </c>
      <c r="E9" s="3">
        <v>2488.933</v>
      </c>
      <c r="F9" s="3">
        <f>+P9-E9-D9-C9</f>
        <v>3554.2979999999989</v>
      </c>
      <c r="G9" s="3">
        <v>2725.848</v>
      </c>
      <c r="H9" s="3">
        <v>2552.087</v>
      </c>
      <c r="I9" s="3">
        <v>2530.1</v>
      </c>
      <c r="J9" s="3">
        <f>+F9*1.035</f>
        <v>3678.6984299999986</v>
      </c>
      <c r="N9" s="3">
        <v>8630.8889999999992</v>
      </c>
      <c r="O9" s="3">
        <v>10208.58</v>
      </c>
      <c r="P9" s="3">
        <v>11207.303</v>
      </c>
      <c r="Q9" s="3">
        <f>+SUM(G9:J9)</f>
        <v>11486.733429999998</v>
      </c>
      <c r="R9" s="3">
        <f>+R6*R7</f>
        <v>12054.849848740072</v>
      </c>
      <c r="S9" s="3">
        <f t="shared" ref="S9:AB9" si="4">+S6*S7</f>
        <v>12641.096230857747</v>
      </c>
      <c r="T9" s="3">
        <f t="shared" si="4"/>
        <v>13245.970528320635</v>
      </c>
      <c r="U9" s="3">
        <f t="shared" si="4"/>
        <v>13869.983359189693</v>
      </c>
      <c r="V9" s="3">
        <f t="shared" si="4"/>
        <v>14513.658315082184</v>
      </c>
      <c r="W9" s="3">
        <f t="shared" si="4"/>
        <v>15177.532275866703</v>
      </c>
      <c r="X9" s="3">
        <f t="shared" si="4"/>
        <v>15862.155731756566</v>
      </c>
      <c r="Y9" s="3">
        <f t="shared" si="4"/>
        <v>16568.093112971677</v>
      </c>
      <c r="Z9" s="3">
        <f t="shared" si="4"/>
        <v>17295.923127142691</v>
      </c>
      <c r="AA9" s="3">
        <f t="shared" si="4"/>
        <v>18046.239104635359</v>
      </c>
      <c r="AB9" s="3">
        <f t="shared" si="4"/>
        <v>18819.649351976874</v>
      </c>
    </row>
    <row r="10" spans="2:28" x14ac:dyDescent="0.2">
      <c r="B10" t="s">
        <v>26</v>
      </c>
      <c r="C10" s="1">
        <v>1579.4059999999999</v>
      </c>
      <c r="D10" s="1">
        <v>1536.1969999999999</v>
      </c>
      <c r="E10" s="1">
        <v>1496.866</v>
      </c>
      <c r="F10" s="1">
        <f>+P10-E10-D10-C10</f>
        <v>2213.7340000000004</v>
      </c>
      <c r="G10" s="1">
        <v>1656.068</v>
      </c>
      <c r="H10" s="1">
        <v>1573.91</v>
      </c>
      <c r="I10" s="1">
        <v>1524.4559999999999</v>
      </c>
      <c r="J10" s="1">
        <f>+F10*1.02</f>
        <v>2258.0086800000004</v>
      </c>
      <c r="N10" s="1">
        <v>5262.335</v>
      </c>
      <c r="O10" s="1">
        <v>6164.07</v>
      </c>
      <c r="P10" s="1">
        <v>6826.2030000000004</v>
      </c>
      <c r="Q10" s="1">
        <f>+SUM(G10:J10)</f>
        <v>7012.4426800000001</v>
      </c>
      <c r="R10" s="1">
        <f>+R9*0.6</f>
        <v>7232.9099092440429</v>
      </c>
      <c r="S10" s="1">
        <f t="shared" ref="S10:AB10" si="5">+S9*0.6</f>
        <v>7584.6577385146484</v>
      </c>
      <c r="T10" s="1">
        <f t="shared" si="5"/>
        <v>7947.5823169923806</v>
      </c>
      <c r="U10" s="1">
        <f t="shared" si="5"/>
        <v>8321.9900155138148</v>
      </c>
      <c r="V10" s="1">
        <f t="shared" si="5"/>
        <v>8708.1949890493106</v>
      </c>
      <c r="W10" s="1">
        <f t="shared" si="5"/>
        <v>9106.5193655200219</v>
      </c>
      <c r="X10" s="1">
        <f t="shared" si="5"/>
        <v>9517.2934390539394</v>
      </c>
      <c r="Y10" s="1">
        <f t="shared" si="5"/>
        <v>9940.855867783006</v>
      </c>
      <c r="Z10" s="1">
        <f t="shared" si="5"/>
        <v>10377.553876285614</v>
      </c>
      <c r="AA10" s="1">
        <f t="shared" si="5"/>
        <v>10827.743462781214</v>
      </c>
      <c r="AB10" s="1">
        <f t="shared" si="5"/>
        <v>11291.789611186125</v>
      </c>
    </row>
    <row r="11" spans="2:28" x14ac:dyDescent="0.2">
      <c r="B11" t="s">
        <v>27</v>
      </c>
      <c r="C11" s="1">
        <f t="shared" ref="C11:J11" si="6">+C9-C10</f>
        <v>1054.857</v>
      </c>
      <c r="D11" s="1">
        <f t="shared" si="6"/>
        <v>993.61200000000031</v>
      </c>
      <c r="E11" s="1">
        <f t="shared" si="6"/>
        <v>992.06700000000001</v>
      </c>
      <c r="F11" s="1">
        <f t="shared" si="6"/>
        <v>1340.5639999999985</v>
      </c>
      <c r="G11" s="1">
        <f t="shared" si="6"/>
        <v>1069.78</v>
      </c>
      <c r="H11" s="1">
        <f t="shared" si="6"/>
        <v>978.17699999999991</v>
      </c>
      <c r="I11" s="1">
        <f t="shared" si="6"/>
        <v>1005.644</v>
      </c>
      <c r="J11" s="1">
        <f t="shared" si="6"/>
        <v>1420.6897499999982</v>
      </c>
      <c r="N11" s="1">
        <f>+N9-N10</f>
        <v>3368.5539999999992</v>
      </c>
      <c r="O11" s="1">
        <f>+O9-O10</f>
        <v>4044.51</v>
      </c>
      <c r="P11" s="1">
        <f>+P9-P10</f>
        <v>4381.0999999999995</v>
      </c>
      <c r="Q11" s="1">
        <f>+Q9-Q10</f>
        <v>4474.2907499999983</v>
      </c>
      <c r="R11" s="1">
        <f t="shared" ref="R11:AB11" si="7">+R9-R10</f>
        <v>4821.9399394960292</v>
      </c>
      <c r="S11" s="1">
        <f t="shared" si="7"/>
        <v>5056.4384923430989</v>
      </c>
      <c r="T11" s="1">
        <f t="shared" si="7"/>
        <v>5298.3882113282543</v>
      </c>
      <c r="U11" s="1">
        <f t="shared" si="7"/>
        <v>5547.9933436758784</v>
      </c>
      <c r="V11" s="1">
        <f t="shared" si="7"/>
        <v>5805.4633260328737</v>
      </c>
      <c r="W11" s="1">
        <f t="shared" si="7"/>
        <v>6071.0129103466807</v>
      </c>
      <c r="X11" s="1">
        <f t="shared" si="7"/>
        <v>6344.8622927026263</v>
      </c>
      <c r="Y11" s="1">
        <f t="shared" si="7"/>
        <v>6627.2372451886713</v>
      </c>
      <c r="Z11" s="1">
        <f t="shared" si="7"/>
        <v>6918.3692508570766</v>
      </c>
      <c r="AA11" s="1">
        <f t="shared" si="7"/>
        <v>7218.4956418541442</v>
      </c>
      <c r="AB11" s="1">
        <f t="shared" si="7"/>
        <v>7527.8597407907491</v>
      </c>
    </row>
    <row r="12" spans="2:28" x14ac:dyDescent="0.2">
      <c r="B12" t="s">
        <v>28</v>
      </c>
      <c r="C12" s="1">
        <v>612.12900000000002</v>
      </c>
      <c r="D12" s="1">
        <v>600.69200000000001</v>
      </c>
      <c r="E12" s="1">
        <v>661.38</v>
      </c>
      <c r="F12" s="1">
        <f>+P12-E12-D12-C12</f>
        <v>820.36</v>
      </c>
      <c r="G12" s="1">
        <v>665.91300000000001</v>
      </c>
      <c r="H12" s="1">
        <v>644.82100000000003</v>
      </c>
      <c r="I12" s="1">
        <v>682.25900000000001</v>
      </c>
      <c r="J12" s="1">
        <f>+F12*1.02</f>
        <v>836.7672</v>
      </c>
      <c r="N12" s="1">
        <v>2061.5450000000001</v>
      </c>
      <c r="O12" s="1">
        <v>2395.299</v>
      </c>
      <c r="P12" s="1">
        <v>2694.5610000000001</v>
      </c>
      <c r="Q12" s="1">
        <f>+SUM(G12:J12)</f>
        <v>2829.7601999999997</v>
      </c>
      <c r="R12" s="1">
        <f>+Q12*1.05</f>
        <v>2971.2482099999997</v>
      </c>
      <c r="S12" s="1">
        <f t="shared" ref="S12:AB12" si="8">+R12*1.05</f>
        <v>3119.8106204999999</v>
      </c>
      <c r="T12" s="1">
        <f t="shared" si="8"/>
        <v>3275.801151525</v>
      </c>
      <c r="U12" s="1">
        <f t="shared" si="8"/>
        <v>3439.5912091012501</v>
      </c>
      <c r="V12" s="1">
        <f t="shared" si="8"/>
        <v>3611.5707695563128</v>
      </c>
      <c r="W12" s="1">
        <f t="shared" si="8"/>
        <v>3792.1493080341288</v>
      </c>
      <c r="X12" s="1">
        <f t="shared" si="8"/>
        <v>3981.7567734358354</v>
      </c>
      <c r="Y12" s="1">
        <f t="shared" si="8"/>
        <v>4180.8446121076277</v>
      </c>
      <c r="Z12" s="1">
        <f t="shared" si="8"/>
        <v>4389.8868427130092</v>
      </c>
      <c r="AA12" s="1">
        <f t="shared" si="8"/>
        <v>4609.3811848486603</v>
      </c>
      <c r="AB12" s="1">
        <f t="shared" si="8"/>
        <v>4839.8502440910934</v>
      </c>
    </row>
    <row r="13" spans="2:28" x14ac:dyDescent="0.2">
      <c r="B13" t="s">
        <v>35</v>
      </c>
      <c r="C13" s="1">
        <v>0.65800000000000003</v>
      </c>
      <c r="D13" s="1">
        <v>1.278</v>
      </c>
      <c r="E13" s="1">
        <v>3.46</v>
      </c>
      <c r="F13" s="1">
        <f>+P13-E13-D13-C13</f>
        <v>3.1139999999999999</v>
      </c>
      <c r="G13" s="1">
        <v>2.919</v>
      </c>
      <c r="H13" s="1">
        <v>4.1550000000000002</v>
      </c>
      <c r="I13" s="1">
        <v>4.883</v>
      </c>
      <c r="J13" s="1">
        <f>+F13*1.02</f>
        <v>3.1762799999999998</v>
      </c>
      <c r="N13" s="1">
        <v>9.5169999999999995</v>
      </c>
      <c r="O13" s="1">
        <v>10.601000000000001</v>
      </c>
      <c r="P13" s="1">
        <v>8.51</v>
      </c>
      <c r="Q13" s="1">
        <f>+SUM(G13:J13)</f>
        <v>15.133280000000001</v>
      </c>
      <c r="R13" s="1">
        <f>+Q13*1.05</f>
        <v>15.889944000000002</v>
      </c>
      <c r="S13" s="1">
        <f t="shared" ref="S13:AB13" si="9">+R13*1.05</f>
        <v>16.684441200000002</v>
      </c>
      <c r="T13" s="1">
        <f t="shared" si="9"/>
        <v>17.518663260000004</v>
      </c>
      <c r="U13" s="1">
        <f t="shared" si="9"/>
        <v>18.394596423000007</v>
      </c>
      <c r="V13" s="1">
        <f t="shared" si="9"/>
        <v>19.314326244150006</v>
      </c>
      <c r="W13" s="1">
        <f t="shared" si="9"/>
        <v>20.280042556357508</v>
      </c>
      <c r="X13" s="1">
        <f t="shared" si="9"/>
        <v>21.294044684175383</v>
      </c>
      <c r="Y13" s="1">
        <f t="shared" si="9"/>
        <v>22.358746918384153</v>
      </c>
      <c r="Z13" s="1">
        <f t="shared" si="9"/>
        <v>23.476684264303362</v>
      </c>
      <c r="AA13" s="1">
        <f t="shared" si="9"/>
        <v>24.650518477518531</v>
      </c>
      <c r="AB13" s="1">
        <f t="shared" si="9"/>
        <v>25.883044401394461</v>
      </c>
    </row>
    <row r="14" spans="2:28" x14ac:dyDescent="0.2">
      <c r="B14" t="s">
        <v>29</v>
      </c>
      <c r="C14" s="1">
        <f t="shared" ref="C14:J14" si="10">+C12+C13</f>
        <v>612.78700000000003</v>
      </c>
      <c r="D14" s="1">
        <f t="shared" si="10"/>
        <v>601.97</v>
      </c>
      <c r="E14" s="1">
        <f t="shared" si="10"/>
        <v>664.84</v>
      </c>
      <c r="F14" s="1">
        <f t="shared" si="10"/>
        <v>823.47400000000005</v>
      </c>
      <c r="G14" s="1">
        <f t="shared" si="10"/>
        <v>668.83199999999999</v>
      </c>
      <c r="H14" s="1">
        <f t="shared" si="10"/>
        <v>648.976</v>
      </c>
      <c r="I14" s="1">
        <f t="shared" si="10"/>
        <v>687.14200000000005</v>
      </c>
      <c r="J14" s="1">
        <f t="shared" si="10"/>
        <v>839.94348000000002</v>
      </c>
      <c r="N14" s="1">
        <f>+N12+N13</f>
        <v>2071.0619999999999</v>
      </c>
      <c r="O14" s="1">
        <f>+O12+O13</f>
        <v>2405.9</v>
      </c>
      <c r="P14" s="1">
        <f>+P12+P13</f>
        <v>2703.0710000000004</v>
      </c>
      <c r="Q14" s="1">
        <f>+Q12+Q13</f>
        <v>2844.8934799999997</v>
      </c>
      <c r="R14" s="1">
        <f t="shared" ref="R14:AB14" si="11">+R12+R13</f>
        <v>2987.1381539999998</v>
      </c>
      <c r="S14" s="1">
        <f t="shared" si="11"/>
        <v>3136.4950617</v>
      </c>
      <c r="T14" s="1">
        <f t="shared" si="11"/>
        <v>3293.3198147849998</v>
      </c>
      <c r="U14" s="1">
        <f t="shared" si="11"/>
        <v>3457.9858055242503</v>
      </c>
      <c r="V14" s="1">
        <f t="shared" si="11"/>
        <v>3630.8850958004628</v>
      </c>
      <c r="W14" s="1">
        <f t="shared" si="11"/>
        <v>3812.4293505904861</v>
      </c>
      <c r="X14" s="1">
        <f t="shared" si="11"/>
        <v>4003.0508181200107</v>
      </c>
      <c r="Y14" s="1">
        <f t="shared" si="11"/>
        <v>4203.2033590260116</v>
      </c>
      <c r="Z14" s="1">
        <f t="shared" si="11"/>
        <v>4413.3635269773122</v>
      </c>
      <c r="AA14" s="1">
        <f t="shared" si="11"/>
        <v>4634.031703326179</v>
      </c>
      <c r="AB14" s="1">
        <f t="shared" si="11"/>
        <v>4865.7332884924881</v>
      </c>
    </row>
    <row r="15" spans="2:28" x14ac:dyDescent="0.2">
      <c r="B15" t="s">
        <v>30</v>
      </c>
      <c r="C15" s="1">
        <f t="shared" ref="C15:J15" si="12">+C11-C14</f>
        <v>442.06999999999994</v>
      </c>
      <c r="D15" s="1">
        <f t="shared" si="12"/>
        <v>391.64200000000028</v>
      </c>
      <c r="E15" s="1">
        <f t="shared" si="12"/>
        <v>327.22699999999998</v>
      </c>
      <c r="F15" s="1">
        <f t="shared" si="12"/>
        <v>517.08999999999844</v>
      </c>
      <c r="G15" s="1">
        <f t="shared" si="12"/>
        <v>400.94799999999998</v>
      </c>
      <c r="H15" s="1">
        <f t="shared" si="12"/>
        <v>329.20099999999991</v>
      </c>
      <c r="I15" s="1">
        <f t="shared" si="12"/>
        <v>318.50199999999995</v>
      </c>
      <c r="J15" s="1">
        <f t="shared" si="12"/>
        <v>580.74626999999816</v>
      </c>
      <c r="N15" s="1">
        <f>+N11-N14</f>
        <v>1297.4919999999993</v>
      </c>
      <c r="O15" s="1">
        <f>+O11-O14</f>
        <v>1638.6100000000001</v>
      </c>
      <c r="P15" s="1">
        <f>+P11-P14</f>
        <v>1678.0289999999991</v>
      </c>
      <c r="Q15" s="1">
        <f>+Q11-Q14</f>
        <v>1629.3972699999986</v>
      </c>
      <c r="R15" s="1">
        <f t="shared" ref="R15:AB15" si="13">+R11-R14</f>
        <v>1834.8017854960294</v>
      </c>
      <c r="S15" s="1">
        <f t="shared" si="13"/>
        <v>1919.943430643099</v>
      </c>
      <c r="T15" s="1">
        <f t="shared" si="13"/>
        <v>2005.0683965432545</v>
      </c>
      <c r="U15" s="1">
        <f t="shared" si="13"/>
        <v>2090.0075381516281</v>
      </c>
      <c r="V15" s="1">
        <f t="shared" si="13"/>
        <v>2174.578230232411</v>
      </c>
      <c r="W15" s="1">
        <f t="shared" si="13"/>
        <v>2258.5835597561945</v>
      </c>
      <c r="X15" s="1">
        <f t="shared" si="13"/>
        <v>2341.8114745826156</v>
      </c>
      <c r="Y15" s="1">
        <f t="shared" si="13"/>
        <v>2424.0338861626597</v>
      </c>
      <c r="Z15" s="1">
        <f t="shared" si="13"/>
        <v>2505.0057238797644</v>
      </c>
      <c r="AA15" s="1">
        <f t="shared" si="13"/>
        <v>2584.4639385279652</v>
      </c>
      <c r="AB15" s="1">
        <f t="shared" si="13"/>
        <v>2662.126452298261</v>
      </c>
    </row>
    <row r="16" spans="2:28" x14ac:dyDescent="0.2">
      <c r="B16" t="s">
        <v>31</v>
      </c>
      <c r="C16" s="1">
        <v>-7.3479999999999999</v>
      </c>
      <c r="D16" s="1">
        <v>-4.4489999999999998</v>
      </c>
      <c r="E16" s="1">
        <v>-2.4969999999999999</v>
      </c>
      <c r="F16" s="1">
        <f>+P16-E16-D16-C16</f>
        <v>-3.3280000000000003</v>
      </c>
      <c r="G16" s="1">
        <v>-6.9</v>
      </c>
      <c r="H16" s="1">
        <v>-4.5259999999999998</v>
      </c>
      <c r="I16" s="1">
        <v>-1.6739999999999999</v>
      </c>
      <c r="J16" s="1">
        <f>+F16*1.02</f>
        <v>-3.3945600000000002</v>
      </c>
      <c r="N16" s="1">
        <v>1.663</v>
      </c>
      <c r="O16" s="1">
        <v>-4.9340000000000002</v>
      </c>
      <c r="P16" s="1">
        <v>-17.622</v>
      </c>
      <c r="Q16" s="1">
        <f>+SUM(G16:J16)</f>
        <v>-16.49456</v>
      </c>
      <c r="R16" s="1">
        <f>+Q16*1.2</f>
        <v>-19.793471999999998</v>
      </c>
      <c r="S16" s="1">
        <f t="shared" ref="S16:AB16" si="14">+R16*1.2</f>
        <v>-23.752166399999997</v>
      </c>
      <c r="T16" s="1">
        <f t="shared" si="14"/>
        <v>-28.502599679999996</v>
      </c>
      <c r="U16" s="1">
        <f t="shared" si="14"/>
        <v>-34.203119615999995</v>
      </c>
      <c r="V16" s="1">
        <f t="shared" si="14"/>
        <v>-41.043743539199994</v>
      </c>
      <c r="W16" s="1">
        <f t="shared" si="14"/>
        <v>-49.252492247039989</v>
      </c>
      <c r="X16" s="1">
        <f t="shared" si="14"/>
        <v>-59.102990696447982</v>
      </c>
      <c r="Y16" s="1">
        <f t="shared" si="14"/>
        <v>-70.923588835737576</v>
      </c>
      <c r="Z16" s="1">
        <f t="shared" si="14"/>
        <v>-85.108306602885094</v>
      </c>
      <c r="AA16" s="1">
        <f t="shared" si="14"/>
        <v>-102.1299679234621</v>
      </c>
      <c r="AB16" s="1">
        <f t="shared" si="14"/>
        <v>-122.55596150815452</v>
      </c>
    </row>
    <row r="17" spans="2:79" x14ac:dyDescent="0.2">
      <c r="B17" t="s">
        <v>32</v>
      </c>
      <c r="C17" s="1">
        <f t="shared" ref="C17:J17" si="15">+C15-C16</f>
        <v>449.41799999999995</v>
      </c>
      <c r="D17" s="1">
        <f t="shared" si="15"/>
        <v>396.09100000000029</v>
      </c>
      <c r="E17" s="1">
        <f t="shared" si="15"/>
        <v>329.72399999999999</v>
      </c>
      <c r="F17" s="1">
        <f t="shared" si="15"/>
        <v>520.41799999999841</v>
      </c>
      <c r="G17" s="1">
        <f t="shared" si="15"/>
        <v>407.84799999999996</v>
      </c>
      <c r="H17" s="1">
        <f t="shared" si="15"/>
        <v>333.72699999999992</v>
      </c>
      <c r="I17" s="1">
        <f t="shared" si="15"/>
        <v>320.17599999999993</v>
      </c>
      <c r="J17" s="1">
        <f t="shared" si="15"/>
        <v>584.14082999999812</v>
      </c>
      <c r="N17" s="1">
        <f>+N15-N16</f>
        <v>1295.8289999999993</v>
      </c>
      <c r="O17" s="1">
        <f>+O15-O16</f>
        <v>1643.5440000000001</v>
      </c>
      <c r="P17" s="1">
        <f>+P15-P16</f>
        <v>1695.6509999999992</v>
      </c>
      <c r="Q17" s="1">
        <f>+Q15-Q16</f>
        <v>1645.8918299999987</v>
      </c>
      <c r="R17" s="1">
        <f t="shared" ref="R17:AB17" si="16">+R15-R16</f>
        <v>1854.5952574960295</v>
      </c>
      <c r="S17" s="1">
        <f t="shared" si="16"/>
        <v>1943.695597043099</v>
      </c>
      <c r="T17" s="1">
        <f t="shared" si="16"/>
        <v>2033.5709962232545</v>
      </c>
      <c r="U17" s="1">
        <f t="shared" si="16"/>
        <v>2124.2106577676282</v>
      </c>
      <c r="V17" s="1">
        <f t="shared" si="16"/>
        <v>2215.621973771611</v>
      </c>
      <c r="W17" s="1">
        <f t="shared" si="16"/>
        <v>2307.8360520032347</v>
      </c>
      <c r="X17" s="1">
        <f t="shared" si="16"/>
        <v>2400.9144652790637</v>
      </c>
      <c r="Y17" s="1">
        <f t="shared" si="16"/>
        <v>2494.9574749983972</v>
      </c>
      <c r="Z17" s="1">
        <f t="shared" si="16"/>
        <v>2590.1140304826495</v>
      </c>
      <c r="AA17" s="1">
        <f t="shared" si="16"/>
        <v>2686.5939064514273</v>
      </c>
      <c r="AB17" s="1">
        <f t="shared" si="16"/>
        <v>2784.6824138064158</v>
      </c>
    </row>
    <row r="18" spans="2:79" x14ac:dyDescent="0.2">
      <c r="B18" t="s">
        <v>33</v>
      </c>
      <c r="C18" s="1">
        <v>102.367</v>
      </c>
      <c r="D18" s="1">
        <v>95.989000000000004</v>
      </c>
      <c r="E18" s="1">
        <v>80.241</v>
      </c>
      <c r="F18" s="1">
        <f>+P18-E18-D18-C18</f>
        <v>126.04900000000002</v>
      </c>
      <c r="G18" s="1">
        <v>94.734999999999999</v>
      </c>
      <c r="H18" s="1">
        <v>81.171000000000006</v>
      </c>
      <c r="I18" s="1">
        <v>77.997</v>
      </c>
      <c r="J18" s="1">
        <f>+F18*1.01</f>
        <v>127.30949000000003</v>
      </c>
      <c r="N18" s="1">
        <v>309.99200000000002</v>
      </c>
      <c r="O18" s="1">
        <v>401.13600000000002</v>
      </c>
      <c r="P18" s="1">
        <v>404.64600000000002</v>
      </c>
      <c r="Q18" s="1">
        <f>+SUM(G18:J18)</f>
        <v>381.21249000000006</v>
      </c>
      <c r="R18" s="1">
        <f>+R17*0.25</f>
        <v>463.64881437400737</v>
      </c>
      <c r="S18" s="1">
        <f t="shared" ref="S18:AB18" si="17">+S17*0.25</f>
        <v>485.92389926077476</v>
      </c>
      <c r="T18" s="1">
        <f t="shared" si="17"/>
        <v>508.39274905581362</v>
      </c>
      <c r="U18" s="1">
        <f t="shared" si="17"/>
        <v>531.05266444190704</v>
      </c>
      <c r="V18" s="1">
        <f t="shared" si="17"/>
        <v>553.90549344290275</v>
      </c>
      <c r="W18" s="1">
        <f t="shared" si="17"/>
        <v>576.95901300080868</v>
      </c>
      <c r="X18" s="1">
        <f t="shared" si="17"/>
        <v>600.22861631976593</v>
      </c>
      <c r="Y18" s="1">
        <f t="shared" si="17"/>
        <v>623.73936874959929</v>
      </c>
      <c r="Z18" s="1">
        <f t="shared" si="17"/>
        <v>647.52850762066237</v>
      </c>
      <c r="AA18" s="1">
        <f t="shared" si="17"/>
        <v>671.64847661285683</v>
      </c>
      <c r="AB18" s="1">
        <f t="shared" si="17"/>
        <v>696.17060345160394</v>
      </c>
    </row>
    <row r="19" spans="2:79" s="2" customFormat="1" ht="15.75" x14ac:dyDescent="0.25">
      <c r="B19" s="2" t="s">
        <v>34</v>
      </c>
      <c r="C19" s="3">
        <f t="shared" ref="C19:J19" si="18">+C17-C18</f>
        <v>347.05099999999993</v>
      </c>
      <c r="D19" s="3">
        <f t="shared" si="18"/>
        <v>300.10200000000032</v>
      </c>
      <c r="E19" s="3">
        <f t="shared" si="18"/>
        <v>249.483</v>
      </c>
      <c r="F19" s="3">
        <f t="shared" si="18"/>
        <v>394.36899999999838</v>
      </c>
      <c r="G19" s="3">
        <f t="shared" si="18"/>
        <v>313.11299999999994</v>
      </c>
      <c r="H19" s="3">
        <f t="shared" si="18"/>
        <v>252.55599999999993</v>
      </c>
      <c r="I19" s="3">
        <f t="shared" si="18"/>
        <v>242.17899999999992</v>
      </c>
      <c r="J19" s="3">
        <f t="shared" si="18"/>
        <v>456.83133999999808</v>
      </c>
      <c r="N19" s="3">
        <f>+N17-N18</f>
        <v>985.83699999999931</v>
      </c>
      <c r="O19" s="3">
        <f>+O17-O18</f>
        <v>1242.4080000000001</v>
      </c>
      <c r="P19" s="3">
        <f>+P17-P18</f>
        <v>1291.0049999999992</v>
      </c>
      <c r="Q19" s="3">
        <f>+Q17-Q18</f>
        <v>1264.6793399999985</v>
      </c>
      <c r="R19" s="3">
        <f t="shared" ref="R19:AB19" si="19">+R17-R18</f>
        <v>1390.9464431220222</v>
      </c>
      <c r="S19" s="3">
        <f t="shared" si="19"/>
        <v>1457.7716977823243</v>
      </c>
      <c r="T19" s="3">
        <f t="shared" si="19"/>
        <v>1525.178247167441</v>
      </c>
      <c r="U19" s="3">
        <f t="shared" si="19"/>
        <v>1593.1579933257212</v>
      </c>
      <c r="V19" s="3">
        <f t="shared" si="19"/>
        <v>1661.7164803287083</v>
      </c>
      <c r="W19" s="3">
        <f t="shared" si="19"/>
        <v>1730.877039002426</v>
      </c>
      <c r="X19" s="3">
        <f t="shared" si="19"/>
        <v>1800.6858489592978</v>
      </c>
      <c r="Y19" s="3">
        <f t="shared" si="19"/>
        <v>1871.218106248798</v>
      </c>
      <c r="Z19" s="3">
        <f t="shared" si="19"/>
        <v>1942.5855228619871</v>
      </c>
      <c r="AA19" s="3">
        <f t="shared" si="19"/>
        <v>2014.9454298385704</v>
      </c>
      <c r="AB19" s="3">
        <f t="shared" si="19"/>
        <v>2088.511810354812</v>
      </c>
      <c r="AC19" s="3">
        <f>+AB19*(1+$T$22)</f>
        <v>2067.6266922512641</v>
      </c>
      <c r="AD19" s="3">
        <f t="shared" ref="AD19:CA19" si="20">+AC19*(1+$T$22)</f>
        <v>2046.9504253287514</v>
      </c>
      <c r="AE19" s="3">
        <f t="shared" si="20"/>
        <v>2026.4809210754638</v>
      </c>
      <c r="AF19" s="3">
        <f t="shared" si="20"/>
        <v>2006.2161118647091</v>
      </c>
      <c r="AG19" s="3">
        <f t="shared" si="20"/>
        <v>1986.153950746062</v>
      </c>
      <c r="AH19" s="3">
        <f t="shared" si="20"/>
        <v>1966.2924112386013</v>
      </c>
      <c r="AI19" s="3">
        <f t="shared" si="20"/>
        <v>1946.6294871262153</v>
      </c>
      <c r="AJ19" s="3">
        <f t="shared" si="20"/>
        <v>1927.1631922549532</v>
      </c>
      <c r="AK19" s="3">
        <f t="shared" si="20"/>
        <v>1907.8915603324035</v>
      </c>
      <c r="AL19" s="3">
        <f t="shared" si="20"/>
        <v>1888.8126447290795</v>
      </c>
      <c r="AM19" s="3">
        <f t="shared" si="20"/>
        <v>1869.9245182817886</v>
      </c>
      <c r="AN19" s="3">
        <f t="shared" si="20"/>
        <v>1851.2252730989705</v>
      </c>
      <c r="AO19" s="3">
        <f t="shared" si="20"/>
        <v>1832.7130203679808</v>
      </c>
      <c r="AP19" s="3">
        <f t="shared" si="20"/>
        <v>1814.3858901643009</v>
      </c>
      <c r="AQ19" s="3">
        <f t="shared" si="20"/>
        <v>1796.242031262658</v>
      </c>
      <c r="AR19" s="3">
        <f t="shared" si="20"/>
        <v>1778.2796109500314</v>
      </c>
      <c r="AS19" s="3">
        <f t="shared" si="20"/>
        <v>1760.496814840531</v>
      </c>
      <c r="AT19" s="3">
        <f t="shared" si="20"/>
        <v>1742.8918466921257</v>
      </c>
      <c r="AU19" s="3">
        <f t="shared" si="20"/>
        <v>1725.4629282252045</v>
      </c>
      <c r="AV19" s="3">
        <f t="shared" si="20"/>
        <v>1708.2082989429523</v>
      </c>
      <c r="AW19" s="3">
        <f t="shared" si="20"/>
        <v>1691.1262159535227</v>
      </c>
      <c r="AX19" s="3">
        <f t="shared" si="20"/>
        <v>1674.2149537939874</v>
      </c>
      <c r="AY19" s="3">
        <f t="shared" si="20"/>
        <v>1657.4728042560475</v>
      </c>
      <c r="AZ19" s="3">
        <f t="shared" si="20"/>
        <v>1640.898076213487</v>
      </c>
      <c r="BA19" s="3">
        <f t="shared" si="20"/>
        <v>1624.4890954513521</v>
      </c>
      <c r="BB19" s="3">
        <f t="shared" si="20"/>
        <v>1608.2442044968386</v>
      </c>
      <c r="BC19" s="3">
        <f t="shared" si="20"/>
        <v>1592.1617624518701</v>
      </c>
      <c r="BD19" s="3">
        <f t="shared" si="20"/>
        <v>1576.2401448273515</v>
      </c>
      <c r="BE19" s="3">
        <f t="shared" si="20"/>
        <v>1560.477743379078</v>
      </c>
      <c r="BF19" s="3">
        <f t="shared" si="20"/>
        <v>1544.8729659452872</v>
      </c>
      <c r="BG19" s="3">
        <f t="shared" si="20"/>
        <v>1529.4242362858342</v>
      </c>
      <c r="BH19" s="3">
        <f t="shared" si="20"/>
        <v>1514.1299939229759</v>
      </c>
      <c r="BI19" s="3">
        <f t="shared" si="20"/>
        <v>1498.9886939837461</v>
      </c>
      <c r="BJ19" s="3">
        <f t="shared" si="20"/>
        <v>1483.9988070439085</v>
      </c>
      <c r="BK19" s="3">
        <f t="shared" si="20"/>
        <v>1469.1588189734694</v>
      </c>
      <c r="BL19" s="3">
        <f t="shared" si="20"/>
        <v>1454.4672307837347</v>
      </c>
      <c r="BM19" s="3">
        <f t="shared" si="20"/>
        <v>1439.9225584758974</v>
      </c>
      <c r="BN19" s="3">
        <f t="shared" si="20"/>
        <v>1425.5233328911384</v>
      </c>
      <c r="BO19" s="3">
        <f t="shared" si="20"/>
        <v>1411.268099562227</v>
      </c>
      <c r="BP19" s="3">
        <f t="shared" si="20"/>
        <v>1397.1554185666048</v>
      </c>
      <c r="BQ19" s="3">
        <f t="shared" si="20"/>
        <v>1383.1838643809388</v>
      </c>
      <c r="BR19" s="3">
        <f t="shared" si="20"/>
        <v>1369.3520257371295</v>
      </c>
      <c r="BS19" s="3">
        <f t="shared" si="20"/>
        <v>1355.6585054797581</v>
      </c>
      <c r="BT19" s="3">
        <f t="shared" si="20"/>
        <v>1342.1019204249606</v>
      </c>
      <c r="BU19" s="3">
        <f t="shared" si="20"/>
        <v>1328.6809012207109</v>
      </c>
      <c r="BV19" s="3">
        <f t="shared" si="20"/>
        <v>1315.3940922085037</v>
      </c>
      <c r="BW19" s="3">
        <f t="shared" si="20"/>
        <v>1302.2401512864187</v>
      </c>
      <c r="BX19" s="3">
        <f t="shared" si="20"/>
        <v>1289.2177497735545</v>
      </c>
      <c r="BY19" s="3">
        <f t="shared" si="20"/>
        <v>1276.325572275819</v>
      </c>
      <c r="BZ19" s="3">
        <f t="shared" si="20"/>
        <v>1263.5623165530608</v>
      </c>
      <c r="CA19" s="3">
        <f t="shared" si="20"/>
        <v>1250.9266933875301</v>
      </c>
    </row>
    <row r="20" spans="2:79" s="5" customFormat="1" x14ac:dyDescent="0.2">
      <c r="B20" s="5" t="s">
        <v>43</v>
      </c>
      <c r="C20" s="5">
        <f t="shared" ref="C20:J20" si="21">+C19/C21</f>
        <v>6.876518258733082</v>
      </c>
      <c r="D20" s="5">
        <f t="shared" si="21"/>
        <v>6.0202210676242318</v>
      </c>
      <c r="E20" s="5">
        <f t="shared" si="21"/>
        <v>5.0681144110835739</v>
      </c>
      <c r="F20" s="5">
        <f t="shared" si="21"/>
        <v>8.011396416527818</v>
      </c>
      <c r="G20" s="5">
        <f t="shared" si="21"/>
        <v>6.4718174489985723</v>
      </c>
      <c r="H20" s="5">
        <f t="shared" si="21"/>
        <v>5.2983405710449558</v>
      </c>
      <c r="I20" s="5">
        <f t="shared" si="21"/>
        <v>5.1426781618958621</v>
      </c>
      <c r="J20" s="5">
        <f t="shared" si="21"/>
        <v>9.6971203566121442</v>
      </c>
      <c r="P20" s="5">
        <f>+P19/P21</f>
        <v>25.898832450649966</v>
      </c>
    </row>
    <row r="21" spans="2:79" s="1" customFormat="1" x14ac:dyDescent="0.2">
      <c r="B21" s="1" t="s">
        <v>44</v>
      </c>
      <c r="C21" s="1">
        <v>50.469000000000001</v>
      </c>
      <c r="D21" s="1">
        <v>49.848999999999997</v>
      </c>
      <c r="E21" s="1">
        <v>49.225999999999999</v>
      </c>
      <c r="F21" s="1">
        <v>49.225999999999999</v>
      </c>
      <c r="G21" s="1">
        <v>48.381</v>
      </c>
      <c r="H21" s="1">
        <v>47.667000000000002</v>
      </c>
      <c r="I21" s="1">
        <v>47.091999999999999</v>
      </c>
      <c r="J21" s="1">
        <v>47.11</v>
      </c>
      <c r="P21" s="1">
        <f>+AVERAGE(C21:E21)</f>
        <v>49.847999999999992</v>
      </c>
    </row>
    <row r="22" spans="2:79" s="4" customFormat="1" x14ac:dyDescent="0.2">
      <c r="F22" s="4">
        <v>0.1</v>
      </c>
      <c r="G22" s="4">
        <f t="shared" ref="G22:I22" si="22">+G9/C9-1</f>
        <v>3.4766839909302849E-2</v>
      </c>
      <c r="H22" s="4">
        <f t="shared" si="22"/>
        <v>8.8061984126073245E-3</v>
      </c>
      <c r="I22" s="4">
        <f t="shared" si="22"/>
        <v>1.6540019357692559E-2</v>
      </c>
      <c r="J22" s="4">
        <f>+J9/F9-1</f>
        <v>3.499999999999992E-2</v>
      </c>
      <c r="S22" s="4" t="s">
        <v>183</v>
      </c>
      <c r="T22" s="4">
        <v>-0.01</v>
      </c>
    </row>
    <row r="23" spans="2:79" s="1" customFormat="1" x14ac:dyDescent="0.2">
      <c r="S23" s="1" t="s">
        <v>184</v>
      </c>
      <c r="T23" s="4">
        <v>0.09</v>
      </c>
    </row>
    <row r="24" spans="2:79" s="1" customFormat="1" x14ac:dyDescent="0.2">
      <c r="S24" s="1" t="s">
        <v>185</v>
      </c>
      <c r="T24" s="1">
        <f>+NPV(T23,Q19:CA19)</f>
        <v>18916.285228203567</v>
      </c>
    </row>
    <row r="25" spans="2:79" s="1" customFormat="1" x14ac:dyDescent="0.2">
      <c r="E25" s="1">
        <v>1000000</v>
      </c>
      <c r="S25" s="1" t="s">
        <v>186</v>
      </c>
      <c r="T25" s="5">
        <f>+T24/main!J4</f>
        <v>401.49410667716626</v>
      </c>
    </row>
    <row r="26" spans="2:79" s="1" customFormat="1" x14ac:dyDescent="0.2">
      <c r="D26" s="4">
        <v>2.5935496219733945E-2</v>
      </c>
      <c r="E26" s="1">
        <f>+E25*D26</f>
        <v>25935.496219733945</v>
      </c>
      <c r="F26" s="21">
        <f>271/E25</f>
        <v>2.7099999999999997E-4</v>
      </c>
      <c r="S26" s="1" t="s">
        <v>187</v>
      </c>
      <c r="T26" s="1">
        <v>408</v>
      </c>
    </row>
    <row r="27" spans="2:79" s="1" customFormat="1" x14ac:dyDescent="0.2">
      <c r="E27" s="1">
        <f>+E26*1.07</f>
        <v>27750.980955115323</v>
      </c>
      <c r="S27" s="1" t="s">
        <v>188</v>
      </c>
      <c r="T27" s="4">
        <f>+T25/T26-1</f>
        <v>-1.5945816967729787E-2</v>
      </c>
    </row>
    <row r="28" spans="2:79" s="1" customFormat="1" x14ac:dyDescent="0.2">
      <c r="E28" s="1">
        <f>+E26*1.1</f>
        <v>28529.045841707342</v>
      </c>
    </row>
    <row r="30" spans="2:79" x14ac:dyDescent="0.2">
      <c r="B30" t="s">
        <v>163</v>
      </c>
      <c r="F30" s="4"/>
      <c r="G30" s="4">
        <f>+G9/C9-1</f>
        <v>3.4766839909302849E-2</v>
      </c>
      <c r="H30" s="4">
        <f>+H9/D9-1</f>
        <v>8.8061984126073245E-3</v>
      </c>
      <c r="I30" s="4">
        <f t="shared" ref="I30:J30" si="23">+I9/E9-1</f>
        <v>1.6540019357692559E-2</v>
      </c>
      <c r="J30" s="4">
        <f t="shared" si="23"/>
        <v>3.499999999999992E-2</v>
      </c>
      <c r="O30" s="4">
        <f>+O9/N9-1</f>
        <v>0.1827958858004084</v>
      </c>
      <c r="P30" s="4">
        <f>+P9/O9-1</f>
        <v>9.7831725861970975E-2</v>
      </c>
      <c r="Q30" s="4">
        <f>+Q9/P9-1</f>
        <v>2.4932887957075822E-2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79" s="4" customFormat="1" x14ac:dyDescent="0.2">
      <c r="B31" s="4" t="s">
        <v>171</v>
      </c>
      <c r="C31" s="4">
        <f t="shared" ref="C31:J31" si="24">+C11/C9</f>
        <v>0.40043723804343001</v>
      </c>
      <c r="D31" s="4">
        <f t="shared" si="24"/>
        <v>0.39276166698750786</v>
      </c>
      <c r="E31" s="4">
        <f t="shared" si="24"/>
        <v>0.39859128389554882</v>
      </c>
      <c r="F31" s="4">
        <f t="shared" si="24"/>
        <v>0.3771670242618933</v>
      </c>
      <c r="G31" s="4">
        <f t="shared" si="24"/>
        <v>0.39245768656212671</v>
      </c>
      <c r="H31" s="4">
        <f t="shared" si="24"/>
        <v>0.38328513095360772</v>
      </c>
      <c r="I31" s="4">
        <f t="shared" si="24"/>
        <v>0.39747203667839215</v>
      </c>
      <c r="J31" s="4">
        <f t="shared" si="24"/>
        <v>0.38619358912766294</v>
      </c>
      <c r="N31" s="4">
        <f>+N11/N9</f>
        <v>0.39029050194018244</v>
      </c>
      <c r="O31" s="4">
        <f>+O11/O9</f>
        <v>0.39618732477974411</v>
      </c>
      <c r="P31" s="4">
        <f>+P11/P9</f>
        <v>0.39091474550121463</v>
      </c>
      <c r="Q31" s="4">
        <f>+Q11/Q9</f>
        <v>0.38951811472480552</v>
      </c>
    </row>
    <row r="32" spans="2:79" s="4" customFormat="1" x14ac:dyDescent="0.2">
      <c r="B32" s="4" t="s">
        <v>172</v>
      </c>
      <c r="N32" s="4">
        <f>+N18/N17</f>
        <v>0.23922292216025431</v>
      </c>
      <c r="O32" s="4">
        <f t="shared" ref="O32:Q32" si="25">+O18/O17</f>
        <v>0.24406769760955593</v>
      </c>
      <c r="P32" s="4">
        <f t="shared" si="25"/>
        <v>0.23863754982599616</v>
      </c>
      <c r="Q32" s="4">
        <f t="shared" si="25"/>
        <v>0.23161454662546102</v>
      </c>
    </row>
    <row r="33" spans="2:17" s="4" customFormat="1" x14ac:dyDescent="0.2">
      <c r="B33" s="4" t="s">
        <v>173</v>
      </c>
      <c r="N33" s="4">
        <f>+N19/N9</f>
        <v>0.11422195326576433</v>
      </c>
      <c r="O33" s="4">
        <f t="shared" ref="O33:Q33" si="26">+O19/O9</f>
        <v>0.1217023327436333</v>
      </c>
      <c r="P33" s="4">
        <f t="shared" si="26"/>
        <v>0.11519319143954609</v>
      </c>
      <c r="Q33" s="4">
        <f t="shared" si="26"/>
        <v>0.1100991285039335</v>
      </c>
    </row>
    <row r="34" spans="2:17" s="4" customFormat="1" x14ac:dyDescent="0.2"/>
    <row r="35" spans="2:17" s="26" customFormat="1" x14ac:dyDescent="0.2">
      <c r="B35" s="26" t="s">
        <v>180</v>
      </c>
      <c r="Q35" s="27">
        <v>422.779</v>
      </c>
    </row>
    <row r="36" spans="2:17" s="26" customFormat="1" x14ac:dyDescent="0.2">
      <c r="B36" s="28" t="s">
        <v>181</v>
      </c>
      <c r="Q36" s="28">
        <f>+Q35/Q9</f>
        <v>3.680585107823818E-2</v>
      </c>
    </row>
    <row r="37" spans="2:17" x14ac:dyDescent="0.2">
      <c r="Q37" s="1"/>
    </row>
    <row r="38" spans="2:17" s="20" customFormat="1" x14ac:dyDescent="0.2">
      <c r="B38" s="20" t="s">
        <v>174</v>
      </c>
      <c r="N38" s="20">
        <v>1059.2650000000001</v>
      </c>
      <c r="O38" s="20">
        <v>1481.915</v>
      </c>
      <c r="P38" s="20">
        <v>1476.2660000000001</v>
      </c>
    </row>
    <row r="39" spans="2:17" s="20" customFormat="1" x14ac:dyDescent="0.2">
      <c r="B39" s="20" t="s">
        <v>175</v>
      </c>
      <c r="N39" s="20">
        <v>-172.18700000000001</v>
      </c>
      <c r="O39" s="20">
        <v>-312.12599999999998</v>
      </c>
      <c r="P39" s="20">
        <v>-435.267</v>
      </c>
    </row>
    <row r="40" spans="2:17" s="20" customFormat="1" x14ac:dyDescent="0.2">
      <c r="B40" s="20" t="s">
        <v>176</v>
      </c>
      <c r="N40" s="20">
        <f>+N38+N39</f>
        <v>887.07800000000009</v>
      </c>
      <c r="O40" s="20">
        <f>+O38+O39</f>
        <v>1169.789</v>
      </c>
      <c r="P40" s="20">
        <f>+P38+P39</f>
        <v>1040.999</v>
      </c>
    </row>
    <row r="41" spans="2:17" s="20" customFormat="1" x14ac:dyDescent="0.2"/>
    <row r="42" spans="2:17" s="20" customFormat="1" x14ac:dyDescent="0.2">
      <c r="B42" s="20" t="s">
        <v>177</v>
      </c>
      <c r="N42" s="20">
        <v>-176.48400000000001</v>
      </c>
      <c r="O42" s="20">
        <v>-314.584</v>
      </c>
      <c r="P42" s="20">
        <v>-441.42500000000001</v>
      </c>
    </row>
    <row r="43" spans="2:17" s="20" customFormat="1" x14ac:dyDescent="0.2">
      <c r="B43" s="20" t="s">
        <v>178</v>
      </c>
      <c r="N43" s="20">
        <v>-1497.2159999999999</v>
      </c>
      <c r="O43" s="20">
        <v>-861.01400000000001</v>
      </c>
      <c r="P43" s="20">
        <v>-1006.124</v>
      </c>
    </row>
    <row r="44" spans="2:17" s="24" customFormat="1" ht="15.75" x14ac:dyDescent="0.25">
      <c r="B44" s="25" t="s">
        <v>179</v>
      </c>
      <c r="N44" s="24">
        <f>+N38+N42+N43</f>
        <v>-614.43499999999983</v>
      </c>
      <c r="O44" s="24">
        <f t="shared" ref="O44:P44" si="27">+O38+O42+O43</f>
        <v>306.31699999999989</v>
      </c>
      <c r="P44" s="24">
        <f t="shared" si="27"/>
        <v>28.717000000000098</v>
      </c>
    </row>
    <row r="45" spans="2:17" x14ac:dyDescent="0.2">
      <c r="B45" s="4"/>
    </row>
    <row r="47" spans="2:17" s="1" customFormat="1" x14ac:dyDescent="0.2">
      <c r="B47" s="1" t="s">
        <v>6</v>
      </c>
      <c r="G47" s="1">
        <v>524.596</v>
      </c>
      <c r="H47" s="1">
        <v>413.96199999999999</v>
      </c>
      <c r="I47" s="1">
        <v>177.78200000000001</v>
      </c>
      <c r="O47" s="1">
        <v>737.87699999999995</v>
      </c>
      <c r="P47" s="1">
        <v>766.59400000000005</v>
      </c>
    </row>
    <row r="48" spans="2:17" x14ac:dyDescent="0.2">
      <c r="B48" t="s">
        <v>7</v>
      </c>
      <c r="C48" s="1"/>
      <c r="D48" s="1"/>
      <c r="E48" s="1"/>
      <c r="F48" s="1"/>
      <c r="G48" s="1"/>
      <c r="H48" s="1"/>
      <c r="I48" s="1">
        <v>213.62100000000001</v>
      </c>
    </row>
    <row r="49" spans="2:9" x14ac:dyDescent="0.2">
      <c r="B49" t="s">
        <v>8</v>
      </c>
      <c r="C49" s="1"/>
      <c r="D49" s="1"/>
      <c r="E49" s="1"/>
      <c r="F49" s="1"/>
      <c r="G49" s="1"/>
      <c r="H49" s="1"/>
      <c r="I49" s="1">
        <v>2365.1860000000001</v>
      </c>
    </row>
    <row r="50" spans="2:9" x14ac:dyDescent="0.2">
      <c r="B50" t="s">
        <v>9</v>
      </c>
      <c r="C50" s="1"/>
      <c r="D50" s="1"/>
      <c r="E50" s="1"/>
      <c r="F50" s="1"/>
      <c r="G50" s="1"/>
      <c r="H50" s="1"/>
      <c r="I50" s="1">
        <f>135.514+62.759</f>
        <v>198.27300000000002</v>
      </c>
    </row>
    <row r="51" spans="2:9" x14ac:dyDescent="0.2">
      <c r="B51" t="s">
        <v>10</v>
      </c>
      <c r="C51" s="1"/>
      <c r="D51" s="1"/>
      <c r="E51" s="1"/>
      <c r="F51" s="1"/>
      <c r="G51" s="1"/>
      <c r="H51" s="1"/>
      <c r="I51" s="1">
        <v>1264.4190000000001</v>
      </c>
    </row>
    <row r="52" spans="2:9" x14ac:dyDescent="0.2">
      <c r="B52" t="s">
        <v>11</v>
      </c>
      <c r="C52" s="1"/>
      <c r="D52" s="1"/>
      <c r="E52" s="1"/>
      <c r="F52" s="1"/>
      <c r="G52" s="1"/>
      <c r="H52" s="1"/>
      <c r="I52" s="1">
        <v>1619.0550000000001</v>
      </c>
    </row>
    <row r="53" spans="2:9" x14ac:dyDescent="0.2">
      <c r="B53" t="s">
        <v>12</v>
      </c>
      <c r="C53" s="1"/>
      <c r="D53" s="1"/>
      <c r="E53" s="1"/>
      <c r="F53" s="1"/>
      <c r="G53" s="1"/>
      <c r="H53" s="1"/>
      <c r="I53" s="1">
        <v>10.87</v>
      </c>
    </row>
    <row r="54" spans="2:9" x14ac:dyDescent="0.2">
      <c r="B54" t="s">
        <v>13</v>
      </c>
      <c r="C54" s="1"/>
      <c r="D54" s="1"/>
      <c r="E54" s="1"/>
      <c r="F54" s="1"/>
      <c r="G54" s="1"/>
      <c r="H54" s="1"/>
      <c r="I54" s="1">
        <v>0.28100000000000003</v>
      </c>
    </row>
    <row r="55" spans="2:9" x14ac:dyDescent="0.2">
      <c r="B55" t="s">
        <v>14</v>
      </c>
      <c r="C55" s="1"/>
      <c r="D55" s="1"/>
      <c r="E55" s="1"/>
      <c r="F55" s="1"/>
      <c r="G55" s="1"/>
      <c r="H55" s="1"/>
      <c r="I55" s="1">
        <v>48.872</v>
      </c>
    </row>
    <row r="56" spans="2:9" x14ac:dyDescent="0.2">
      <c r="B56" t="s">
        <v>15</v>
      </c>
      <c r="C56" s="1"/>
      <c r="D56" s="1"/>
      <c r="E56" s="1"/>
      <c r="F56" s="1"/>
      <c r="G56" s="1"/>
      <c r="H56" s="1"/>
      <c r="I56" s="1">
        <v>60.127000000000002</v>
      </c>
    </row>
    <row r="57" spans="2:9" ht="15.75" x14ac:dyDescent="0.25">
      <c r="B57" s="2" t="s">
        <v>16</v>
      </c>
      <c r="C57" s="3"/>
      <c r="D57" s="3"/>
      <c r="E57" s="3"/>
      <c r="F57" s="3"/>
      <c r="G57" s="3"/>
      <c r="H57" s="3"/>
      <c r="I57" s="3">
        <f>+SUM(I47:I56)</f>
        <v>5958.4860000000008</v>
      </c>
    </row>
    <row r="58" spans="2:9" ht="15.75" x14ac:dyDescent="0.25">
      <c r="B58" s="2"/>
      <c r="C58" s="3"/>
      <c r="D58" s="3"/>
      <c r="E58" s="3"/>
      <c r="F58" s="3"/>
      <c r="G58" s="3"/>
      <c r="H58" s="3"/>
      <c r="I58" s="3"/>
    </row>
    <row r="59" spans="2:9" x14ac:dyDescent="0.2">
      <c r="B59" t="s">
        <v>4</v>
      </c>
      <c r="C59" s="1"/>
      <c r="D59" s="1"/>
      <c r="E59" s="1"/>
      <c r="F59" s="1"/>
      <c r="G59" s="1"/>
      <c r="H59" s="1"/>
      <c r="I59" s="1">
        <v>199.7</v>
      </c>
    </row>
    <row r="60" spans="2:9" x14ac:dyDescent="0.2">
      <c r="B60" t="s">
        <v>17</v>
      </c>
      <c r="C60" s="1"/>
      <c r="D60" s="1"/>
      <c r="E60" s="1"/>
      <c r="F60" s="1"/>
      <c r="G60" s="1"/>
      <c r="H60" s="1"/>
      <c r="I60" s="1">
        <v>593.21900000000005</v>
      </c>
    </row>
    <row r="61" spans="2:9" x14ac:dyDescent="0.2">
      <c r="B61" t="s">
        <v>18</v>
      </c>
      <c r="C61" s="1"/>
      <c r="D61" s="1"/>
      <c r="E61" s="1"/>
      <c r="F61" s="1"/>
      <c r="G61" s="1"/>
      <c r="H61" s="1"/>
      <c r="I61" s="1">
        <v>333.46300000000002</v>
      </c>
    </row>
    <row r="62" spans="2:9" x14ac:dyDescent="0.2">
      <c r="B62" t="s">
        <v>19</v>
      </c>
      <c r="C62" s="1"/>
      <c r="D62" s="1"/>
      <c r="E62" s="1"/>
      <c r="F62" s="1"/>
      <c r="G62" s="1"/>
      <c r="H62" s="1"/>
      <c r="I62" s="1">
        <v>405.04</v>
      </c>
    </row>
    <row r="63" spans="2:9" x14ac:dyDescent="0.2">
      <c r="B63" t="s">
        <v>11</v>
      </c>
      <c r="C63" s="1"/>
      <c r="D63" s="1"/>
      <c r="E63" s="1"/>
      <c r="F63" s="1"/>
      <c r="G63" s="1"/>
      <c r="H63" s="1"/>
      <c r="I63" s="1">
        <f>284.985+1656.317</f>
        <v>1941.3020000000001</v>
      </c>
    </row>
    <row r="64" spans="2:9" x14ac:dyDescent="0.2">
      <c r="B64" t="s">
        <v>20</v>
      </c>
      <c r="C64" s="1"/>
      <c r="D64" s="1"/>
      <c r="E64" s="1"/>
      <c r="F64" s="1"/>
      <c r="G64" s="1"/>
      <c r="H64" s="1"/>
      <c r="I64" s="1">
        <v>91.728999999999999</v>
      </c>
    </row>
    <row r="65" spans="2:9" x14ac:dyDescent="0.2">
      <c r="B65" t="s">
        <v>21</v>
      </c>
      <c r="C65" s="1"/>
      <c r="D65" s="1"/>
      <c r="E65" s="1"/>
      <c r="F65" s="1"/>
      <c r="G65" s="1"/>
      <c r="H65" s="1"/>
      <c r="I65" s="1">
        <v>65.024000000000001</v>
      </c>
    </row>
    <row r="66" spans="2:9" ht="15.75" x14ac:dyDescent="0.25">
      <c r="B66" s="2" t="s">
        <v>22</v>
      </c>
      <c r="C66" s="3"/>
      <c r="D66" s="3"/>
      <c r="E66" s="3"/>
      <c r="F66" s="3"/>
      <c r="G66" s="3"/>
      <c r="H66" s="3"/>
      <c r="I66" s="3">
        <f>+SUM(I59:I65)</f>
        <v>3629.4769999999999</v>
      </c>
    </row>
    <row r="67" spans="2:9" x14ac:dyDescent="0.2">
      <c r="B67" t="s">
        <v>23</v>
      </c>
      <c r="C67" s="1"/>
      <c r="D67" s="1"/>
      <c r="E67" s="1"/>
      <c r="F67" s="1"/>
      <c r="G67" s="1"/>
      <c r="H67" s="1"/>
      <c r="I67" s="1">
        <v>2329.009</v>
      </c>
    </row>
    <row r="68" spans="2:9" x14ac:dyDescent="0.2">
      <c r="B68" t="s">
        <v>24</v>
      </c>
      <c r="C68" s="1"/>
      <c r="D68" s="1"/>
      <c r="E68" s="1"/>
      <c r="F68" s="1"/>
      <c r="G68" s="1"/>
      <c r="H68" s="1"/>
      <c r="I68" s="1">
        <f>+I66+I67</f>
        <v>5958.4859999999999</v>
      </c>
    </row>
  </sheetData>
  <pageMargins left="0.7" right="0.7" top="0.75" bottom="0.75" header="0.3" footer="0.3"/>
  <ignoredErrors>
    <ignoredError sqref="F11 F17:F18 J11 J18 Q11 Q17:Q18 R18:AB18" formula="1"/>
    <ignoredError sqref="P2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Geli Braholli</dc:creator>
  <cp:lastModifiedBy>Geli Braholli</cp:lastModifiedBy>
  <dcterms:created xsi:type="dcterms:W3CDTF">2025-01-15T20:33:33Z</dcterms:created>
  <dcterms:modified xsi:type="dcterms:W3CDTF">2025-01-26T19:27:07Z</dcterms:modified>
</cp:coreProperties>
</file>