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odels\"/>
    </mc:Choice>
  </mc:AlternateContent>
  <xr:revisionPtr revIDLastSave="0" documentId="13_ncr:1_{19033418-5CE6-43F0-9C73-6AF79363DE25}" xr6:coauthVersionLast="47" xr6:coauthVersionMax="47" xr10:uidLastSave="{00000000-0000-0000-0000-000000000000}"/>
  <bookViews>
    <workbookView xWindow="-120" yWindow="-120" windowWidth="29040" windowHeight="15840" xr2:uid="{1EF94F5B-0FDC-4BC1-B7A1-34A3E9A47F6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6" i="1"/>
  <c r="I5" i="1"/>
  <c r="I4" i="1"/>
  <c r="J49" i="2"/>
  <c r="S45" i="2"/>
  <c r="T45" i="2" s="1"/>
  <c r="U45" i="2" s="1"/>
  <c r="V45" i="2" s="1"/>
  <c r="W45" i="2" s="1"/>
  <c r="X45" i="2" s="1"/>
  <c r="Y45" i="2" s="1"/>
  <c r="Z45" i="2" s="1"/>
  <c r="AA45" i="2" s="1"/>
  <c r="AB45" i="2" s="1"/>
  <c r="AC45" i="2" s="1"/>
  <c r="AD45" i="2" s="1"/>
  <c r="AE45" i="2" s="1"/>
  <c r="AF45" i="2" s="1"/>
  <c r="AG45" i="2" s="1"/>
  <c r="AH45" i="2" s="1"/>
  <c r="AI45" i="2" s="1"/>
  <c r="AJ45" i="2" s="1"/>
  <c r="AK45" i="2" s="1"/>
  <c r="AL45" i="2" s="1"/>
  <c r="AM45" i="2" s="1"/>
  <c r="AN45" i="2" s="1"/>
  <c r="AO45" i="2" s="1"/>
  <c r="AP45" i="2" s="1"/>
  <c r="AQ45" i="2" s="1"/>
  <c r="AR45" i="2" s="1"/>
  <c r="AS45" i="2" s="1"/>
  <c r="AT45" i="2" s="1"/>
  <c r="AU45" i="2" s="1"/>
  <c r="AV45" i="2" s="1"/>
  <c r="AW45" i="2" s="1"/>
  <c r="AX45" i="2" s="1"/>
  <c r="AY45" i="2" s="1"/>
  <c r="AZ45" i="2" s="1"/>
  <c r="BA45" i="2" s="1"/>
  <c r="BB45" i="2" s="1"/>
  <c r="BC45" i="2" s="1"/>
  <c r="BD45" i="2" s="1"/>
  <c r="BE45" i="2" s="1"/>
  <c r="R45" i="2"/>
  <c r="G45" i="2"/>
  <c r="H45" i="2"/>
  <c r="I45" i="2"/>
  <c r="J45" i="2"/>
  <c r="K45" i="2"/>
  <c r="L45" i="2"/>
  <c r="M45" i="2"/>
  <c r="N45" i="2"/>
  <c r="O45" i="2"/>
  <c r="P45" i="2"/>
  <c r="Q45" i="2"/>
  <c r="F45" i="2"/>
  <c r="F29" i="2"/>
  <c r="G29" i="2"/>
  <c r="H29" i="2"/>
  <c r="I29" i="2"/>
  <c r="J29" i="2"/>
  <c r="K29" i="2"/>
  <c r="L29" i="2"/>
  <c r="M29" i="2"/>
  <c r="N29" i="2"/>
  <c r="O29" i="2"/>
  <c r="P29" i="2"/>
  <c r="Q29" i="2"/>
  <c r="F30" i="2"/>
  <c r="G30" i="2"/>
  <c r="H30" i="2"/>
  <c r="I30" i="2"/>
  <c r="J30" i="2"/>
  <c r="K30" i="2"/>
  <c r="L30" i="2"/>
  <c r="M30" i="2"/>
  <c r="N30" i="2"/>
  <c r="O30" i="2"/>
  <c r="P30" i="2"/>
  <c r="Q30" i="2"/>
  <c r="F31" i="2"/>
  <c r="G31" i="2"/>
  <c r="H31" i="2"/>
  <c r="I31" i="2"/>
  <c r="J31" i="2"/>
  <c r="K31" i="2"/>
  <c r="L31" i="2"/>
  <c r="M31" i="2"/>
  <c r="N31" i="2"/>
  <c r="O31" i="2"/>
  <c r="P31" i="2"/>
  <c r="Q31" i="2"/>
  <c r="F32" i="2"/>
  <c r="G32" i="2"/>
  <c r="H32" i="2"/>
  <c r="I32" i="2"/>
  <c r="J32" i="2"/>
  <c r="K32" i="2"/>
  <c r="L32" i="2"/>
  <c r="M32" i="2"/>
  <c r="N32" i="2"/>
  <c r="O32" i="2"/>
  <c r="P32" i="2"/>
  <c r="Q32" i="2"/>
  <c r="F33" i="2"/>
  <c r="G33" i="2"/>
  <c r="H33" i="2"/>
  <c r="I33" i="2"/>
  <c r="J33" i="2"/>
  <c r="K33" i="2"/>
  <c r="L33" i="2"/>
  <c r="M33" i="2"/>
  <c r="N33" i="2"/>
  <c r="O33" i="2"/>
  <c r="P33" i="2"/>
  <c r="Q33" i="2"/>
  <c r="F34" i="2"/>
  <c r="G34" i="2"/>
  <c r="H34" i="2"/>
  <c r="I34" i="2"/>
  <c r="J34" i="2"/>
  <c r="K34" i="2"/>
  <c r="L34" i="2"/>
  <c r="M34" i="2"/>
  <c r="N34" i="2"/>
  <c r="O34" i="2"/>
  <c r="P34" i="2"/>
  <c r="Q34" i="2"/>
  <c r="F35" i="2"/>
  <c r="G35" i="2"/>
  <c r="H35" i="2"/>
  <c r="I35" i="2"/>
  <c r="J35" i="2"/>
  <c r="K35" i="2"/>
  <c r="L35" i="2"/>
  <c r="M35" i="2"/>
  <c r="N35" i="2"/>
  <c r="O35" i="2"/>
  <c r="P35" i="2"/>
  <c r="Q35" i="2"/>
  <c r="F36" i="2"/>
  <c r="G36" i="2"/>
  <c r="H36" i="2"/>
  <c r="I36" i="2"/>
  <c r="J36" i="2"/>
  <c r="K36" i="2"/>
  <c r="L36" i="2"/>
  <c r="M36" i="2"/>
  <c r="N36" i="2"/>
  <c r="O36" i="2"/>
  <c r="P36" i="2"/>
  <c r="Q36" i="2"/>
  <c r="F37" i="2"/>
  <c r="G37" i="2"/>
  <c r="H37" i="2"/>
  <c r="I37" i="2"/>
  <c r="J37" i="2"/>
  <c r="K37" i="2"/>
  <c r="L37" i="2"/>
  <c r="M37" i="2"/>
  <c r="N37" i="2"/>
  <c r="O37" i="2"/>
  <c r="P37" i="2"/>
  <c r="Q37" i="2"/>
  <c r="F38" i="2"/>
  <c r="G38" i="2"/>
  <c r="H38" i="2"/>
  <c r="I38" i="2"/>
  <c r="J38" i="2"/>
  <c r="K38" i="2"/>
  <c r="L38" i="2"/>
  <c r="M38" i="2"/>
  <c r="N38" i="2"/>
  <c r="O38" i="2"/>
  <c r="P38" i="2"/>
  <c r="Q38" i="2"/>
  <c r="F39" i="2"/>
  <c r="G39" i="2"/>
  <c r="H39" i="2"/>
  <c r="I39" i="2"/>
  <c r="J39" i="2"/>
  <c r="K39" i="2"/>
  <c r="L39" i="2"/>
  <c r="M39" i="2"/>
  <c r="N39" i="2"/>
  <c r="O39" i="2"/>
  <c r="P39" i="2"/>
  <c r="Q39" i="2"/>
  <c r="F40" i="2"/>
  <c r="G40" i="2"/>
  <c r="H40" i="2"/>
  <c r="I40" i="2"/>
  <c r="J40" i="2"/>
  <c r="K40" i="2"/>
  <c r="L40" i="2"/>
  <c r="M40" i="2"/>
  <c r="N40" i="2"/>
  <c r="O40" i="2"/>
  <c r="P40" i="2"/>
  <c r="Q40" i="2"/>
  <c r="E40" i="2"/>
  <c r="D40" i="2"/>
  <c r="F19" i="2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Q19" i="2" s="1"/>
  <c r="F18" i="2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F17" i="2"/>
  <c r="G17" i="2" s="1"/>
  <c r="F4" i="2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I15" i="2"/>
  <c r="I16" i="2" s="1"/>
  <c r="K14" i="2"/>
  <c r="K15" i="2" s="1"/>
  <c r="L13" i="2"/>
  <c r="M13" i="2" s="1"/>
  <c r="N13" i="2" s="1"/>
  <c r="O13" i="2" s="1"/>
  <c r="P13" i="2" s="1"/>
  <c r="Q13" i="2" s="1"/>
  <c r="L12" i="2"/>
  <c r="M12" i="2" s="1"/>
  <c r="N12" i="2" s="1"/>
  <c r="O12" i="2" s="1"/>
  <c r="P12" i="2" s="1"/>
  <c r="Q12" i="2" s="1"/>
  <c r="L11" i="2"/>
  <c r="M11" i="2" s="1"/>
  <c r="N11" i="2" s="1"/>
  <c r="O11" i="2" s="1"/>
  <c r="P11" i="2" s="1"/>
  <c r="Q11" i="2" s="1"/>
  <c r="L10" i="2"/>
  <c r="M10" i="2" s="1"/>
  <c r="N10" i="2" s="1"/>
  <c r="O10" i="2" s="1"/>
  <c r="P10" i="2" s="1"/>
  <c r="Q10" i="2" s="1"/>
  <c r="L9" i="2"/>
  <c r="M9" i="2" s="1"/>
  <c r="N9" i="2" s="1"/>
  <c r="O9" i="2" s="1"/>
  <c r="P9" i="2" s="1"/>
  <c r="Q9" i="2" s="1"/>
  <c r="L8" i="2"/>
  <c r="M8" i="2" s="1"/>
  <c r="N8" i="2" s="1"/>
  <c r="O8" i="2" s="1"/>
  <c r="P8" i="2" s="1"/>
  <c r="Q8" i="2" s="1"/>
  <c r="L7" i="2"/>
  <c r="M7" i="2" s="1"/>
  <c r="N7" i="2" s="1"/>
  <c r="O7" i="2" s="1"/>
  <c r="P7" i="2" s="1"/>
  <c r="Q7" i="2" s="1"/>
  <c r="L6" i="2"/>
  <c r="M6" i="2" s="1"/>
  <c r="N6" i="2" s="1"/>
  <c r="O6" i="2" s="1"/>
  <c r="P6" i="2" s="1"/>
  <c r="Q6" i="2" s="1"/>
  <c r="L5" i="2"/>
  <c r="M5" i="2" s="1"/>
  <c r="N5" i="2" s="1"/>
  <c r="F12" i="2"/>
  <c r="G12" i="2" s="1"/>
  <c r="H12" i="2" s="1"/>
  <c r="I12" i="2" s="1"/>
  <c r="J12" i="2" s="1"/>
  <c r="F13" i="2"/>
  <c r="G13" i="2" s="1"/>
  <c r="H13" i="2" s="1"/>
  <c r="I13" i="2" s="1"/>
  <c r="J13" i="2" s="1"/>
  <c r="F11" i="2"/>
  <c r="G11" i="2" s="1"/>
  <c r="H11" i="2" s="1"/>
  <c r="I11" i="2" s="1"/>
  <c r="J11" i="2" s="1"/>
  <c r="F10" i="2"/>
  <c r="G10" i="2" s="1"/>
  <c r="H10" i="2" s="1"/>
  <c r="I10" i="2" s="1"/>
  <c r="J10" i="2" s="1"/>
  <c r="F9" i="2"/>
  <c r="G9" i="2" s="1"/>
  <c r="H9" i="2" s="1"/>
  <c r="I9" i="2" s="1"/>
  <c r="J9" i="2" s="1"/>
  <c r="F8" i="2"/>
  <c r="G8" i="2" s="1"/>
  <c r="H8" i="2" s="1"/>
  <c r="I8" i="2" s="1"/>
  <c r="J8" i="2" s="1"/>
  <c r="F7" i="2"/>
  <c r="G7" i="2" s="1"/>
  <c r="H7" i="2" s="1"/>
  <c r="I7" i="2" s="1"/>
  <c r="J7" i="2" s="1"/>
  <c r="F6" i="2"/>
  <c r="G6" i="2" s="1"/>
  <c r="H6" i="2" s="1"/>
  <c r="I6" i="2" s="1"/>
  <c r="J6" i="2" s="1"/>
  <c r="F5" i="2"/>
  <c r="G5" i="2" s="1"/>
  <c r="H5" i="2" s="1"/>
  <c r="I5" i="2" s="1"/>
  <c r="J5" i="2" s="1"/>
  <c r="D48" i="2"/>
  <c r="E48" i="2"/>
  <c r="D45" i="2"/>
  <c r="E45" i="2"/>
  <c r="E37" i="2"/>
  <c r="E36" i="2"/>
  <c r="E33" i="2"/>
  <c r="E32" i="2"/>
  <c r="E31" i="2"/>
  <c r="E35" i="2"/>
  <c r="E34" i="2"/>
  <c r="E30" i="2"/>
  <c r="E29" i="2"/>
  <c r="D21" i="2"/>
  <c r="E24" i="2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E23" i="2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E21" i="2"/>
  <c r="D14" i="2"/>
  <c r="D16" i="2" s="1"/>
  <c r="D39" i="2" s="1"/>
  <c r="E14" i="2"/>
  <c r="E16" i="2" s="1"/>
  <c r="E22" i="2" s="1"/>
  <c r="K16" i="2" l="1"/>
  <c r="E39" i="2"/>
  <c r="H17" i="2"/>
  <c r="G21" i="2"/>
  <c r="N14" i="2"/>
  <c r="O5" i="2"/>
  <c r="F21" i="2"/>
  <c r="M14" i="2"/>
  <c r="J14" i="2"/>
  <c r="H14" i="2"/>
  <c r="G14" i="2"/>
  <c r="F14" i="2"/>
  <c r="L14" i="2"/>
  <c r="E38" i="2"/>
  <c r="E25" i="2"/>
  <c r="E27" i="2" s="1"/>
  <c r="D22" i="2"/>
  <c r="D25" i="2" s="1"/>
  <c r="D27" i="2" s="1"/>
  <c r="M15" i="2" l="1"/>
  <c r="M16" i="2" s="1"/>
  <c r="G15" i="2"/>
  <c r="G16" i="2" s="1"/>
  <c r="G22" i="2" s="1"/>
  <c r="G25" i="2" s="1"/>
  <c r="F15" i="2"/>
  <c r="F16" i="2" s="1"/>
  <c r="F22" i="2" s="1"/>
  <c r="F25" i="2" s="1"/>
  <c r="N15" i="2"/>
  <c r="N16" i="2" s="1"/>
  <c r="J15" i="2"/>
  <c r="J16" i="2"/>
  <c r="O14" i="2"/>
  <c r="P5" i="2"/>
  <c r="I17" i="2"/>
  <c r="H21" i="2"/>
  <c r="H15" i="2"/>
  <c r="H16" i="2" s="1"/>
  <c r="L15" i="2"/>
  <c r="L16" i="2" s="1"/>
  <c r="H22" i="2" l="1"/>
  <c r="H25" i="2" s="1"/>
  <c r="H26" i="2" s="1"/>
  <c r="H27" i="2" s="1"/>
  <c r="G26" i="2"/>
  <c r="G27" i="2" s="1"/>
  <c r="P14" i="2"/>
  <c r="Q5" i="2"/>
  <c r="Q14" i="2" s="1"/>
  <c r="O15" i="2"/>
  <c r="O16" i="2" s="1"/>
  <c r="F26" i="2"/>
  <c r="F27" i="2" s="1"/>
  <c r="J17" i="2"/>
  <c r="I21" i="2"/>
  <c r="I22" i="2" s="1"/>
  <c r="I25" i="2" s="1"/>
  <c r="Q15" i="2" l="1"/>
  <c r="Q16" i="2"/>
  <c r="K17" i="2"/>
  <c r="J21" i="2"/>
  <c r="J22" i="2" s="1"/>
  <c r="J25" i="2" s="1"/>
  <c r="I26" i="2"/>
  <c r="I27" i="2" s="1"/>
  <c r="P15" i="2"/>
  <c r="P16" i="2" s="1"/>
  <c r="J26" i="2" l="1"/>
  <c r="J27" i="2"/>
  <c r="L17" i="2"/>
  <c r="K21" i="2"/>
  <c r="K22" i="2" s="1"/>
  <c r="K25" i="2" s="1"/>
  <c r="K26" i="2" l="1"/>
  <c r="K27" i="2"/>
  <c r="M17" i="2"/>
  <c r="L21" i="2"/>
  <c r="L22" i="2" s="1"/>
  <c r="L25" i="2" s="1"/>
  <c r="L26" i="2" l="1"/>
  <c r="L27" i="2"/>
  <c r="N17" i="2"/>
  <c r="M21" i="2"/>
  <c r="M22" i="2" s="1"/>
  <c r="M25" i="2" s="1"/>
  <c r="M26" i="2" l="1"/>
  <c r="M27" i="2"/>
  <c r="O17" i="2"/>
  <c r="N21" i="2"/>
  <c r="N22" i="2" s="1"/>
  <c r="N25" i="2" s="1"/>
  <c r="N26" i="2" l="1"/>
  <c r="N27" i="2"/>
  <c r="P17" i="2"/>
  <c r="O21" i="2"/>
  <c r="O22" i="2" s="1"/>
  <c r="O25" i="2" s="1"/>
  <c r="O26" i="2" l="1"/>
  <c r="O27" i="2" s="1"/>
  <c r="Q17" i="2"/>
  <c r="Q21" i="2" s="1"/>
  <c r="Q22" i="2" s="1"/>
  <c r="Q25" i="2" s="1"/>
  <c r="P21" i="2"/>
  <c r="P22" i="2" s="1"/>
  <c r="P25" i="2" s="1"/>
  <c r="P26" i="2" l="1"/>
  <c r="P27" i="2" s="1"/>
  <c r="Q26" i="2"/>
  <c r="Q27" i="2" s="1"/>
</calcChain>
</file>

<file path=xl/sharedStrings.xml><?xml version="1.0" encoding="utf-8"?>
<sst xmlns="http://schemas.openxmlformats.org/spreadsheetml/2006/main" count="58" uniqueCount="58">
  <si>
    <t xml:space="preserve">Price </t>
  </si>
  <si>
    <t xml:space="preserve">Shares </t>
  </si>
  <si>
    <t>MC</t>
  </si>
  <si>
    <t xml:space="preserve">Cash </t>
  </si>
  <si>
    <t xml:space="preserve">Debt </t>
  </si>
  <si>
    <t xml:space="preserve">EV </t>
  </si>
  <si>
    <t>Founded</t>
  </si>
  <si>
    <t xml:space="preserve">CEO </t>
  </si>
  <si>
    <t xml:space="preserve">Business segments </t>
  </si>
  <si>
    <t xml:space="preserve">Power solutions and protection </t>
  </si>
  <si>
    <t xml:space="preserve">Connectivity solutions = optic fiber, copper-based, RF and RJ connectors and cable assembles </t>
  </si>
  <si>
    <t xml:space="preserve">Magnetic Solutions = integrated connector modules, power transformers </t>
  </si>
  <si>
    <t xml:space="preserve">Feb 2023 acquired AG - Germany based business to boost EV presence </t>
  </si>
  <si>
    <t xml:space="preserve">March 2021 acquired EOS Power throught a stock purchase agreement , Mumbai located business </t>
  </si>
  <si>
    <t xml:space="preserve">Jan 2021 acquired Connectors , a Cretex division </t>
  </si>
  <si>
    <t xml:space="preserve">Dec 2019 acquired CUI INC , which contributed in sales : </t>
  </si>
  <si>
    <t xml:space="preserve">50 mill for 2023 </t>
  </si>
  <si>
    <t xml:space="preserve">64 mill for 2022 </t>
  </si>
  <si>
    <t xml:space="preserve">55 mill for 2021 </t>
  </si>
  <si>
    <t xml:space="preserve">43 mill for 2020 </t>
  </si>
  <si>
    <t>Main</t>
  </si>
  <si>
    <t>Revenue</t>
  </si>
  <si>
    <t xml:space="preserve">Power solutions USA </t>
  </si>
  <si>
    <t xml:space="preserve">Power solutions EU  </t>
  </si>
  <si>
    <t xml:space="preserve">Power solutions ASIA </t>
  </si>
  <si>
    <t xml:space="preserve">Connectivity USA </t>
  </si>
  <si>
    <t xml:space="preserve">Connectivity EU  </t>
  </si>
  <si>
    <t xml:space="preserve">Connectivity Asia </t>
  </si>
  <si>
    <t xml:space="preserve">Magnetic USA </t>
  </si>
  <si>
    <t xml:space="preserve">Magnetic EU </t>
  </si>
  <si>
    <t xml:space="preserve">Magnetic Asia </t>
  </si>
  <si>
    <t xml:space="preserve">COGS </t>
  </si>
  <si>
    <t>Gross</t>
  </si>
  <si>
    <t xml:space="preserve">RD </t>
  </si>
  <si>
    <t xml:space="preserve">SGA </t>
  </si>
  <si>
    <t xml:space="preserve">Restructuring </t>
  </si>
  <si>
    <t xml:space="preserve">PPE sale </t>
  </si>
  <si>
    <t xml:space="preserve">OpEx </t>
  </si>
  <si>
    <t xml:space="preserve">OpInc </t>
  </si>
  <si>
    <t xml:space="preserve">Interest </t>
  </si>
  <si>
    <t xml:space="preserve">Other </t>
  </si>
  <si>
    <t xml:space="preserve">Pretax </t>
  </si>
  <si>
    <t>Tax</t>
  </si>
  <si>
    <t xml:space="preserve">Net income </t>
  </si>
  <si>
    <t xml:space="preserve">Revenue y/y </t>
  </si>
  <si>
    <t xml:space="preserve">CFFO </t>
  </si>
  <si>
    <t xml:space="preserve">CFFI </t>
  </si>
  <si>
    <t xml:space="preserve">CapEx </t>
  </si>
  <si>
    <t>FCF</t>
  </si>
  <si>
    <t xml:space="preserve">CFFF </t>
  </si>
  <si>
    <t xml:space="preserve">FX </t>
  </si>
  <si>
    <t xml:space="preserve">Change </t>
  </si>
  <si>
    <t xml:space="preserve">Gross </t>
  </si>
  <si>
    <t xml:space="preserve">Tax rate </t>
  </si>
  <si>
    <t>terminal</t>
  </si>
  <si>
    <t xml:space="preserve">discount </t>
  </si>
  <si>
    <t xml:space="preserve">npv </t>
  </si>
  <si>
    <t xml:space="preserve">Farouq Tuweiq (ex CFO)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</si>
</sst>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2"/>
    <xf numFmtId="9" fontId="0" fillId="0" borderId="0" xfId="1" applyFont="1"/>
    <xf numFmtId="3" fontId="0" fillId="0" borderId="0" xfId="0" applyNumberFormat="1"/>
    <xf numFmtId="3" fontId="2" fillId="0" borderId="0" xfId="0" applyNumberFormat="1" applyFont="1"/>
    <xf numFmtId="9" fontId="2" fillId="0" borderId="0" xfId="1" applyFont="1"/>
    <xf numFmtId="8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756397</xdr:colOff>
      <xdr:row>27</xdr:row>
      <xdr:rowOff>0</xdr:rowOff>
    </xdr:from>
    <xdr:to>
      <xdr:col>24</xdr:col>
      <xdr:colOff>137272</xdr:colOff>
      <xdr:row>57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DFF15C-08E8-8417-8D6E-6BF3E679F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397" y="5154706"/>
          <a:ext cx="17668875" cy="5848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23812</xdr:colOff>
      <xdr:row>59</xdr:row>
      <xdr:rowOff>95250</xdr:rowOff>
    </xdr:from>
    <xdr:to>
      <xdr:col>24</xdr:col>
      <xdr:colOff>204787</xdr:colOff>
      <xdr:row>82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24F03F-9C69-EE68-ADD4-F46208EF7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812" y="11334750"/>
          <a:ext cx="17706975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23813</xdr:colOff>
      <xdr:row>84</xdr:row>
      <xdr:rowOff>95250</xdr:rowOff>
    </xdr:from>
    <xdr:to>
      <xdr:col>24</xdr:col>
      <xdr:colOff>204788</xdr:colOff>
      <xdr:row>108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9A15428-B88E-F083-C85B-1C086B4FC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813" y="16097250"/>
          <a:ext cx="17706975" cy="451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5</xdr:col>
      <xdr:colOff>19050</xdr:colOff>
      <xdr:row>50</xdr:row>
      <xdr:rowOff>38100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CF932726-A3E2-66E8-96CF-C90DFBBFE8CF}"/>
            </a:ext>
          </a:extLst>
        </xdr:cNvPr>
        <xdr:cNvCxnSpPr/>
      </xdr:nvCxnSpPr>
      <xdr:spPr>
        <a:xfrm>
          <a:off x="4295775" y="190500"/>
          <a:ext cx="9525" cy="101536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24B34-DF28-4573-A519-0ACC918779D7}">
  <dimension ref="B3:I26"/>
  <sheetViews>
    <sheetView tabSelected="1" zoomScale="160" zoomScaleNormal="160" workbookViewId="0">
      <selection activeCell="C17" sqref="C17"/>
    </sheetView>
  </sheetViews>
  <sheetFormatPr defaultRowHeight="15" x14ac:dyDescent="0.2"/>
  <sheetData>
    <row r="3" spans="2:9" x14ac:dyDescent="0.2">
      <c r="B3" t="s">
        <v>6</v>
      </c>
      <c r="C3">
        <v>1949</v>
      </c>
      <c r="H3" t="s">
        <v>0</v>
      </c>
      <c r="I3">
        <v>81.27</v>
      </c>
    </row>
    <row r="4" spans="2:9" x14ac:dyDescent="0.2">
      <c r="B4" t="s">
        <v>7</v>
      </c>
      <c r="C4" t="s">
        <v>57</v>
      </c>
      <c r="H4" t="s">
        <v>1</v>
      </c>
      <c r="I4" s="4">
        <f>2.115677+10.432548</f>
        <v>12.548225</v>
      </c>
    </row>
    <row r="5" spans="2:9" x14ac:dyDescent="0.2">
      <c r="H5" t="s">
        <v>2</v>
      </c>
      <c r="I5" s="4">
        <f>+I3*I4</f>
        <v>1019.79424575</v>
      </c>
    </row>
    <row r="6" spans="2:9" x14ac:dyDescent="0.2">
      <c r="H6" t="s">
        <v>3</v>
      </c>
      <c r="I6" s="4">
        <f>84.976+58.822</f>
        <v>143.798</v>
      </c>
    </row>
    <row r="7" spans="2:9" x14ac:dyDescent="0.2">
      <c r="H7" t="s">
        <v>4</v>
      </c>
      <c r="I7" s="4">
        <v>60</v>
      </c>
    </row>
    <row r="8" spans="2:9" x14ac:dyDescent="0.2">
      <c r="H8" t="s">
        <v>5</v>
      </c>
      <c r="I8" s="4">
        <f>+I5-I6+I7</f>
        <v>935.99624574999996</v>
      </c>
    </row>
    <row r="12" spans="2:9" ht="15.75" x14ac:dyDescent="0.25">
      <c r="B12" s="1" t="s">
        <v>8</v>
      </c>
    </row>
    <row r="13" spans="2:9" x14ac:dyDescent="0.2">
      <c r="B13" t="s">
        <v>9</v>
      </c>
    </row>
    <row r="14" spans="2:9" x14ac:dyDescent="0.2">
      <c r="B14" t="s">
        <v>10</v>
      </c>
    </row>
    <row r="15" spans="2:9" x14ac:dyDescent="0.2">
      <c r="B15" t="s">
        <v>11</v>
      </c>
    </row>
    <row r="18" spans="2:2" x14ac:dyDescent="0.2">
      <c r="B18" t="s">
        <v>12</v>
      </c>
    </row>
    <row r="19" spans="2:2" x14ac:dyDescent="0.2">
      <c r="B19" t="s">
        <v>13</v>
      </c>
    </row>
    <row r="20" spans="2:2" x14ac:dyDescent="0.2">
      <c r="B20" t="s">
        <v>14</v>
      </c>
    </row>
    <row r="22" spans="2:2" x14ac:dyDescent="0.2">
      <c r="B22" t="s">
        <v>15</v>
      </c>
    </row>
    <row r="23" spans="2:2" x14ac:dyDescent="0.2">
      <c r="B23" t="s">
        <v>16</v>
      </c>
    </row>
    <row r="24" spans="2:2" x14ac:dyDescent="0.2">
      <c r="B24" t="s">
        <v>17</v>
      </c>
    </row>
    <row r="25" spans="2:2" x14ac:dyDescent="0.2">
      <c r="B25" t="s">
        <v>18</v>
      </c>
    </row>
    <row r="26" spans="2:2" x14ac:dyDescent="0.2">
      <c r="B26" t="s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F21AC-E33C-4B73-837C-906C03C4CE6E}">
  <dimension ref="A1:BE49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K40" sqref="K40"/>
    </sheetView>
  </sheetViews>
  <sheetFormatPr defaultRowHeight="15" x14ac:dyDescent="0.2"/>
  <cols>
    <col min="1" max="1" width="4.77734375" bestFit="1" customWidth="1"/>
    <col min="2" max="2" width="18.5546875" customWidth="1"/>
    <col min="10" max="10" width="9.44140625" bestFit="1" customWidth="1"/>
  </cols>
  <sheetData>
    <row r="1" spans="1:17" x14ac:dyDescent="0.2">
      <c r="A1" s="2" t="s">
        <v>20</v>
      </c>
    </row>
    <row r="4" spans="1:17" x14ac:dyDescent="0.2">
      <c r="D4">
        <v>2022</v>
      </c>
      <c r="E4">
        <v>2023</v>
      </c>
      <c r="F4">
        <f>+E4+1</f>
        <v>2024</v>
      </c>
      <c r="G4">
        <f t="shared" ref="G4:Q4" si="0">+F4+1</f>
        <v>2025</v>
      </c>
      <c r="H4">
        <f t="shared" si="0"/>
        <v>2026</v>
      </c>
      <c r="I4">
        <f t="shared" si="0"/>
        <v>2027</v>
      </c>
      <c r="J4">
        <f t="shared" si="0"/>
        <v>2028</v>
      </c>
      <c r="K4">
        <f t="shared" si="0"/>
        <v>2029</v>
      </c>
      <c r="L4">
        <f t="shared" si="0"/>
        <v>2030</v>
      </c>
      <c r="M4">
        <f t="shared" si="0"/>
        <v>2031</v>
      </c>
      <c r="N4">
        <f t="shared" si="0"/>
        <v>2032</v>
      </c>
      <c r="O4">
        <f t="shared" si="0"/>
        <v>2033</v>
      </c>
      <c r="P4">
        <f t="shared" si="0"/>
        <v>2034</v>
      </c>
      <c r="Q4">
        <f t="shared" si="0"/>
        <v>2035</v>
      </c>
    </row>
    <row r="5" spans="1:17" s="4" customFormat="1" x14ac:dyDescent="0.2">
      <c r="B5" s="4" t="s">
        <v>22</v>
      </c>
      <c r="D5" s="4">
        <v>217.381</v>
      </c>
      <c r="E5" s="4">
        <v>233.01599999999999</v>
      </c>
      <c r="F5" s="4">
        <f>+E5*1.07</f>
        <v>249.32712000000001</v>
      </c>
      <c r="G5" s="4">
        <f>+F5*1.07</f>
        <v>266.78001840000002</v>
      </c>
      <c r="H5" s="4">
        <f>+G5*1.07</f>
        <v>285.45461968800004</v>
      </c>
      <c r="I5" s="4">
        <f>+H5*1.07</f>
        <v>305.43644306616005</v>
      </c>
      <c r="J5" s="4">
        <f>+I5*1.07</f>
        <v>326.81699408079129</v>
      </c>
      <c r="K5" s="4">
        <v>249.32712000000001</v>
      </c>
      <c r="L5" s="4">
        <f>+K5*1.07</f>
        <v>266.78001840000002</v>
      </c>
      <c r="M5" s="4">
        <f>+L5*1.07</f>
        <v>285.45461968800004</v>
      </c>
      <c r="N5" s="4">
        <f>+M5*1.07</f>
        <v>305.43644306616005</v>
      </c>
      <c r="O5" s="4">
        <f>+N5*1.07</f>
        <v>326.81699408079129</v>
      </c>
      <c r="P5" s="4">
        <f>+O5*1.07</f>
        <v>349.69418366644669</v>
      </c>
      <c r="Q5" s="4">
        <f>+P5*1.07</f>
        <v>374.17277652309798</v>
      </c>
    </row>
    <row r="6" spans="1:17" s="4" customFormat="1" x14ac:dyDescent="0.2">
      <c r="B6" s="4" t="s">
        <v>23</v>
      </c>
      <c r="D6" s="4">
        <v>42.121000000000002</v>
      </c>
      <c r="E6" s="4">
        <v>57.567</v>
      </c>
      <c r="F6" s="4">
        <f>+E6*1.2</f>
        <v>69.080399999999997</v>
      </c>
      <c r="G6" s="4">
        <f>+F6*1.2</f>
        <v>82.896479999999997</v>
      </c>
      <c r="H6" s="4">
        <f>+G6*1.2</f>
        <v>99.475775999999996</v>
      </c>
      <c r="I6" s="4">
        <f>+H6*1.2</f>
        <v>119.37093119999999</v>
      </c>
      <c r="J6" s="4">
        <f>+I6*1.2</f>
        <v>143.24511743999997</v>
      </c>
      <c r="K6" s="4">
        <v>69.080399999999997</v>
      </c>
      <c r="L6" s="4">
        <f>+K6*1.2</f>
        <v>82.896479999999997</v>
      </c>
      <c r="M6" s="4">
        <f>+L6*1.2</f>
        <v>99.475775999999996</v>
      </c>
      <c r="N6" s="4">
        <f>+M6*1.2</f>
        <v>119.37093119999999</v>
      </c>
      <c r="O6" s="4">
        <f>+N6*1.2</f>
        <v>143.24511743999997</v>
      </c>
      <c r="P6" s="4">
        <f>+O6*1.2</f>
        <v>171.89414092799996</v>
      </c>
      <c r="Q6" s="4">
        <f>+P6*1.2</f>
        <v>206.27296911359994</v>
      </c>
    </row>
    <row r="7" spans="1:17" s="4" customFormat="1" x14ac:dyDescent="0.2">
      <c r="B7" s="4" t="s">
        <v>24</v>
      </c>
      <c r="D7" s="4">
        <v>28.864000000000001</v>
      </c>
      <c r="E7" s="4">
        <v>23.521999999999998</v>
      </c>
      <c r="F7" s="4">
        <f>+E7*0.9</f>
        <v>21.169799999999999</v>
      </c>
      <c r="G7" s="4">
        <f>+F7*0.9</f>
        <v>19.052820000000001</v>
      </c>
      <c r="H7" s="4">
        <f>+G7*0.9</f>
        <v>17.147538000000001</v>
      </c>
      <c r="I7" s="4">
        <f>+H7*0.9</f>
        <v>15.4327842</v>
      </c>
      <c r="J7" s="4">
        <f>+I7*0.9</f>
        <v>13.88950578</v>
      </c>
      <c r="K7" s="4">
        <v>21.169799999999999</v>
      </c>
      <c r="L7" s="4">
        <f>+K7*0.9</f>
        <v>19.052820000000001</v>
      </c>
      <c r="M7" s="4">
        <f>+L7*0.9</f>
        <v>17.147538000000001</v>
      </c>
      <c r="N7" s="4">
        <f>+M7*0.9</f>
        <v>15.4327842</v>
      </c>
      <c r="O7" s="4">
        <f>+N7*0.9</f>
        <v>13.88950578</v>
      </c>
      <c r="P7" s="4">
        <f>+O7*0.9</f>
        <v>12.500555202000001</v>
      </c>
      <c r="Q7" s="4">
        <f>+P7*0.9</f>
        <v>11.250499681800001</v>
      </c>
    </row>
    <row r="8" spans="1:17" s="4" customFormat="1" x14ac:dyDescent="0.2">
      <c r="B8" s="4" t="s">
        <v>25</v>
      </c>
      <c r="D8" s="4">
        <v>141.58500000000001</v>
      </c>
      <c r="E8" s="4">
        <v>172.518</v>
      </c>
      <c r="F8" s="4">
        <f>+E8*1.2</f>
        <v>207.02160000000001</v>
      </c>
      <c r="G8" s="4">
        <f>+F8*1.2</f>
        <v>248.42591999999999</v>
      </c>
      <c r="H8" s="4">
        <f>+G8*1.2</f>
        <v>298.11110399999995</v>
      </c>
      <c r="I8" s="4">
        <f>+H8*1.2</f>
        <v>357.73332479999993</v>
      </c>
      <c r="J8" s="4">
        <f>+I8*1.2</f>
        <v>429.27998975999992</v>
      </c>
      <c r="K8" s="4">
        <v>207.02160000000001</v>
      </c>
      <c r="L8" s="4">
        <f>+K8*1.2</f>
        <v>248.42591999999999</v>
      </c>
      <c r="M8" s="4">
        <f>+L8*1.2</f>
        <v>298.11110399999995</v>
      </c>
      <c r="N8" s="4">
        <f>+M8*1.2</f>
        <v>357.73332479999993</v>
      </c>
      <c r="O8" s="4">
        <f>+N8*1.2</f>
        <v>429.27998975999992</v>
      </c>
      <c r="P8" s="4">
        <f>+O8*1.2</f>
        <v>515.13598771199986</v>
      </c>
      <c r="Q8" s="4">
        <f>+P8*1.2</f>
        <v>618.16318525439976</v>
      </c>
    </row>
    <row r="9" spans="1:17" s="4" customFormat="1" x14ac:dyDescent="0.2">
      <c r="B9" s="4" t="s">
        <v>26</v>
      </c>
      <c r="D9" s="4">
        <v>35.595999999999997</v>
      </c>
      <c r="E9" s="4">
        <v>32.689</v>
      </c>
      <c r="F9" s="4">
        <f>+E9*0.9</f>
        <v>29.420100000000001</v>
      </c>
      <c r="G9" s="4">
        <f>+F9*0.9</f>
        <v>26.478090000000002</v>
      </c>
      <c r="H9" s="4">
        <f>+G9*0.9</f>
        <v>23.830281000000003</v>
      </c>
      <c r="I9" s="4">
        <f>+H9*0.9</f>
        <v>21.447252900000002</v>
      </c>
      <c r="J9" s="4">
        <f>+I9*0.9</f>
        <v>19.302527610000002</v>
      </c>
      <c r="K9" s="4">
        <v>29.420100000000001</v>
      </c>
      <c r="L9" s="4">
        <f>+K9*0.9</f>
        <v>26.478090000000002</v>
      </c>
      <c r="M9" s="4">
        <f>+L9*0.9</f>
        <v>23.830281000000003</v>
      </c>
      <c r="N9" s="4">
        <f>+M9*0.9</f>
        <v>21.447252900000002</v>
      </c>
      <c r="O9" s="4">
        <f>+N9*0.9</f>
        <v>19.302527610000002</v>
      </c>
      <c r="P9" s="4">
        <f>+O9*0.9</f>
        <v>17.372274849000004</v>
      </c>
      <c r="Q9" s="4">
        <f>+P9*0.9</f>
        <v>15.635047364100004</v>
      </c>
    </row>
    <row r="10" spans="1:17" s="4" customFormat="1" x14ac:dyDescent="0.2">
      <c r="B10" s="4" t="s">
        <v>27</v>
      </c>
      <c r="D10" s="4">
        <v>9.9039999999999999</v>
      </c>
      <c r="E10" s="4">
        <v>5.3650000000000002</v>
      </c>
      <c r="F10" s="4">
        <f>+E10*1</f>
        <v>5.3650000000000002</v>
      </c>
      <c r="G10" s="4">
        <f>+F10*1</f>
        <v>5.3650000000000002</v>
      </c>
      <c r="H10" s="4">
        <f>+G10*1</f>
        <v>5.3650000000000002</v>
      </c>
      <c r="I10" s="4">
        <f>+H10*1</f>
        <v>5.3650000000000002</v>
      </c>
      <c r="J10" s="4">
        <f>+I10*1</f>
        <v>5.3650000000000002</v>
      </c>
      <c r="K10" s="4">
        <v>5.3650000000000002</v>
      </c>
      <c r="L10" s="4">
        <f>+K10*1</f>
        <v>5.3650000000000002</v>
      </c>
      <c r="M10" s="4">
        <f>+L10*1</f>
        <v>5.3650000000000002</v>
      </c>
      <c r="N10" s="4">
        <f>+M10*1</f>
        <v>5.3650000000000002</v>
      </c>
      <c r="O10" s="4">
        <f>+N10*1</f>
        <v>5.3650000000000002</v>
      </c>
      <c r="P10" s="4">
        <f>+O10*1</f>
        <v>5.3650000000000002</v>
      </c>
      <c r="Q10" s="4">
        <f>+P10*1</f>
        <v>5.3650000000000002</v>
      </c>
    </row>
    <row r="11" spans="1:17" s="4" customFormat="1" x14ac:dyDescent="0.2">
      <c r="B11" s="4" t="s">
        <v>28</v>
      </c>
      <c r="D11" s="4">
        <v>50.234000000000002</v>
      </c>
      <c r="E11" s="4">
        <v>42.259</v>
      </c>
      <c r="F11" s="4">
        <f>+E11*1</f>
        <v>42.259</v>
      </c>
      <c r="G11" s="4">
        <f>+F11*1</f>
        <v>42.259</v>
      </c>
      <c r="H11" s="4">
        <f>+G11*1</f>
        <v>42.259</v>
      </c>
      <c r="I11" s="4">
        <f>+H11*1</f>
        <v>42.259</v>
      </c>
      <c r="J11" s="4">
        <f>+I11*1</f>
        <v>42.259</v>
      </c>
      <c r="K11" s="4">
        <v>42.259</v>
      </c>
      <c r="L11" s="4">
        <f>+K11*1</f>
        <v>42.259</v>
      </c>
      <c r="M11" s="4">
        <f>+L11*1</f>
        <v>42.259</v>
      </c>
      <c r="N11" s="4">
        <f>+M11*1</f>
        <v>42.259</v>
      </c>
      <c r="O11" s="4">
        <f>+N11*1</f>
        <v>42.259</v>
      </c>
      <c r="P11" s="4">
        <f>+O11*1</f>
        <v>42.259</v>
      </c>
      <c r="Q11" s="4">
        <f>+P11*1</f>
        <v>42.259</v>
      </c>
    </row>
    <row r="12" spans="1:17" s="4" customFormat="1" x14ac:dyDescent="0.2">
      <c r="B12" s="4" t="s">
        <v>29</v>
      </c>
      <c r="D12" s="4">
        <v>10.903</v>
      </c>
      <c r="E12" s="4">
        <v>8.2629999999999999</v>
      </c>
      <c r="F12" s="4">
        <f>+E12*1.1</f>
        <v>9.0893000000000015</v>
      </c>
      <c r="G12" s="4">
        <f>+F12*1.1</f>
        <v>9.9982300000000031</v>
      </c>
      <c r="H12" s="4">
        <f>+G12*1.1</f>
        <v>10.998053000000004</v>
      </c>
      <c r="I12" s="4">
        <f>+H12*1.1</f>
        <v>12.097858300000006</v>
      </c>
      <c r="J12" s="4">
        <f>+I12*1.1</f>
        <v>13.307644130000007</v>
      </c>
      <c r="K12" s="4">
        <v>9.0893000000000015</v>
      </c>
      <c r="L12" s="4">
        <f>+K12*1.1</f>
        <v>9.9982300000000031</v>
      </c>
      <c r="M12" s="4">
        <f>+L12*1.1</f>
        <v>10.998053000000004</v>
      </c>
      <c r="N12" s="4">
        <f>+M12*1.1</f>
        <v>12.097858300000006</v>
      </c>
      <c r="O12" s="4">
        <f>+N12*1.1</f>
        <v>13.307644130000007</v>
      </c>
      <c r="P12" s="4">
        <f>+O12*1.1</f>
        <v>14.638408543000009</v>
      </c>
      <c r="Q12" s="4">
        <f>+P12*1.1</f>
        <v>16.10224939730001</v>
      </c>
    </row>
    <row r="13" spans="1:17" s="4" customFormat="1" x14ac:dyDescent="0.2">
      <c r="B13" s="4" t="s">
        <v>30</v>
      </c>
      <c r="D13" s="4">
        <v>117.645</v>
      </c>
      <c r="E13" s="4">
        <v>64.614000000000004</v>
      </c>
      <c r="F13" s="4">
        <f>+E13*0.9</f>
        <v>58.152600000000007</v>
      </c>
      <c r="G13" s="4">
        <f>+F13*0.9</f>
        <v>52.337340000000005</v>
      </c>
      <c r="H13" s="4">
        <f>+G13*0.9</f>
        <v>47.103606000000006</v>
      </c>
      <c r="I13" s="4">
        <f>+H13*0.9</f>
        <v>42.393245400000005</v>
      </c>
      <c r="J13" s="4">
        <f>+I13*0.9</f>
        <v>38.153920860000007</v>
      </c>
      <c r="K13" s="4">
        <v>58.152600000000007</v>
      </c>
      <c r="L13" s="4">
        <f>+K13*0.9</f>
        <v>52.337340000000005</v>
      </c>
      <c r="M13" s="4">
        <f>+L13*0.9</f>
        <v>47.103606000000006</v>
      </c>
      <c r="N13" s="4">
        <f>+M13*0.9</f>
        <v>42.393245400000005</v>
      </c>
      <c r="O13" s="4">
        <f>+N13*0.9</f>
        <v>38.153920860000007</v>
      </c>
      <c r="P13" s="4">
        <f>+O13*0.9</f>
        <v>34.338528774000004</v>
      </c>
      <c r="Q13" s="4">
        <f>+P13*0.9</f>
        <v>30.904675896600004</v>
      </c>
    </row>
    <row r="14" spans="1:17" s="5" customFormat="1" ht="15.75" x14ac:dyDescent="0.25">
      <c r="B14" s="5" t="s">
        <v>21</v>
      </c>
      <c r="D14" s="5">
        <f>+SUM(D5:D13)</f>
        <v>654.23300000000006</v>
      </c>
      <c r="E14" s="5">
        <f>+SUM(E5:E13)</f>
        <v>639.81299999999999</v>
      </c>
      <c r="F14" s="5">
        <f>+SUM(F5:F13)</f>
        <v>690.88492000000008</v>
      </c>
      <c r="G14" s="5">
        <f>+SUM(G5:G13)</f>
        <v>753.59289840000008</v>
      </c>
      <c r="H14" s="5">
        <f>+SUM(H5:H13)</f>
        <v>829.74497768800006</v>
      </c>
      <c r="I14" s="5">
        <v>690.88492000000008</v>
      </c>
      <c r="J14" s="5">
        <f>+SUM(J5:J13)</f>
        <v>1031.6196996607912</v>
      </c>
      <c r="K14" s="5">
        <f>+SUM(K5:K13)</f>
        <v>690.88492000000008</v>
      </c>
      <c r="L14" s="5">
        <f>+SUM(L5:L13)</f>
        <v>753.59289840000008</v>
      </c>
      <c r="M14" s="5">
        <f>+SUM(M5:M13)</f>
        <v>829.74497768800006</v>
      </c>
      <c r="N14" s="5">
        <f>+SUM(N5:N13)</f>
        <v>921.5358398661599</v>
      </c>
      <c r="O14" s="5">
        <f>+SUM(O5:O13)</f>
        <v>1031.6196996607912</v>
      </c>
      <c r="P14" s="5">
        <f>+SUM(P5:P13)</f>
        <v>1163.1980796744465</v>
      </c>
      <c r="Q14" s="5">
        <f>+SUM(Q5:Q13)</f>
        <v>1320.1254032308977</v>
      </c>
    </row>
    <row r="15" spans="1:17" s="4" customFormat="1" x14ac:dyDescent="0.2">
      <c r="B15" s="4" t="s">
        <v>31</v>
      </c>
      <c r="D15" s="4">
        <v>470.78</v>
      </c>
      <c r="E15" s="4">
        <v>423.964</v>
      </c>
      <c r="F15" s="4">
        <f>+F14*0.65</f>
        <v>449.07519800000006</v>
      </c>
      <c r="G15" s="4">
        <f t="shared" ref="G15:M15" si="1">+G14*0.65</f>
        <v>489.83538396000006</v>
      </c>
      <c r="H15" s="4">
        <f t="shared" si="1"/>
        <v>539.3342354972001</v>
      </c>
      <c r="I15" s="4">
        <f t="shared" si="1"/>
        <v>449.07519800000006</v>
      </c>
      <c r="J15" s="4">
        <f t="shared" si="1"/>
        <v>670.5528047795143</v>
      </c>
      <c r="K15" s="4">
        <f t="shared" si="1"/>
        <v>449.07519800000006</v>
      </c>
      <c r="L15" s="4">
        <f t="shared" si="1"/>
        <v>489.83538396000006</v>
      </c>
      <c r="M15" s="4">
        <f t="shared" si="1"/>
        <v>539.3342354972001</v>
      </c>
      <c r="N15" s="4">
        <f t="shared" ref="N15" si="2">+N14*0.65</f>
        <v>598.99829591300397</v>
      </c>
      <c r="O15" s="4">
        <f t="shared" ref="O15" si="3">+O14*0.65</f>
        <v>670.5528047795143</v>
      </c>
      <c r="P15" s="4">
        <f t="shared" ref="P15" si="4">+P14*0.65</f>
        <v>756.07875178839026</v>
      </c>
      <c r="Q15" s="4">
        <f t="shared" ref="Q15" si="5">+Q14*0.65</f>
        <v>858.08151210008361</v>
      </c>
    </row>
    <row r="16" spans="1:17" s="4" customFormat="1" x14ac:dyDescent="0.2">
      <c r="B16" s="4" t="s">
        <v>32</v>
      </c>
      <c r="D16" s="4">
        <f>+D14-D15</f>
        <v>183.45300000000009</v>
      </c>
      <c r="E16" s="4">
        <f>+E14-E15</f>
        <v>215.84899999999999</v>
      </c>
      <c r="F16" s="4">
        <f t="shared" ref="F16:Q16" si="6">+F14-F15</f>
        <v>241.80972200000002</v>
      </c>
      <c r="G16" s="4">
        <f t="shared" si="6"/>
        <v>263.75751444000002</v>
      </c>
      <c r="H16" s="4">
        <f t="shared" si="6"/>
        <v>290.41074219079997</v>
      </c>
      <c r="I16" s="4">
        <f t="shared" si="6"/>
        <v>241.80972200000002</v>
      </c>
      <c r="J16" s="4">
        <f t="shared" si="6"/>
        <v>361.06689488127688</v>
      </c>
      <c r="K16" s="4">
        <f t="shared" si="6"/>
        <v>241.80972200000002</v>
      </c>
      <c r="L16" s="4">
        <f t="shared" si="6"/>
        <v>263.75751444000002</v>
      </c>
      <c r="M16" s="4">
        <f t="shared" si="6"/>
        <v>290.41074219079997</v>
      </c>
      <c r="N16" s="4">
        <f t="shared" si="6"/>
        <v>322.53754395315593</v>
      </c>
      <c r="O16" s="4">
        <f t="shared" si="6"/>
        <v>361.06689488127688</v>
      </c>
      <c r="P16" s="4">
        <f t="shared" si="6"/>
        <v>407.11932788605623</v>
      </c>
      <c r="Q16" s="4">
        <f t="shared" si="6"/>
        <v>462.04389113081413</v>
      </c>
    </row>
    <row r="17" spans="2:17" s="4" customFormat="1" x14ac:dyDescent="0.2">
      <c r="B17" s="4" t="s">
        <v>33</v>
      </c>
      <c r="D17" s="4">
        <v>20.238</v>
      </c>
      <c r="E17" s="4">
        <v>22.486999999999998</v>
      </c>
      <c r="F17" s="4">
        <f>+E17*1.02</f>
        <v>22.93674</v>
      </c>
      <c r="G17" s="4">
        <f t="shared" ref="G17:Q17" si="7">+F17*1.02</f>
        <v>23.395474800000002</v>
      </c>
      <c r="H17" s="4">
        <f t="shared" si="7"/>
        <v>23.863384296000003</v>
      </c>
      <c r="I17" s="4">
        <f t="shared" si="7"/>
        <v>24.340651981920004</v>
      </c>
      <c r="J17" s="4">
        <f t="shared" si="7"/>
        <v>24.827465021558403</v>
      </c>
      <c r="K17" s="4">
        <f t="shared" si="7"/>
        <v>25.324014321989573</v>
      </c>
      <c r="L17" s="4">
        <f t="shared" si="7"/>
        <v>25.830494608429365</v>
      </c>
      <c r="M17" s="4">
        <f t="shared" si="7"/>
        <v>26.347104500597954</v>
      </c>
      <c r="N17" s="4">
        <f t="shared" si="7"/>
        <v>26.874046590609915</v>
      </c>
      <c r="O17" s="4">
        <f t="shared" si="7"/>
        <v>27.411527522422112</v>
      </c>
      <c r="P17" s="4">
        <f t="shared" si="7"/>
        <v>27.959758072870557</v>
      </c>
      <c r="Q17" s="4">
        <f t="shared" si="7"/>
        <v>28.518953234327967</v>
      </c>
    </row>
    <row r="18" spans="2:17" s="4" customFormat="1" x14ac:dyDescent="0.2">
      <c r="B18" s="4" t="s">
        <v>34</v>
      </c>
      <c r="D18" s="4">
        <v>92.341999999999999</v>
      </c>
      <c r="E18" s="4">
        <v>99.090999999999994</v>
      </c>
      <c r="F18" s="4">
        <f>+E18*1.02</f>
        <v>101.07281999999999</v>
      </c>
      <c r="G18" s="4">
        <f t="shared" ref="G18:Q18" si="8">+F18*1.02</f>
        <v>103.0942764</v>
      </c>
      <c r="H18" s="4">
        <f t="shared" si="8"/>
        <v>105.156161928</v>
      </c>
      <c r="I18" s="4">
        <f t="shared" si="8"/>
        <v>107.25928516656001</v>
      </c>
      <c r="J18" s="4">
        <f t="shared" si="8"/>
        <v>109.40447086989121</v>
      </c>
      <c r="K18" s="4">
        <f t="shared" si="8"/>
        <v>111.59256028728903</v>
      </c>
      <c r="L18" s="4">
        <f t="shared" si="8"/>
        <v>113.82441149303482</v>
      </c>
      <c r="M18" s="4">
        <f t="shared" si="8"/>
        <v>116.10089972289552</v>
      </c>
      <c r="N18" s="4">
        <f t="shared" si="8"/>
        <v>118.42291771735343</v>
      </c>
      <c r="O18" s="4">
        <f t="shared" si="8"/>
        <v>120.7913760717005</v>
      </c>
      <c r="P18" s="4">
        <f t="shared" si="8"/>
        <v>123.20720359313451</v>
      </c>
      <c r="Q18" s="4">
        <f t="shared" si="8"/>
        <v>125.6713476649972</v>
      </c>
    </row>
    <row r="19" spans="2:17" s="4" customFormat="1" x14ac:dyDescent="0.2">
      <c r="B19" s="4" t="s">
        <v>35</v>
      </c>
      <c r="D19" s="4">
        <v>7.3220000000000001</v>
      </c>
      <c r="E19" s="4">
        <v>10.114000000000001</v>
      </c>
      <c r="F19" s="4">
        <f>+E19*1</f>
        <v>10.114000000000001</v>
      </c>
      <c r="G19" s="4">
        <f t="shared" ref="G19:Q19" si="9">+F19*1</f>
        <v>10.114000000000001</v>
      </c>
      <c r="H19" s="4">
        <f t="shared" si="9"/>
        <v>10.114000000000001</v>
      </c>
      <c r="I19" s="4">
        <f t="shared" si="9"/>
        <v>10.114000000000001</v>
      </c>
      <c r="J19" s="4">
        <f t="shared" si="9"/>
        <v>10.114000000000001</v>
      </c>
      <c r="K19" s="4">
        <f t="shared" si="9"/>
        <v>10.114000000000001</v>
      </c>
      <c r="L19" s="4">
        <f t="shared" si="9"/>
        <v>10.114000000000001</v>
      </c>
      <c r="M19" s="4">
        <f t="shared" si="9"/>
        <v>10.114000000000001</v>
      </c>
      <c r="N19" s="4">
        <f t="shared" si="9"/>
        <v>10.114000000000001</v>
      </c>
      <c r="O19" s="4">
        <f t="shared" si="9"/>
        <v>10.114000000000001</v>
      </c>
      <c r="P19" s="4">
        <f t="shared" si="9"/>
        <v>10.114000000000001</v>
      </c>
      <c r="Q19" s="4">
        <f t="shared" si="9"/>
        <v>10.114000000000001</v>
      </c>
    </row>
    <row r="20" spans="2:17" s="4" customFormat="1" x14ac:dyDescent="0.2">
      <c r="B20" s="4" t="s">
        <v>36</v>
      </c>
      <c r="D20" s="4">
        <v>-1.5960000000000001</v>
      </c>
      <c r="E20" s="4">
        <v>-3.819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</row>
    <row r="21" spans="2:17" s="4" customFormat="1" x14ac:dyDescent="0.2">
      <c r="B21" s="4" t="s">
        <v>37</v>
      </c>
      <c r="D21" s="4">
        <f>+D17+D18+D19+D20</f>
        <v>118.306</v>
      </c>
      <c r="E21" s="4">
        <f>+E17+E18+E19+E20</f>
        <v>127.87299999999998</v>
      </c>
      <c r="F21" s="4">
        <f t="shared" ref="F21:Q21" si="10">+F17+F18+F19+F20</f>
        <v>134.12356</v>
      </c>
      <c r="G21" s="4">
        <f t="shared" si="10"/>
        <v>136.6037512</v>
      </c>
      <c r="H21" s="4">
        <f t="shared" si="10"/>
        <v>139.13354622400001</v>
      </c>
      <c r="I21" s="4">
        <f t="shared" si="10"/>
        <v>141.71393714848003</v>
      </c>
      <c r="J21" s="4">
        <f t="shared" si="10"/>
        <v>144.34593589144961</v>
      </c>
      <c r="K21" s="4">
        <f t="shared" si="10"/>
        <v>147.0305746092786</v>
      </c>
      <c r="L21" s="4">
        <f t="shared" si="10"/>
        <v>149.76890610146418</v>
      </c>
      <c r="M21" s="4">
        <f t="shared" si="10"/>
        <v>152.56200422349349</v>
      </c>
      <c r="N21" s="4">
        <f t="shared" si="10"/>
        <v>155.41096430796335</v>
      </c>
      <c r="O21" s="4">
        <f t="shared" si="10"/>
        <v>158.31690359412261</v>
      </c>
      <c r="P21" s="4">
        <f t="shared" si="10"/>
        <v>161.28096166600508</v>
      </c>
      <c r="Q21" s="4">
        <f t="shared" si="10"/>
        <v>164.30430089932517</v>
      </c>
    </row>
    <row r="22" spans="2:17" s="4" customFormat="1" x14ac:dyDescent="0.2">
      <c r="B22" s="4" t="s">
        <v>38</v>
      </c>
      <c r="D22" s="4">
        <f>+D16-D21</f>
        <v>65.147000000000091</v>
      </c>
      <c r="E22" s="4">
        <f>+E16-E21</f>
        <v>87.976000000000013</v>
      </c>
      <c r="F22" s="4">
        <f t="shared" ref="F22:Q22" si="11">+F16-F21</f>
        <v>107.68616200000002</v>
      </c>
      <c r="G22" s="4">
        <f t="shared" si="11"/>
        <v>127.15376324000002</v>
      </c>
      <c r="H22" s="4">
        <f t="shared" si="11"/>
        <v>151.27719596679995</v>
      </c>
      <c r="I22" s="4">
        <f t="shared" si="11"/>
        <v>100.09578485151999</v>
      </c>
      <c r="J22" s="4">
        <f t="shared" si="11"/>
        <v>216.72095898982727</v>
      </c>
      <c r="K22" s="4">
        <f t="shared" si="11"/>
        <v>94.77914739072142</v>
      </c>
      <c r="L22" s="4">
        <f t="shared" si="11"/>
        <v>113.98860833853584</v>
      </c>
      <c r="M22" s="4">
        <f t="shared" si="11"/>
        <v>137.84873796730648</v>
      </c>
      <c r="N22" s="4">
        <f t="shared" si="11"/>
        <v>167.12657964519258</v>
      </c>
      <c r="O22" s="4">
        <f t="shared" si="11"/>
        <v>202.74999128715427</v>
      </c>
      <c r="P22" s="4">
        <f t="shared" si="11"/>
        <v>245.83836622005114</v>
      </c>
      <c r="Q22" s="4">
        <f t="shared" si="11"/>
        <v>297.73959023148893</v>
      </c>
    </row>
    <row r="23" spans="2:17" s="4" customFormat="1" x14ac:dyDescent="0.2">
      <c r="B23" s="4" t="s">
        <v>39</v>
      </c>
      <c r="D23" s="4">
        <v>-3.379</v>
      </c>
      <c r="E23" s="4">
        <f>+-2.85</f>
        <v>-2.85</v>
      </c>
      <c r="F23" s="4">
        <f>+E23*1.2</f>
        <v>-3.42</v>
      </c>
      <c r="G23" s="4">
        <f t="shared" ref="G23:Q23" si="12">+F23*1.2</f>
        <v>-4.1040000000000001</v>
      </c>
      <c r="H23" s="4">
        <f t="shared" si="12"/>
        <v>-4.9248000000000003</v>
      </c>
      <c r="I23" s="4">
        <f t="shared" si="12"/>
        <v>-5.9097600000000003</v>
      </c>
      <c r="J23" s="4">
        <f t="shared" si="12"/>
        <v>-7.0917120000000002</v>
      </c>
      <c r="K23" s="4">
        <f t="shared" si="12"/>
        <v>-8.5100543999999996</v>
      </c>
      <c r="L23" s="4">
        <f t="shared" si="12"/>
        <v>-10.212065279999999</v>
      </c>
      <c r="M23" s="4">
        <f t="shared" si="12"/>
        <v>-12.254478335999998</v>
      </c>
      <c r="N23" s="4">
        <f t="shared" si="12"/>
        <v>-14.705374003199998</v>
      </c>
      <c r="O23" s="4">
        <f t="shared" si="12"/>
        <v>-17.646448803839995</v>
      </c>
      <c r="P23" s="4">
        <f t="shared" si="12"/>
        <v>-21.175738564607993</v>
      </c>
      <c r="Q23" s="4">
        <f t="shared" si="12"/>
        <v>-25.410886277529592</v>
      </c>
    </row>
    <row r="24" spans="2:17" s="4" customFormat="1" x14ac:dyDescent="0.2">
      <c r="B24" s="4" t="s">
        <v>40</v>
      </c>
      <c r="D24" s="4">
        <v>-2.7090000000000001</v>
      </c>
      <c r="E24" s="4">
        <f>-2.806+0.98</f>
        <v>-1.8260000000000001</v>
      </c>
      <c r="F24" s="4">
        <f>+E24*1.2</f>
        <v>-2.1911999999999998</v>
      </c>
      <c r="G24" s="4">
        <f t="shared" ref="G24:Q24" si="13">+F24*1.2</f>
        <v>-2.6294399999999998</v>
      </c>
      <c r="H24" s="4">
        <f t="shared" si="13"/>
        <v>-3.1553279999999995</v>
      </c>
      <c r="I24" s="4">
        <f t="shared" si="13"/>
        <v>-3.7863935999999994</v>
      </c>
      <c r="J24" s="4">
        <f t="shared" si="13"/>
        <v>-4.5436723199999989</v>
      </c>
      <c r="K24" s="4">
        <f t="shared" si="13"/>
        <v>-5.4524067839999981</v>
      </c>
      <c r="L24" s="4">
        <f t="shared" si="13"/>
        <v>-6.5428881407999979</v>
      </c>
      <c r="M24" s="4">
        <f t="shared" si="13"/>
        <v>-7.8514657689599971</v>
      </c>
      <c r="N24" s="4">
        <f t="shared" si="13"/>
        <v>-9.4217589227519962</v>
      </c>
      <c r="O24" s="4">
        <f t="shared" si="13"/>
        <v>-11.306110707302395</v>
      </c>
      <c r="P24" s="4">
        <f t="shared" si="13"/>
        <v>-13.567332848762874</v>
      </c>
      <c r="Q24" s="4">
        <f t="shared" si="13"/>
        <v>-16.280799418515446</v>
      </c>
    </row>
    <row r="25" spans="2:17" s="4" customFormat="1" x14ac:dyDescent="0.2">
      <c r="B25" s="4" t="s">
        <v>41</v>
      </c>
      <c r="D25" s="4">
        <f>+D22+D23+D24</f>
        <v>59.05900000000009</v>
      </c>
      <c r="E25" s="4">
        <f>+E22+E23+E24</f>
        <v>83.300000000000026</v>
      </c>
      <c r="F25" s="4">
        <f t="shared" ref="F25:Q25" si="14">+F22+F23+F24</f>
        <v>102.07496200000003</v>
      </c>
      <c r="G25" s="4">
        <f t="shared" si="14"/>
        <v>120.42032324000002</v>
      </c>
      <c r="H25" s="4">
        <f t="shared" si="14"/>
        <v>143.19706796679995</v>
      </c>
      <c r="I25" s="4">
        <f t="shared" si="14"/>
        <v>90.399631251519992</v>
      </c>
      <c r="J25" s="4">
        <f t="shared" si="14"/>
        <v>205.08557466982728</v>
      </c>
      <c r="K25" s="4">
        <f t="shared" si="14"/>
        <v>80.816686206721414</v>
      </c>
      <c r="L25" s="4">
        <f t="shared" si="14"/>
        <v>97.233654917735834</v>
      </c>
      <c r="M25" s="4">
        <f t="shared" si="14"/>
        <v>117.74279386234647</v>
      </c>
      <c r="N25" s="4">
        <f t="shared" si="14"/>
        <v>142.99944671924058</v>
      </c>
      <c r="O25" s="4">
        <f t="shared" si="14"/>
        <v>173.79743177601188</v>
      </c>
      <c r="P25" s="4">
        <f t="shared" si="14"/>
        <v>211.09529480668027</v>
      </c>
      <c r="Q25" s="4">
        <f t="shared" si="14"/>
        <v>256.04790453544388</v>
      </c>
    </row>
    <row r="26" spans="2:17" s="4" customFormat="1" x14ac:dyDescent="0.2">
      <c r="B26" s="4" t="s">
        <v>42</v>
      </c>
      <c r="D26" s="4">
        <v>6.37</v>
      </c>
      <c r="E26" s="4">
        <v>9.4689999999999994</v>
      </c>
      <c r="F26" s="4">
        <f>+F25*0.15</f>
        <v>15.311244300000004</v>
      </c>
      <c r="G26" s="4">
        <f t="shared" ref="G26:Q26" si="15">+G25*0.15</f>
        <v>18.063048486000003</v>
      </c>
      <c r="H26" s="4">
        <f t="shared" si="15"/>
        <v>21.479560195019992</v>
      </c>
      <c r="I26" s="4">
        <f t="shared" si="15"/>
        <v>13.559944687727999</v>
      </c>
      <c r="J26" s="4">
        <f t="shared" si="15"/>
        <v>30.762836200474091</v>
      </c>
      <c r="K26" s="4">
        <f t="shared" si="15"/>
        <v>12.122502931008212</v>
      </c>
      <c r="L26" s="4">
        <f t="shared" si="15"/>
        <v>14.585048237660374</v>
      </c>
      <c r="M26" s="4">
        <f t="shared" si="15"/>
        <v>17.661419079351969</v>
      </c>
      <c r="N26" s="4">
        <f t="shared" si="15"/>
        <v>21.449917007886086</v>
      </c>
      <c r="O26" s="4">
        <f t="shared" si="15"/>
        <v>26.069614766401781</v>
      </c>
      <c r="P26" s="4">
        <f t="shared" si="15"/>
        <v>31.664294221002038</v>
      </c>
      <c r="Q26" s="4">
        <f t="shared" si="15"/>
        <v>38.40718568031658</v>
      </c>
    </row>
    <row r="27" spans="2:17" s="4" customFormat="1" x14ac:dyDescent="0.2">
      <c r="B27" s="4" t="s">
        <v>43</v>
      </c>
      <c r="D27" s="4">
        <f>+D25-D26</f>
        <v>52.689000000000092</v>
      </c>
      <c r="E27" s="4">
        <f>+E25-E26</f>
        <v>73.831000000000031</v>
      </c>
      <c r="F27" s="4">
        <f t="shared" ref="F27:Q27" si="16">+F25-F26</f>
        <v>86.763717700000029</v>
      </c>
      <c r="G27" s="4">
        <f t="shared" si="16"/>
        <v>102.35727475400002</v>
      </c>
      <c r="H27" s="4">
        <f t="shared" si="16"/>
        <v>121.71750777177996</v>
      </c>
      <c r="I27" s="4">
        <f t="shared" si="16"/>
        <v>76.839686563791986</v>
      </c>
      <c r="J27" s="4">
        <f t="shared" si="16"/>
        <v>174.3227384693532</v>
      </c>
      <c r="K27" s="4">
        <f t="shared" si="16"/>
        <v>68.6941832757132</v>
      </c>
      <c r="L27" s="4">
        <f t="shared" si="16"/>
        <v>82.64860668007546</v>
      </c>
      <c r="M27" s="4">
        <f t="shared" si="16"/>
        <v>100.0813747829945</v>
      </c>
      <c r="N27" s="4">
        <f t="shared" si="16"/>
        <v>121.5495297113545</v>
      </c>
      <c r="O27" s="4">
        <f t="shared" si="16"/>
        <v>147.72781700961011</v>
      </c>
      <c r="P27" s="4">
        <f t="shared" si="16"/>
        <v>179.43100058567825</v>
      </c>
      <c r="Q27" s="4">
        <f t="shared" si="16"/>
        <v>217.64071885512729</v>
      </c>
    </row>
    <row r="29" spans="2:17" s="3" customFormat="1" x14ac:dyDescent="0.2">
      <c r="E29" s="3">
        <f>+E5/D5-1</f>
        <v>7.1924409216996832E-2</v>
      </c>
      <c r="F29" s="3">
        <f t="shared" ref="F29:Q29" si="17">+F5/E5-1</f>
        <v>7.0000000000000062E-2</v>
      </c>
      <c r="G29" s="3">
        <f t="shared" si="17"/>
        <v>7.0000000000000062E-2</v>
      </c>
      <c r="H29" s="3">
        <f t="shared" si="17"/>
        <v>7.0000000000000062E-2</v>
      </c>
      <c r="I29" s="3">
        <f t="shared" si="17"/>
        <v>7.0000000000000062E-2</v>
      </c>
      <c r="J29" s="3">
        <f t="shared" si="17"/>
        <v>7.0000000000000062E-2</v>
      </c>
      <c r="K29" s="3">
        <f t="shared" si="17"/>
        <v>-0.23710478795247492</v>
      </c>
      <c r="L29" s="3">
        <f t="shared" si="17"/>
        <v>7.0000000000000062E-2</v>
      </c>
      <c r="M29" s="3">
        <f t="shared" si="17"/>
        <v>7.0000000000000062E-2</v>
      </c>
      <c r="N29" s="3">
        <f t="shared" si="17"/>
        <v>7.0000000000000062E-2</v>
      </c>
      <c r="O29" s="3">
        <f t="shared" si="17"/>
        <v>7.0000000000000062E-2</v>
      </c>
      <c r="P29" s="3">
        <f t="shared" si="17"/>
        <v>7.0000000000000062E-2</v>
      </c>
      <c r="Q29" s="3">
        <f t="shared" si="17"/>
        <v>7.0000000000000062E-2</v>
      </c>
    </row>
    <row r="30" spans="2:17" s="3" customFormat="1" x14ac:dyDescent="0.2">
      <c r="E30" s="3">
        <f>+E6/D6-1</f>
        <v>0.36670544384036452</v>
      </c>
      <c r="F30" s="3">
        <f t="shared" ref="F30:Q30" si="18">+F6/E6-1</f>
        <v>0.19999999999999996</v>
      </c>
      <c r="G30" s="3">
        <f t="shared" si="18"/>
        <v>0.19999999999999996</v>
      </c>
      <c r="H30" s="3">
        <f t="shared" si="18"/>
        <v>0.19999999999999996</v>
      </c>
      <c r="I30" s="3">
        <f t="shared" si="18"/>
        <v>0.19999999999999996</v>
      </c>
      <c r="J30" s="3">
        <f t="shared" si="18"/>
        <v>0.19999999999999996</v>
      </c>
      <c r="K30" s="3">
        <f t="shared" si="18"/>
        <v>-0.51774691358024683</v>
      </c>
      <c r="L30" s="3">
        <f t="shared" si="18"/>
        <v>0.19999999999999996</v>
      </c>
      <c r="M30" s="3">
        <f t="shared" si="18"/>
        <v>0.19999999999999996</v>
      </c>
      <c r="N30" s="3">
        <f t="shared" si="18"/>
        <v>0.19999999999999996</v>
      </c>
      <c r="O30" s="3">
        <f t="shared" si="18"/>
        <v>0.19999999999999996</v>
      </c>
      <c r="P30" s="3">
        <f t="shared" si="18"/>
        <v>0.19999999999999996</v>
      </c>
      <c r="Q30" s="3">
        <f t="shared" si="18"/>
        <v>0.19999999999999996</v>
      </c>
    </row>
    <row r="31" spans="2:17" s="3" customFormat="1" x14ac:dyDescent="0.2">
      <c r="E31" s="3">
        <f>+E7/D7-1</f>
        <v>-0.18507483370288258</v>
      </c>
      <c r="F31" s="3">
        <f t="shared" ref="F31:Q31" si="19">+F7/E7-1</f>
        <v>-9.9999999999999978E-2</v>
      </c>
      <c r="G31" s="3">
        <f t="shared" si="19"/>
        <v>-9.9999999999999867E-2</v>
      </c>
      <c r="H31" s="3">
        <f t="shared" si="19"/>
        <v>-9.9999999999999978E-2</v>
      </c>
      <c r="I31" s="3">
        <f t="shared" si="19"/>
        <v>-9.9999999999999978E-2</v>
      </c>
      <c r="J31" s="3">
        <f t="shared" si="19"/>
        <v>-9.9999999999999978E-2</v>
      </c>
      <c r="K31" s="3">
        <f t="shared" si="19"/>
        <v>0.52415790275872576</v>
      </c>
      <c r="L31" s="3">
        <f t="shared" si="19"/>
        <v>-9.9999999999999867E-2</v>
      </c>
      <c r="M31" s="3">
        <f t="shared" si="19"/>
        <v>-9.9999999999999978E-2</v>
      </c>
      <c r="N31" s="3">
        <f t="shared" si="19"/>
        <v>-9.9999999999999978E-2</v>
      </c>
      <c r="O31" s="3">
        <f t="shared" si="19"/>
        <v>-9.9999999999999978E-2</v>
      </c>
      <c r="P31" s="3">
        <f t="shared" si="19"/>
        <v>-9.9999999999999978E-2</v>
      </c>
      <c r="Q31" s="3">
        <f t="shared" si="19"/>
        <v>-9.9999999999999978E-2</v>
      </c>
    </row>
    <row r="32" spans="2:17" s="3" customFormat="1" x14ac:dyDescent="0.2">
      <c r="E32" s="3">
        <f>+E8/D8-1</f>
        <v>0.21847653353109431</v>
      </c>
      <c r="F32" s="3">
        <f t="shared" ref="F32:Q32" si="20">+F8/E8-1</f>
        <v>0.19999999999999996</v>
      </c>
      <c r="G32" s="3">
        <f t="shared" si="20"/>
        <v>0.19999999999999996</v>
      </c>
      <c r="H32" s="3">
        <f t="shared" si="20"/>
        <v>0.19999999999999996</v>
      </c>
      <c r="I32" s="3">
        <f t="shared" si="20"/>
        <v>0.19999999999999996</v>
      </c>
      <c r="J32" s="3">
        <f t="shared" si="20"/>
        <v>0.19999999999999996</v>
      </c>
      <c r="K32" s="3">
        <f t="shared" si="20"/>
        <v>-0.51774691358024683</v>
      </c>
      <c r="L32" s="3">
        <f t="shared" si="20"/>
        <v>0.19999999999999996</v>
      </c>
      <c r="M32" s="3">
        <f t="shared" si="20"/>
        <v>0.19999999999999996</v>
      </c>
      <c r="N32" s="3">
        <f t="shared" si="20"/>
        <v>0.19999999999999996</v>
      </c>
      <c r="O32" s="3">
        <f t="shared" si="20"/>
        <v>0.19999999999999996</v>
      </c>
      <c r="P32" s="3">
        <f t="shared" si="20"/>
        <v>0.19999999999999996</v>
      </c>
      <c r="Q32" s="3">
        <f t="shared" si="20"/>
        <v>0.19999999999999996</v>
      </c>
    </row>
    <row r="33" spans="2:57" s="3" customFormat="1" x14ac:dyDescent="0.2">
      <c r="E33" s="3">
        <f>+E9/D9-1</f>
        <v>-8.1666479379705503E-2</v>
      </c>
      <c r="F33" s="3">
        <f t="shared" ref="F33:Q33" si="21">+F9/E9-1</f>
        <v>-9.9999999999999978E-2</v>
      </c>
      <c r="G33" s="3">
        <f t="shared" si="21"/>
        <v>-9.9999999999999978E-2</v>
      </c>
      <c r="H33" s="3">
        <f t="shared" si="21"/>
        <v>-9.9999999999999978E-2</v>
      </c>
      <c r="I33" s="3">
        <f t="shared" si="21"/>
        <v>-9.9999999999999978E-2</v>
      </c>
      <c r="J33" s="3">
        <f t="shared" si="21"/>
        <v>-9.9999999999999978E-2</v>
      </c>
      <c r="K33" s="3">
        <f t="shared" si="21"/>
        <v>0.52415790275872576</v>
      </c>
      <c r="L33" s="3">
        <f t="shared" si="21"/>
        <v>-9.9999999999999978E-2</v>
      </c>
      <c r="M33" s="3">
        <f t="shared" si="21"/>
        <v>-9.9999999999999978E-2</v>
      </c>
      <c r="N33" s="3">
        <f t="shared" si="21"/>
        <v>-9.9999999999999978E-2</v>
      </c>
      <c r="O33" s="3">
        <f t="shared" si="21"/>
        <v>-9.9999999999999978E-2</v>
      </c>
      <c r="P33" s="3">
        <f t="shared" si="21"/>
        <v>-9.9999999999999867E-2</v>
      </c>
      <c r="Q33" s="3">
        <f t="shared" si="21"/>
        <v>-9.9999999999999978E-2</v>
      </c>
    </row>
    <row r="34" spans="2:57" s="3" customFormat="1" x14ac:dyDescent="0.2">
      <c r="E34" s="3">
        <f>+E10/D10-1</f>
        <v>-0.45829967689822293</v>
      </c>
      <c r="F34" s="3">
        <f t="shared" ref="F34:Q34" si="22">+F10/E10-1</f>
        <v>0</v>
      </c>
      <c r="G34" s="3">
        <f t="shared" si="22"/>
        <v>0</v>
      </c>
      <c r="H34" s="3">
        <f t="shared" si="22"/>
        <v>0</v>
      </c>
      <c r="I34" s="3">
        <f t="shared" si="22"/>
        <v>0</v>
      </c>
      <c r="J34" s="3">
        <f t="shared" si="22"/>
        <v>0</v>
      </c>
      <c r="K34" s="3">
        <f t="shared" si="22"/>
        <v>0</v>
      </c>
      <c r="L34" s="3">
        <f t="shared" si="22"/>
        <v>0</v>
      </c>
      <c r="M34" s="3">
        <f t="shared" si="22"/>
        <v>0</v>
      </c>
      <c r="N34" s="3">
        <f t="shared" si="22"/>
        <v>0</v>
      </c>
      <c r="O34" s="3">
        <f t="shared" si="22"/>
        <v>0</v>
      </c>
      <c r="P34" s="3">
        <f t="shared" si="22"/>
        <v>0</v>
      </c>
      <c r="Q34" s="3">
        <f t="shared" si="22"/>
        <v>0</v>
      </c>
    </row>
    <row r="35" spans="2:57" s="3" customFormat="1" x14ac:dyDescent="0.2">
      <c r="E35" s="3">
        <f>+E11/D11-1</f>
        <v>-0.1587570171596927</v>
      </c>
      <c r="F35" s="3">
        <f t="shared" ref="F35:Q35" si="23">+F11/E11-1</f>
        <v>0</v>
      </c>
      <c r="G35" s="3">
        <f t="shared" si="23"/>
        <v>0</v>
      </c>
      <c r="H35" s="3">
        <f t="shared" si="23"/>
        <v>0</v>
      </c>
      <c r="I35" s="3">
        <f t="shared" si="23"/>
        <v>0</v>
      </c>
      <c r="J35" s="3">
        <f t="shared" si="23"/>
        <v>0</v>
      </c>
      <c r="K35" s="3">
        <f t="shared" si="23"/>
        <v>0</v>
      </c>
      <c r="L35" s="3">
        <f t="shared" si="23"/>
        <v>0</v>
      </c>
      <c r="M35" s="3">
        <f t="shared" si="23"/>
        <v>0</v>
      </c>
      <c r="N35" s="3">
        <f t="shared" si="23"/>
        <v>0</v>
      </c>
      <c r="O35" s="3">
        <f t="shared" si="23"/>
        <v>0</v>
      </c>
      <c r="P35" s="3">
        <f t="shared" si="23"/>
        <v>0</v>
      </c>
      <c r="Q35" s="3">
        <f t="shared" si="23"/>
        <v>0</v>
      </c>
    </row>
    <row r="36" spans="2:57" s="3" customFormat="1" x14ac:dyDescent="0.2">
      <c r="E36" s="3">
        <f>+E12/D12-1</f>
        <v>-0.24213519214894985</v>
      </c>
      <c r="F36" s="3">
        <f t="shared" ref="F36:Q36" si="24">+F12/E12-1</f>
        <v>0.10000000000000009</v>
      </c>
      <c r="G36" s="3">
        <f t="shared" si="24"/>
        <v>0.10000000000000009</v>
      </c>
      <c r="H36" s="3">
        <f t="shared" si="24"/>
        <v>0.10000000000000009</v>
      </c>
      <c r="I36" s="3">
        <f t="shared" si="24"/>
        <v>0.10000000000000009</v>
      </c>
      <c r="J36" s="3">
        <f t="shared" si="24"/>
        <v>0.10000000000000009</v>
      </c>
      <c r="K36" s="3">
        <f t="shared" si="24"/>
        <v>-0.31698654463492959</v>
      </c>
      <c r="L36" s="3">
        <f t="shared" si="24"/>
        <v>0.10000000000000009</v>
      </c>
      <c r="M36" s="3">
        <f t="shared" si="24"/>
        <v>0.10000000000000009</v>
      </c>
      <c r="N36" s="3">
        <f t="shared" si="24"/>
        <v>0.10000000000000009</v>
      </c>
      <c r="O36" s="3">
        <f t="shared" si="24"/>
        <v>0.10000000000000009</v>
      </c>
      <c r="P36" s="3">
        <f t="shared" si="24"/>
        <v>0.10000000000000009</v>
      </c>
      <c r="Q36" s="3">
        <f t="shared" si="24"/>
        <v>0.10000000000000009</v>
      </c>
    </row>
    <row r="37" spans="2:57" s="3" customFormat="1" x14ac:dyDescent="0.2">
      <c r="E37" s="3">
        <f>+E13/D13-1</f>
        <v>-0.45077138849929865</v>
      </c>
      <c r="F37" s="3">
        <f t="shared" ref="F37:Q37" si="25">+F13/E13-1</f>
        <v>-9.9999999999999978E-2</v>
      </c>
      <c r="G37" s="3">
        <f t="shared" si="25"/>
        <v>-9.9999999999999978E-2</v>
      </c>
      <c r="H37" s="3">
        <f t="shared" si="25"/>
        <v>-9.9999999999999978E-2</v>
      </c>
      <c r="I37" s="3">
        <f t="shared" si="25"/>
        <v>-9.9999999999999978E-2</v>
      </c>
      <c r="J37" s="3">
        <f t="shared" si="25"/>
        <v>-9.9999999999999978E-2</v>
      </c>
      <c r="K37" s="3">
        <f t="shared" si="25"/>
        <v>0.52415790275872576</v>
      </c>
      <c r="L37" s="3">
        <f t="shared" si="25"/>
        <v>-9.9999999999999978E-2</v>
      </c>
      <c r="M37" s="3">
        <f t="shared" si="25"/>
        <v>-9.9999999999999978E-2</v>
      </c>
      <c r="N37" s="3">
        <f t="shared" si="25"/>
        <v>-9.9999999999999978E-2</v>
      </c>
      <c r="O37" s="3">
        <f t="shared" si="25"/>
        <v>-9.9999999999999978E-2</v>
      </c>
      <c r="P37" s="3">
        <f t="shared" si="25"/>
        <v>-0.10000000000000009</v>
      </c>
      <c r="Q37" s="3">
        <f t="shared" si="25"/>
        <v>-9.9999999999999978E-2</v>
      </c>
    </row>
    <row r="38" spans="2:57" s="6" customFormat="1" ht="15.75" x14ac:dyDescent="0.25">
      <c r="B38" s="6" t="s">
        <v>44</v>
      </c>
      <c r="E38" s="6">
        <f>+E14/D14-1</f>
        <v>-2.204107710861436E-2</v>
      </c>
      <c r="F38" s="6">
        <f t="shared" ref="F38:Q38" si="26">+F14/E14-1</f>
        <v>7.9823198340765344E-2</v>
      </c>
      <c r="G38" s="6">
        <f t="shared" si="26"/>
        <v>9.0764723016388826E-2</v>
      </c>
      <c r="H38" s="6">
        <f t="shared" si="26"/>
        <v>0.10105201289672872</v>
      </c>
      <c r="I38" s="6">
        <f t="shared" si="26"/>
        <v>-0.16735269440849088</v>
      </c>
      <c r="J38" s="6">
        <f t="shared" si="26"/>
        <v>0.49318601375868942</v>
      </c>
      <c r="K38" s="6">
        <f t="shared" si="26"/>
        <v>-0.33029107506654709</v>
      </c>
      <c r="L38" s="6">
        <f t="shared" si="26"/>
        <v>9.0764723016388826E-2</v>
      </c>
      <c r="M38" s="6">
        <f t="shared" si="26"/>
        <v>0.10105201289672872</v>
      </c>
      <c r="N38" s="6">
        <f t="shared" si="26"/>
        <v>0.11062539050724451</v>
      </c>
      <c r="O38" s="6">
        <f t="shared" si="26"/>
        <v>0.11945694896751857</v>
      </c>
      <c r="P38" s="6">
        <f t="shared" si="26"/>
        <v>0.12754543176804378</v>
      </c>
      <c r="Q38" s="6">
        <f t="shared" si="26"/>
        <v>0.13491023265820012</v>
      </c>
    </row>
    <row r="39" spans="2:57" s="3" customFormat="1" x14ac:dyDescent="0.2">
      <c r="B39" s="3" t="s">
        <v>52</v>
      </c>
      <c r="D39" s="3">
        <f>+D16/D14</f>
        <v>0.28040927314886299</v>
      </c>
      <c r="E39" s="3">
        <f>+E16/E14</f>
        <v>0.33736263564510255</v>
      </c>
      <c r="F39" s="3">
        <f t="shared" ref="F39:Q39" si="27">+F16/F14</f>
        <v>0.35</v>
      </c>
      <c r="G39" s="3">
        <f t="shared" si="27"/>
        <v>0.35</v>
      </c>
      <c r="H39" s="3">
        <f t="shared" si="27"/>
        <v>0.34999999999999992</v>
      </c>
      <c r="I39" s="3">
        <f t="shared" si="27"/>
        <v>0.35</v>
      </c>
      <c r="J39" s="3">
        <f t="shared" si="27"/>
        <v>0.35</v>
      </c>
      <c r="K39" s="3">
        <f t="shared" si="27"/>
        <v>0.35</v>
      </c>
      <c r="L39" s="3">
        <f t="shared" si="27"/>
        <v>0.35</v>
      </c>
      <c r="M39" s="3">
        <f t="shared" si="27"/>
        <v>0.34999999999999992</v>
      </c>
      <c r="N39" s="3">
        <f t="shared" si="27"/>
        <v>0.35</v>
      </c>
      <c r="O39" s="3">
        <f t="shared" si="27"/>
        <v>0.35</v>
      </c>
      <c r="P39" s="3">
        <f t="shared" si="27"/>
        <v>0.35</v>
      </c>
      <c r="Q39" s="3">
        <f t="shared" si="27"/>
        <v>0.34999999999999992</v>
      </c>
    </row>
    <row r="40" spans="2:57" s="3" customFormat="1" x14ac:dyDescent="0.2">
      <c r="B40" s="3" t="s">
        <v>53</v>
      </c>
      <c r="D40" s="3">
        <f>+D26/D25</f>
        <v>0.10785824345146362</v>
      </c>
      <c r="E40" s="3">
        <f>+E26/E25</f>
        <v>0.11367346938775506</v>
      </c>
      <c r="F40" s="3">
        <f t="shared" ref="F40:Q40" si="28">+F26/F25</f>
        <v>0.15</v>
      </c>
      <c r="G40" s="3">
        <f t="shared" si="28"/>
        <v>0.15</v>
      </c>
      <c r="H40" s="3">
        <f t="shared" si="28"/>
        <v>0.15</v>
      </c>
      <c r="I40" s="3">
        <f t="shared" si="28"/>
        <v>0.15</v>
      </c>
      <c r="J40" s="3">
        <f t="shared" si="28"/>
        <v>0.15</v>
      </c>
      <c r="K40" s="3">
        <f t="shared" si="28"/>
        <v>0.15</v>
      </c>
      <c r="L40" s="3">
        <f t="shared" si="28"/>
        <v>0.15</v>
      </c>
      <c r="M40" s="3">
        <f t="shared" si="28"/>
        <v>0.15</v>
      </c>
      <c r="N40" s="3">
        <f t="shared" si="28"/>
        <v>0.15</v>
      </c>
      <c r="O40" s="3">
        <f t="shared" si="28"/>
        <v>0.15</v>
      </c>
      <c r="P40" s="3">
        <f t="shared" si="28"/>
        <v>0.15</v>
      </c>
      <c r="Q40" s="3">
        <f t="shared" si="28"/>
        <v>0.15</v>
      </c>
    </row>
    <row r="42" spans="2:57" s="4" customFormat="1" x14ac:dyDescent="0.2">
      <c r="B42" s="4" t="s">
        <v>45</v>
      </c>
      <c r="D42" s="4">
        <v>40.256999999999998</v>
      </c>
      <c r="E42" s="4">
        <v>108.349</v>
      </c>
    </row>
    <row r="43" spans="2:57" s="4" customFormat="1" x14ac:dyDescent="0.2">
      <c r="B43" s="4" t="s">
        <v>46</v>
      </c>
      <c r="D43" s="4">
        <v>-6.9989999999999997</v>
      </c>
      <c r="E43" s="4">
        <v>-53.534999999999997</v>
      </c>
    </row>
    <row r="44" spans="2:57" s="4" customFormat="1" x14ac:dyDescent="0.2">
      <c r="B44" s="4" t="s">
        <v>47</v>
      </c>
      <c r="D44" s="4">
        <v>-8.8320000000000007</v>
      </c>
      <c r="E44" s="4">
        <v>-12.125999999999999</v>
      </c>
    </row>
    <row r="45" spans="2:57" s="5" customFormat="1" ht="15.75" x14ac:dyDescent="0.25">
      <c r="B45" s="5" t="s">
        <v>48</v>
      </c>
      <c r="D45" s="5">
        <f>+D42+D44</f>
        <v>31.424999999999997</v>
      </c>
      <c r="E45" s="5">
        <f>+E42+E44</f>
        <v>96.222999999999999</v>
      </c>
      <c r="F45" s="5">
        <f>+F27*1.3</f>
        <v>112.79283301000004</v>
      </c>
      <c r="G45" s="5">
        <f t="shared" ref="G45:Q45" si="29">+G27*1.3</f>
        <v>133.06445718020004</v>
      </c>
      <c r="H45" s="5">
        <f t="shared" si="29"/>
        <v>158.23276010331395</v>
      </c>
      <c r="I45" s="5">
        <f t="shared" si="29"/>
        <v>99.891592532929579</v>
      </c>
      <c r="J45" s="5">
        <f t="shared" si="29"/>
        <v>226.61956001015918</v>
      </c>
      <c r="K45" s="5">
        <f t="shared" si="29"/>
        <v>89.302438258427159</v>
      </c>
      <c r="L45" s="5">
        <f t="shared" si="29"/>
        <v>107.4431886840981</v>
      </c>
      <c r="M45" s="5">
        <f t="shared" si="29"/>
        <v>130.10578721789287</v>
      </c>
      <c r="N45" s="5">
        <f t="shared" si="29"/>
        <v>158.01438862476084</v>
      </c>
      <c r="O45" s="5">
        <f t="shared" si="29"/>
        <v>192.04616211249314</v>
      </c>
      <c r="P45" s="5">
        <f t="shared" si="29"/>
        <v>233.26030076138173</v>
      </c>
      <c r="Q45" s="5">
        <f t="shared" si="29"/>
        <v>282.93293451166551</v>
      </c>
      <c r="R45" s="5">
        <f>+Q45*(1+$J$47)</f>
        <v>285.76226385678217</v>
      </c>
      <c r="S45" s="5">
        <f t="shared" ref="S45:BE45" si="30">+R45*(1+$J$47)</f>
        <v>288.61988649534999</v>
      </c>
      <c r="T45" s="5">
        <f t="shared" si="30"/>
        <v>291.50608536030347</v>
      </c>
      <c r="U45" s="5">
        <f t="shared" si="30"/>
        <v>294.42114621390652</v>
      </c>
      <c r="V45" s="5">
        <f t="shared" si="30"/>
        <v>297.36535767604562</v>
      </c>
      <c r="W45" s="5">
        <f t="shared" si="30"/>
        <v>300.33901125280607</v>
      </c>
      <c r="X45" s="5">
        <f t="shared" si="30"/>
        <v>303.34240136533413</v>
      </c>
      <c r="Y45" s="5">
        <f t="shared" si="30"/>
        <v>306.37582537898749</v>
      </c>
      <c r="Z45" s="5">
        <f t="shared" si="30"/>
        <v>309.43958363277738</v>
      </c>
      <c r="AA45" s="5">
        <f t="shared" si="30"/>
        <v>312.53397946910513</v>
      </c>
      <c r="AB45" s="5">
        <f t="shared" si="30"/>
        <v>315.65931926379619</v>
      </c>
      <c r="AC45" s="5">
        <f t="shared" si="30"/>
        <v>318.81591245643415</v>
      </c>
      <c r="AD45" s="5">
        <f t="shared" si="30"/>
        <v>322.00407158099847</v>
      </c>
      <c r="AE45" s="5">
        <f t="shared" si="30"/>
        <v>325.22411229680847</v>
      </c>
      <c r="AF45" s="5">
        <f t="shared" si="30"/>
        <v>328.47635341977656</v>
      </c>
      <c r="AG45" s="5">
        <f t="shared" si="30"/>
        <v>331.76111695397435</v>
      </c>
      <c r="AH45" s="5">
        <f t="shared" si="30"/>
        <v>335.07872812351411</v>
      </c>
      <c r="AI45" s="5">
        <f t="shared" si="30"/>
        <v>338.42951540474928</v>
      </c>
      <c r="AJ45" s="5">
        <f t="shared" si="30"/>
        <v>341.81381055879677</v>
      </c>
      <c r="AK45" s="5">
        <f t="shared" si="30"/>
        <v>345.23194866438473</v>
      </c>
      <c r="AL45" s="5">
        <f t="shared" si="30"/>
        <v>348.68426815102856</v>
      </c>
      <c r="AM45" s="5">
        <f t="shared" si="30"/>
        <v>352.17111083253883</v>
      </c>
      <c r="AN45" s="5">
        <f t="shared" si="30"/>
        <v>355.69282194086423</v>
      </c>
      <c r="AO45" s="5">
        <f t="shared" si="30"/>
        <v>359.24975016027287</v>
      </c>
      <c r="AP45" s="5">
        <f t="shared" si="30"/>
        <v>362.8422476618756</v>
      </c>
      <c r="AQ45" s="5">
        <f t="shared" si="30"/>
        <v>366.47067013849437</v>
      </c>
      <c r="AR45" s="5">
        <f t="shared" si="30"/>
        <v>370.13537683987931</v>
      </c>
      <c r="AS45" s="5">
        <f t="shared" si="30"/>
        <v>373.83673060827812</v>
      </c>
      <c r="AT45" s="5">
        <f t="shared" si="30"/>
        <v>377.57509791436092</v>
      </c>
      <c r="AU45" s="5">
        <f t="shared" si="30"/>
        <v>381.35084889350452</v>
      </c>
      <c r="AV45" s="5">
        <f t="shared" si="30"/>
        <v>385.16435738243956</v>
      </c>
      <c r="AW45" s="5">
        <f t="shared" si="30"/>
        <v>389.01600095626395</v>
      </c>
      <c r="AX45" s="5">
        <f t="shared" si="30"/>
        <v>392.90616096582659</v>
      </c>
      <c r="AY45" s="5">
        <f t="shared" si="30"/>
        <v>396.83522257548486</v>
      </c>
      <c r="AZ45" s="5">
        <f t="shared" si="30"/>
        <v>400.80357480123973</v>
      </c>
      <c r="BA45" s="5">
        <f t="shared" si="30"/>
        <v>404.81161054925212</v>
      </c>
      <c r="BB45" s="5">
        <f t="shared" si="30"/>
        <v>408.85972665474463</v>
      </c>
      <c r="BC45" s="5">
        <f t="shared" si="30"/>
        <v>412.94832392129206</v>
      </c>
      <c r="BD45" s="5">
        <f t="shared" si="30"/>
        <v>417.07780716050496</v>
      </c>
      <c r="BE45" s="5">
        <f t="shared" si="30"/>
        <v>421.24858523211003</v>
      </c>
    </row>
    <row r="46" spans="2:57" s="4" customFormat="1" x14ac:dyDescent="0.2">
      <c r="B46" s="4" t="s">
        <v>49</v>
      </c>
      <c r="D46" s="4">
        <v>-21.262</v>
      </c>
      <c r="E46" s="4">
        <v>-38.597000000000001</v>
      </c>
    </row>
    <row r="47" spans="2:57" s="4" customFormat="1" x14ac:dyDescent="0.2">
      <c r="B47" s="4" t="s">
        <v>50</v>
      </c>
      <c r="D47" s="4">
        <v>-3.4860000000000002</v>
      </c>
      <c r="E47" s="4">
        <v>2.8879999999999999</v>
      </c>
      <c r="I47" s="4" t="s">
        <v>54</v>
      </c>
      <c r="J47" s="3">
        <v>0.01</v>
      </c>
    </row>
    <row r="48" spans="2:57" s="4" customFormat="1" x14ac:dyDescent="0.2">
      <c r="B48" s="4" t="s">
        <v>51</v>
      </c>
      <c r="D48" s="4">
        <f>+D42+D43+D46+D47</f>
        <v>8.5099999999999945</v>
      </c>
      <c r="E48" s="4">
        <f>+E42+E43+E46+E47</f>
        <v>19.105000000000004</v>
      </c>
      <c r="I48" s="4" t="s">
        <v>55</v>
      </c>
      <c r="J48" s="3">
        <v>0.08</v>
      </c>
    </row>
    <row r="49" spans="9:10" x14ac:dyDescent="0.2">
      <c r="I49" t="s">
        <v>56</v>
      </c>
      <c r="J49" s="7">
        <f>+NPV(J48,E45:BE45)</f>
        <v>2544.1754478298039</v>
      </c>
    </row>
  </sheetData>
  <hyperlinks>
    <hyperlink ref="A1" location="main!A1" display="Main" xr:uid="{2960FD91-1737-4030-AB67-680053CF6FF6}"/>
  </hyperlinks>
  <pageMargins left="0.7" right="0.7" top="0.75" bottom="0.75" header="0.3" footer="0.3"/>
  <ignoredErrors>
    <ignoredError sqref="D14:E14" formulaRange="1"/>
    <ignoredError sqref="F7:F8 G7:M7 G8:Q8 N7:Q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Geli Braholli</dc:creator>
  <cp:lastModifiedBy>Geli Braholli</cp:lastModifiedBy>
  <dcterms:created xsi:type="dcterms:W3CDTF">2025-02-03T21:32:43Z</dcterms:created>
  <dcterms:modified xsi:type="dcterms:W3CDTF">2025-02-03T22:09:13Z</dcterms:modified>
</cp:coreProperties>
</file>