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lterretweets -filterreplies " sheetId="1" r:id="rId4"/>
    <sheet state="visible" name="Hoja 2" sheetId="2" r:id="rId5"/>
    <sheet state="visible" name="Hoja 3" sheetId="3" r:id="rId6"/>
    <sheet state="visible" name="Hoja 4" sheetId="4" r:id="rId7"/>
    <sheet state="visible" name="Hoja 5" sheetId="5" r:id="rId8"/>
    <sheet state="visible" name="Hoja 6" sheetId="6" r:id="rId9"/>
    <sheet state="visible" name="Hoja 7" sheetId="7" r:id="rId10"/>
    <sheet state="visible" name="Hoja 8" sheetId="8" r:id="rId11"/>
    <sheet state="visible" name="Hoja 9" sheetId="9" r:id="rId12"/>
    <sheet state="visible" name="Hoja 10" sheetId="10" r:id="rId13"/>
    <sheet state="visible" name="Hoja 11" sheetId="11" r:id="rId14"/>
    <sheet state="visible" name="Hoja 12" sheetId="12" r:id="rId15"/>
    <sheet state="visible" name="Twitter Archiver Logs" sheetId="13" r:id="rId16"/>
    <sheet state="visible" name="Hoja 1" sheetId="14" r:id="rId17"/>
  </sheets>
  <definedNames/>
  <calcPr/>
</workbook>
</file>

<file path=xl/sharedStrings.xml><?xml version="1.0" encoding="utf-8"?>
<sst xmlns="http://schemas.openxmlformats.org/spreadsheetml/2006/main" count="5285" uniqueCount="2728">
  <si>
    <t>Twitter Query: -filter:retweets -filter:replies from:azucenau</t>
  </si>
  <si>
    <t>Date</t>
  </si>
  <si>
    <t>Screen Name</t>
  </si>
  <si>
    <t>Full Name</t>
  </si>
  <si>
    <t>Tweet Text</t>
  </si>
  <si>
    <t>Tweet ID</t>
  </si>
  <si>
    <t>Link(s)</t>
  </si>
  <si>
    <t>Media</t>
  </si>
  <si>
    <t>Location</t>
  </si>
  <si>
    <t>Retweets</t>
  </si>
  <si>
    <t>Favorites</t>
  </si>
  <si>
    <t>App</t>
  </si>
  <si>
    <t>Followers</t>
  </si>
  <si>
    <t>Follows</t>
  </si>
  <si>
    <t>Listed</t>
  </si>
  <si>
    <t>Verfied</t>
  </si>
  <si>
    <t>User Since</t>
  </si>
  <si>
    <t>Bio</t>
  </si>
  <si>
    <t>Website</t>
  </si>
  <si>
    <t>Timezone</t>
  </si>
  <si>
    <t>Profile Image</t>
  </si>
  <si>
    <t>Azucena Uresti</t>
  </si>
  <si>
    <t>Los enfermedades de Fox, Calderón Peña Nieto cuando eran presidentes  vía @Milenio</t>
  </si>
  <si>
    <t>https://www.milenio.com/politica/enfermedades-fox-calderon-pena-nieto-presidentes</t>
  </si>
  <si>
    <t>✅</t>
  </si>
  <si>
    <t>Enamorada de la vida y del presente. Conductora en #MilenioTV #RadioFórmula y #TelediarioEnEl6. Opiniones son personales. Tuits de Azucena firmados como: AU</t>
  </si>
  <si>
    <t>http://www.youtube.com/azucenauresti</t>
  </si>
  <si>
    <t>Tras contagio de AMLO, Presidencia ve “probable” recomendar cubrebocas</t>
  </si>
  <si>
    <t>https://latinus.us/2021/01/25/pandemia-covid-contagio-amlo-presidencia-probable-recomendar-cubrebocas/#.YBA6vCd1t38.twitter</t>
  </si>
  <si>
    <t>Hoy en la conferencia matutina todos con cubrebocas 👍 #BuenMartes @M_OlgaSCordero @zoerobledo @Juanferrer62</t>
  </si>
  <si>
    <t>https://pbs.twimg.com/media/EsqUKxnW4AAesQ9.jpg</t>
  </si>
  <si>
    <t>En su bonita sección “¡no todos los héroes llevan capa!” 👮🏽‍♂️ Norberto Sánchez, un policía de tránsito de la #CDMX le regresó una mochila con 30 mil pesos a su dueño, sin saberlo, Norberto salvó una vida, pues el dinero era para comprar un tanque de oxígeno #AzucenaxMilenio</t>
  </si>
  <si>
    <t>pic.twitter.com/l9ntSneqBv</t>
  </si>
  <si>
    <t>#AzucenaxMilenio | Alguna vez te has preguntado ¿Cuántos mexicanos somos? Aquí te dejo el dato</t>
  </si>
  <si>
    <t>pic.twitter.com/soa3YHBzg3</t>
  </si>
  <si>
    <t>#AzucenaxMilenio | Paquita "La del Barrio" se registró como precandidata de #MovimientoCiudadano a una diputación local de #Veracruz</t>
  </si>
  <si>
    <t>pic.twitter.com/ZBYIaDaI8q</t>
  </si>
  <si>
    <t>#Meta21 | Estamos a unos meses de que se lleven a cabo las elecciones de 2021 y ya se están perfilando varios candidatos</t>
  </si>
  <si>
    <t>pic.twitter.com/vsYex1Sp4D</t>
  </si>
  <si>
    <t>#AzucenaxMilenio | Luego de mucho "estira y afloja" el diputado Fernández Noroña por fin se disculpó públicamente con la diputada Adriana Dávila por sus comentarios calificados como violencia política de género</t>
  </si>
  <si>
    <t>pic.twitter.com/bNrGwZMr7a</t>
  </si>
  <si>
    <t>#AzucenaxMilenio | Este fin de semana fueron localizados 19 cuerpos calcinados en Camargo, #Tamaulipas</t>
  </si>
  <si>
    <t>pic.twitter.com/HOucUxqY1h</t>
  </si>
  <si>
    <t>#AzucenaxMilenio | La Fiscalía de la #CDMX entregó la solicitud de desafuero contra el diputado Mauricio Toledo para ser investigado por presunto enriquecimiento ilícito</t>
  </si>
  <si>
    <t>pic.twitter.com/G34UaJld2j</t>
  </si>
  <si>
    <t>#AzucenaxMilenio | Aplazan la audiencia de Jorge Luis Lavalle, acusado de cohecho, asociación delictuosa y lavado de dinero</t>
  </si>
  <si>
    <t>pic.twitter.com/mUv1Ap7Zh4</t>
  </si>
  <si>
    <t>#AzucenaxMilenio la bandera de la lucha anticorrupción del actual gobierno no parece tener resonancia en la #FGR que no ha logrado consolidar casos importantes como el de Lozoya o #LosBetos, donde un juez negó tres órdenes de aprehensión porque carecía de sustento jurídico</t>
  </si>
  <si>
    <t>pic.twitter.com/WOE0snwLsz</t>
  </si>
  <si>
    <t>#AzucenaxMilenio | #Camapeche es el único estado del país que se encuentra en color verde del semáforo epidemiológico de #COVID19... por ello se está vacunando al personal docente ante un posible regreso a clases</t>
  </si>
  <si>
    <t>pic.twitter.com/J0abrzoHO0</t>
  </si>
  <si>
    <t>#AzucenaxMilenio | Ante las 150 mil muertes por #COVID19 en el país, parece que algunas personas siguen sin entender la gravedad de la enfermedad pues siguen realizando fiestas e incluso bodas</t>
  </si>
  <si>
    <t>pic.twitter.com/skbMYHz9D5</t>
  </si>
  <si>
    <t>#AzucenaxMilenio | Ante el incremento de contagios y muertes por #COVID19 cada vez son más largas las filas de personas que intentan hacerse una prueba</t>
  </si>
  <si>
    <t>pic.twitter.com/hGh1e5F5aB</t>
  </si>
  <si>
    <t>#AzucenaxMilenio | Esta tarde se dio a conocer la noticia de que Carlos Slim también dio positivo a #COVID19</t>
  </si>
  <si>
    <t>pic.twitter.com/uRE5p58ebz</t>
  </si>
  <si>
    <t>#AzucenaxMilenio | Desde Enrique Peña Nieto y Felipe Calderón, el apoyo al presidente @Lopezobrador_ para su pronta recuperación por #COVID19 fue unánime... incluso mandatarios de otros países le mostraron su apoyo</t>
  </si>
  <si>
    <t>pic.twitter.com/84Md9VeFS8</t>
  </si>
  <si>
    <t>#AzucenaxMilenio | ¿Qué es un "falso negativo"? y ¿Haber tenido #COVID19 previamente te protege realmente de volver a contagiarse? Aquí los datos</t>
  </si>
  <si>
    <t>pic.twitter.com/EVSMLibCae</t>
  </si>
  <si>
    <t>#AzucenaxMilenio | Durante el fin de semana, el presidente @Lopezobrador_ visitó dos estados del país en los que sostuvo diversas reuniones y eventos... tras dar positivo a #COVID19, ¿Cuántas personas podrían estar en riesgo de contagio? Aquí un breve recuento</t>
  </si>
  <si>
    <t>pic.twitter.com/xQL1IGBuOQ</t>
  </si>
  <si>
    <t>#AzucenaxMilenio | @JesusRCuevas nos adelantó que @HLGatell se encontraba en confinamiento por mantener contacto con el presidente @Lopezobrador_ que dio positivo a #COVID19</t>
  </si>
  <si>
    <t>pic.twitter.com/2u8LGocDPh</t>
  </si>
  <si>
    <t>#AzucenaxMilenio | Ahora que el presidente @Lopezobrador_ tiene #COVID19 ¿Se cambiará el formato de #LaMañanera de presencial a digital? y ¿El uso del #cubrebocas será obligatorio para todos los eventos presidenciales? Esto fue lo que me dijo @JesusRCuevas al respecto</t>
  </si>
  <si>
    <t>pic.twitter.com/y1KiQAMWBB</t>
  </si>
  <si>
    <t>#AzucenaxMilenio | A pesar de dar positivo a #COVID19, el presidente @Lopezobrador_ se encuentra trabajando, esta mañana informó que sostuvo una llamada con Vladimir Putin con quien acordó la llegada de la vacuna #SputnikV a #México</t>
  </si>
  <si>
    <t>pic.twitter.com/xd9pXzATZH</t>
  </si>
  <si>
    <t>#AzucenaxMilenio | A través de sus redes sociales, el presidente @Lopezobrador_ informó que dio positivo a #COVID19; se realizó una prueba al regresar de una gira por #SanLuisPotosí</t>
  </si>
  <si>
    <t>pic.twitter.com/X1gRyEMOIy</t>
  </si>
  <si>
    <t>#AzucenaxMilenio | En el día 333 de la pandemia en #México superamos las 150 mil muertes por #COVID19 y estamos muy cerca de alcanzar el un millón 800 mil contagios</t>
  </si>
  <si>
    <t>pic.twitter.com/mZA7TxTGeQ</t>
  </si>
  <si>
    <t>#AzucenaxMilenio | En la #CDMX, un ciclista grabó el momento en que un taxista lo atropella y se da a la fuga</t>
  </si>
  <si>
    <t>pic.twitter.com/em282olvxg</t>
  </si>
  <si>
    <t>#ENVIVO | Ahora #AzucenaxMilenio también está por #Periscope ¡Acá los veo!</t>
  </si>
  <si>
    <t>https://twitter.com/i/broadcasts/1zqJVXkljzXKB</t>
  </si>
  <si>
    <t>¡Muy buenas noches! 🙌🏻 Comenzamos con toda la información que necesitan para antes de ir a dormir en #AzucenaxMilenio Acompáñenme por Milenio Televisión y #FBLive  ¡los espero! 😘</t>
  </si>
  <si>
    <t>http://www.facebook.com/azucenaum</t>
  </si>
  <si>
    <t>https://pbs.twimg.com/media/EsoTBqbXMAAwMYK.jpg</t>
  </si>
  <si>
    <t>Así fue la explosión de una pipa de gas LP de la empresa "Gas Urbano" sobre Av. del Tesoro en la Unidad Pueblo Nuevo, en #Chalco, #EdoMex, se habla de dos personas lesionadas, tres casas dañadas y varios vehículos.</t>
  </si>
  <si>
    <t>pic.twitter.com/7jygrAVjkF</t>
  </si>
  <si>
    <t>#ALMOMENTO | A través de redes sociales, usuarios del @MexibusL1_ reportan la falta de camiones desde hace más de una hora debido a que vecinos de la zona mantienen un bloqueo en el cruce de la Av Central y Av México, #Ecatepec por la falta de agua</t>
  </si>
  <si>
    <t>https://twitter.com/tesaktriskel/status/1353887431834144768/video/1</t>
  </si>
  <si>
    <t>Mire lo qué pasó en #Amozoc, #Puebla, policías estatales detuvieron a un joven que caminaba tranquilamente; los uniformados lo golpean, lo someten y lo suben a la patrulla, debido, según informaron, a una falta administrativa. La @SSPGobPue ya está investigando a los agentes.</t>
  </si>
  <si>
    <t>pic.twitter.com/EPHh0O5u8A</t>
  </si>
  <si>
    <t>#ÚLTIMAHORA | Hoy por #Covid_19, en #México se registran 150 mil 273 muertes (659 más que ayer) Un millón 771 mil 740 casos confirmados (8 mil 521 más que ayer)</t>
  </si>
  <si>
    <t>https://pbs.twimg.com/media/EsnsK18XcAEMp7y.jpg</t>
  </si>
  <si>
    <t>Hugo López-Gatell en confinamiento tras tener contacto con AMLO  a través de @Milenio</t>
  </si>
  <si>
    <t>https://www.milenio.com/politica/lopez-gatell-esta-en-confinamiento-tras-estar-en-contacto-con-amlo</t>
  </si>
  <si>
    <t>Sobre la vacuna #SputnikV estoy conversando con Alejandro Cossío y el Dr. Xavier Tello (@StratCons) en #AzucenaxFórmula</t>
  </si>
  <si>
    <t>#ALMOMENTO | El resultado de la prueba #COVID19 de la secretaria de Gobernación, @M_OlgaSCordero es NEGATIVO #AzucenaxFórmula</t>
  </si>
  <si>
    <t>Sobre la prescripción de la Fiscalía sobre una de las denuncias por violación en contra de Félix Salgado Macedonio y las investigaciones que se están realizando, estoy conversando con Xavier Olea, exfiscal de #Guerrero #AzucenaxFórmula</t>
  </si>
  <si>
    <t>Sobre las vacunas #SputnikV y el estado de #NuevoLeón, estoy conversando con el secretario de salud, @DrManueldelaO en #AzucenaxFórmula</t>
  </si>
  <si>
    <t>Para conocer más sobre el estado de salud del presidente @Lopezobrador_, estoy conversando con @JesusRCuevas, Coordinador General de Comunicación Social de la Presidencia #AzucenaxFórmula</t>
  </si>
  <si>
    <t>¡Muy buenas tardes!🙃 Comenzamos la última semana del mes, ¡Que rápido! 😬 Los invito a que me acompañen con toda la información más completa de la tarde en #AzucenaxFórmula por el 104.1 FM 1500 AM y  #Monterrey 101.3 FM #Guadalajara 1230 AM ¡Los espero!</t>
  </si>
  <si>
    <t>http://www.radioformula.com.mx</t>
  </si>
  <si>
    <t>#ALMOMENTO | Janet Yellen es confirmada por el Senado y se convierte en la primera mujer al frente del Tesoro de #EUA</t>
  </si>
  <si>
    <t>https://pbs.twimg.com/media/EsnXl_IXIAEty7_.jpg</t>
  </si>
  <si>
    <t>En Córdoba, #Veracruz, se celebró una boda con más de 200 invitados; la Catedral de la Inmaculada Concepción fue cerrada para las nupcias. ¿Qué opinan?</t>
  </si>
  <si>
    <t>pic.twitter.com/wnO2akT8Rk</t>
  </si>
  <si>
    <t>Vuelca camión de carga en Tlalpan De acuerdo con los primeros reportes, el conductor del vehículo de materiales para la construcción circulaba a exceso de velocidad por lo que en una mala maniobra perdió el control y terminó volcado.</t>
  </si>
  <si>
    <t>https://pbs.twimg.com/media/EsnG_qjXIAE-loy.jpg</t>
  </si>
  <si>
    <t>Un grupo de mujeres encapuchadas, realizan pintas en la fachada de la #FGJCDMX, para exigir que se activen los protocolos de actuación y se de celeridad a las carpetas de investigación iniciadas en casos de delitos en contra de la mujer</t>
  </si>
  <si>
    <t>https://pbs.twimg.com/media/Esm6fMZXYAAByqT.jpg</t>
  </si>
  <si>
    <t>Carlos Slim tiene covid-19  a través de @Milenio</t>
  </si>
  <si>
    <t>https://www.milenio.com/negocios/carlos-slim-tiene-covid-19</t>
  </si>
  <si>
    <t>AMLO y Vladimir Putin conversan por teléfono sobre vacuna anticovid Sputnik V.</t>
  </si>
  <si>
    <t>https://www.milenio.com/politica/amlo-vladimir-putin-conversan-vacuna-covid-19-sputnik</t>
  </si>
  <si>
    <t>https://pbs.twimg.com/media/EslreJ1XUAE7HT1.jpg</t>
  </si>
  <si>
    <t>La Secretaria,Sánchez Cordero,reporta que el Presidente se encuentra bien, fuerte y que su cuadro Covid presenta síntomas leves"Él mismo continuará pendiente de los asuntos públicos y lo hará en un momento más con la llamada que tiene pendiente a las ocho con el presidente Putin”</t>
  </si>
  <si>
    <t>#ALMOMENTO | El Dr. Alomía informó que el presidente @lopezobrador_ presenta un cuadro de #COVID19 leve, se encuentra en su domicilio y que su atención está coordinada por el Dr. Jorge Alcocer, secretario de @SSalud_mx</t>
  </si>
  <si>
    <t>pic.twitter.com/f0h1LvVeFU</t>
  </si>
  <si>
    <t>Todas las personas que estuvieron en contacto directo con el Presidente deben aislarse por unos días hasta que se les realice la prueba Covid que confirme o descarte contagio informa el Dr. José Luis Alomía *La candidata Flores Carrales ya tuvo covid</t>
  </si>
  <si>
    <t>https://pbs.twimg.com/media/EsinZghXIAEcqUE.jpg</t>
  </si>
  <si>
    <t>Pronto recuperación, Presidente @lopezobrador_ RT @lopezobrador_: Lamento informarles que estoy contagiado de COVID-19. Los síntomas son leves pero ya estoy en tratamiento médico. Como siempre, soy optimista. Saldremos adelante todos. Me representará la Dra. Olga Sánchez Cordero en las mañaneras para informar como lo hacemos todos los días.</t>
  </si>
  <si>
    <t>https://twitter.com/lopezobrador_/status/1353500519344578560</t>
  </si>
  <si>
    <t>#ÚLTIMAHORA | Hoy por #Covid_19, en #México se registran 149 mil 614 muertes (530 más que ayer) Un millón 763 mil 219 casos confirmados (10 mil 872 más que ayer)</t>
  </si>
  <si>
    <t>https://pbs.twimg.com/media/EsiixR2XAAEUjNw.jpg</t>
  </si>
  <si>
    <t>Esto decía Hugo López Gatell, en enero del 2020, respecto al #COVID19 y así lo transmitía en el noticiero: "Tenemos la confianza de que el país está preparado". Hoy, un año después ahí está la dolorosa e irrefutable realidad.</t>
  </si>
  <si>
    <t>pic.twitter.com/v5GmxkZWPu</t>
  </si>
  <si>
    <t>🚨 Urge ATENCION @zoerobledo @Tu_IMSS 🚨 RT @LilithElfen: Alejandro fue contaminado con la bacteria junto con otros pacientes en su sesión de hemodiálisis. Fue a dar al hospital hace dos semanas por causa de la bacteria, estuvo una semana, porque según iba a hacer unos estudios para saber que bacteria era. Se perdieron los estudios.</t>
  </si>
  <si>
    <t>https://twitter.com/lilithelfen/status/1353368020035510273</t>
  </si>
  <si>
    <t>#ÚLTIMAHORA | Hoy por #Covid_19, en #México se registran 149 mil 84 muertes (mil 470 más que ayer) Un millón 752 mil 347 casos confirmados (20 mil 57 más que ayer)</t>
  </si>
  <si>
    <t>https://pbs.twimg.com/media/Esda5C-WMAEsX-f.jpg</t>
  </si>
  <si>
    <t>Dejaré esto por aquí 😍</t>
  </si>
  <si>
    <t>https://pbs.twimg.com/media/EscrsdXW8AAZtjR.jpg</t>
  </si>
  <si>
    <t>El gobernador de NL, Jaime Rodríguez, rechazó que deban ser los servidores de la nación quienes participen en la estrategia de vacunación -¿Es electoral eso?,se le cuestionó -Pregúntele a los chavos pa’que vean todos ellos están a huevo ahí afuera Vía @cinthyastettin</t>
  </si>
  <si>
    <t>pic.twitter.com/jBIE3qOCQ0</t>
  </si>
  <si>
    <t>“Nos están orillando a botear en las calles”: José, un adulto mayor afectado por la pandemia</t>
  </si>
  <si>
    <t>https://www.radioformula.com.mx/audio-y-video/audio/20210122/nos-estan-orillando-a-botear-en-las-calles-jose-un-adulto-mayor-afectado-por-la-pandemia/</t>
  </si>
  <si>
    <t>#AzucenaxMilenio | Alguna vez se ha preguntado ¿Cómo ven el mundo algunas mascotas? Aquí las #ImágenesDelDía</t>
  </si>
  <si>
    <t>pic.twitter.com/5WwD6kQC0s</t>
  </si>
  <si>
    <t>#AzucenaxMilenio | La youtuber Nath Campos confesó haber sido víctima de violación por parte de un influencer conocido como Rix… al platicarlo con otras personas, se llevó la sorpresa de que no era la única que pasó por eso</t>
  </si>
  <si>
    <t>pic.twitter.com/O0Ae7IcTmh</t>
  </si>
  <si>
    <t>#AzucenaxMilenio | En Valle de Chalco, policías municipales abordo de una patrulla secuestraron a un menor de 14 años que viajaba en una camioneta... exigieron 10 mil pesos para liberarlo</t>
  </si>
  <si>
    <t>pic.twitter.com/P1FrrdHfjp</t>
  </si>
  <si>
    <t>#AzucenaxMilenio | Dos policías de Tlalnepantla, #EdoMéx fueron asesinados al intentar frustrar un asalto; persiguieron a los delincuentes, los enfrentaros, y éstos, les dispararon a quemarropa</t>
  </si>
  <si>
    <t>pic.twitter.com/UP5Thmh3YN</t>
  </si>
  <si>
    <t>#AzucenaxMilenio | Esta tarde fue asesinado en la #CDMX, Martín Rodríguez, presidente del Consejo Internacional de Empresarios al salir de un gimnasio en la colonia Nápoles</t>
  </si>
  <si>
    <t>pic.twitter.com/hEpvlLTamt</t>
  </si>
  <si>
    <t>#AzucenaxMilenio | El diputado Fernando Fernández Noroña ya ofreció una disculpa, aunque no fue para @AdrianaDavilaF, como tendría que ser... entonces ¿Con quién se disculpó?</t>
  </si>
  <si>
    <t>pic.twitter.com/999chkqtJi</t>
  </si>
  <si>
    <t>#AzucenaxMilenio | El juicio político de Donald #Trump se llevará a cabo el 8 de febrero... el expresidente podría no volver a ocupar un cargo político</t>
  </si>
  <si>
    <t>pic.twitter.com/M7ij01MADN</t>
  </si>
  <si>
    <t>#AzucenaxMilenio | Se dieron a conocer las cifras del rating de la toma de protesta de #JoeBiden... ¿tuvo más espectadores que la de #Trump?</t>
  </si>
  <si>
    <t>pic.twitter.com/CNwiqmsmyy</t>
  </si>
  <si>
    <t>#AzucenaxMilenio | El presidente de #EUA, #JoeBiden firmó dos decretos de emergencia en su segundo día de mandato para aumentar la ayuda alimentaria, proteger a desempleados y apoyar a los trabajadores</t>
  </si>
  <si>
    <t>pic.twitter.com/zZTCwJsYcP</t>
  </si>
  <si>
    <t>#AzucenaxMilenio | #JoeBiden conversó con el primer ministro de #Canadá, Justin Trudeu, prevén reunirse en persona el próximo mes</t>
  </si>
  <si>
    <t>pic.twitter.com/urWsst1Vh8</t>
  </si>
  <si>
    <t>#AzucenaxMilenio | El presidente @Lopezobrador_ sostuvo una conversación telefónica con @JoeBiden, el mandatario pronóstico que habrá una buena relación</t>
  </si>
  <si>
    <t>pic.twitter.com/5t6FyKNBv9</t>
  </si>
  <si>
    <t>#AzucenaxMilenio | El gobierno de #EUA otorgó el beneplácito a @Emoctezumab con lo que se avaló su designación como nuevo embajador de #México en Estados Unidos</t>
  </si>
  <si>
    <t>pic.twitter.com/FVHqu74xm9</t>
  </si>
  <si>
    <t>#AzucenaxMilenio | Hoy se presentó el plan de vacunación contra #COVID19 para personal docente en #Campeche, el único estado del país que se encuentra en color verde del semáforo epidemiológico nacional</t>
  </si>
  <si>
    <t>pic.twitter.com/iJPo2QCe4f</t>
  </si>
  <si>
    <t>#AzucenaxMilenio | El canciller @m_ebrard informó que las vacunas #CUREVAC y #Novavax iniciarán los ensayos de la fase 3 en #México</t>
  </si>
  <si>
    <t>pic.twitter.com/5GxBKUAYXd</t>
  </si>
  <si>
    <t>#AzucenaxMilenio | En medio de toda la polémica por la compra de vacunas contra #COVID19, la duda es: ¿Las farmacéuticas le venderán a los gobiernos estatales? Esto nos dijo el Dr. Xavier Tello (@StratCons)</t>
  </si>
  <si>
    <t>pic.twitter.com/CLyzxQZoMR</t>
  </si>
  <si>
    <t>#Azucenaxmilenio | El empresario veracruzano Alejandro Cossío asegura que tiene 2 millones de dosis de vacunas #SputnikV que se podrían vender en farmacias de #NuevoLeón en no más de 800 pesos, ¿Eso es posible? Esto fue lo que nos respondió el Dr. Xavier Tello (@StratCons)</t>
  </si>
  <si>
    <t>pic.twitter.com/YepBdrpdBZ</t>
  </si>
  <si>
    <t>#AzucenaxMilenio | El presidente @Lopezobrador_ estuvo en #NuevoLeón donde el gobernador Jaime Rodríguez Calderón le agradeció que se les permita a los estados adquirir vacunas contra #COVID19</t>
  </si>
  <si>
    <t>pic.twitter.com/tVsqovgeW7</t>
  </si>
  <si>
    <t>#AzucenaxMilenio | Durante #LaMañanera, el presidente @Lopezobrador_ informó que los estados y empresas privadas podrán comprar vacunas contra #COVID19... algo que contradice a lo dicho por @HLGatell</t>
  </si>
  <si>
    <t>pic.twitter.com/4Z6JNLA7Qk</t>
  </si>
  <si>
    <t>#AzucenaxMilenio | El primer ministro británico Boris Johnson advirtió que la variante de #COVID19 detectada en Reino Unido es más contagiosa y mortal</t>
  </si>
  <si>
    <t>pic.twitter.com/1BOTyr1BGF</t>
  </si>
  <si>
    <t>#AzucenaxMilenio | Las redes sociales se han convertido en obituarios donde cientos de personas todos los días informan de la muerte de algún ser querido por #COVID19, pero también se han vuelto una herramienta para lanzar llamados de auxilio</t>
  </si>
  <si>
    <t>pic.twitter.com/Lrd3ydARhy</t>
  </si>
  <si>
    <t>#AzucenaxMilenio | A pesar del incremento de contagios y muertos por #COVID19... sin mencionar que la #CDMX se mantiene en ROJO en el semáforo epidemiológico nacional, hay personas que aún se niegan a usar #cubrebocas</t>
  </si>
  <si>
    <t>pic.twitter.com/VjnSsCnz2o</t>
  </si>
  <si>
    <t>#AzucenaxMilenio | Hay lugares en la #CDMX en los que es imposible mantener la #sanadistancia para evitar contagios de #COVID19, algo que se agrava con la falla en las líneas del @MetroCDMX... así luce la terminal #Pantitlán</t>
  </si>
  <si>
    <t>pic.twitter.com/Gq5xC9zsHI</t>
  </si>
  <si>
    <t>#AzucenaxMilenio | No solo escasea el oxigeno, ahora los fabricantes de ataúdes aseguran que de no ceder la pandemia de #COVID19, ante la falta de materia prima, en los próximos meses ya no sería posible elaborarlos</t>
  </si>
  <si>
    <t>pic.twitter.com/Po8j9rh1pm</t>
  </si>
  <si>
    <t>#AzucenaxMilenio | La @SSalud_mx publicó en el #DOF un acuerdo que establece como prioritaria la producción y distribución de oxígeno medicinal en #México… Esta es la realidad que tienen que enfrentar los familiares de pacientes #COVID19</t>
  </si>
  <si>
    <t>pic.twitter.com/gyZg2E3oG1</t>
  </si>
  <si>
    <t>#AzucenaxMilenio | Aseguradoras en el país informaron que aquellos pacientes con #COVID19 que hayan ingerido dióxido de cloro para "prevenir" o curar la enfermedad quedarán excluidos de las indemnizaciones</t>
  </si>
  <si>
    <t>pic.twitter.com/g44GKZ9dtQ</t>
  </si>
  <si>
    <t>#AzucenaxMilenio | Autoridades capitalinas informaron que se aplica un nuevo tratamiento para pacientes #COVID19, sin embargo, la Asociación Mexicana de Infectología envió un comunicado en el que no lo recomienda</t>
  </si>
  <si>
    <t>pic.twitter.com/mgZUzFCGvC</t>
  </si>
  <si>
    <t>#AzucenaxMilenio | La #CDMX se mantendrá en el color ROJO del semáforo epidemiológico nacional para la próxima semana; @ClaudiaShein informó sobre el programa “#ReactivarsinArriesgar”</t>
  </si>
  <si>
    <t>pic.twitter.com/S0UH7XqUmO</t>
  </si>
  <si>
    <t>#AzucenaxMilenio | En el día 330 de la pandemia en #México, las cifras son: un millón 732 mil 290 contagios y 147 mil 614 decesos por #COVID19</t>
  </si>
  <si>
    <t>pic.twitter.com/DqFDGGhcCH</t>
  </si>
  <si>
    <t>#AzucenaxMilenio | En Wuhan, #China, cuando el mundo continúa en cuarentena por #COVID19, ya se realizan fiestas masivas en antros y bares… como esta en la discoteca "Súper Monkey"</t>
  </si>
  <si>
    <t>pic.twitter.com/7EpdjuOFvk</t>
  </si>
  <si>
    <t>https://twitter.com/i/broadcasts/1OyJAEnYLnbJb</t>
  </si>
  <si>
    <t>https://pbs.twimg.com/media/EsY2PUQW4AA0sTe.jpg</t>
  </si>
  <si>
    <t>Todo parece indicar que, tal y como lo prometieron las autoridades capitalinas, la línea 1 del @MetroCDMX podrá reanudar sus servicios la siguiente semana... es el mismísimo #MetroBebé el que recorre la línea para "supervisar" las obras</t>
  </si>
  <si>
    <t>pic.twitter.com/NFsahagpHp</t>
  </si>
  <si>
    <t>#ÚLTIMAHORA | Hoy por #Covid_19, en #México se registran 147 mil 614 muertes (mil 440 más que ayer) Un millón 732 mil 290 casos confirmados (21 mil 7 más que ayer)</t>
  </si>
  <si>
    <t>https://pbs.twimg.com/media/EsYQdEpWMAIjwMq.jpg</t>
  </si>
  <si>
    <t>Es viernes, es tiempo de #DesdeLaFonoteca con @pavelgranados en #AzucenaxFórmula</t>
  </si>
  <si>
    <t>La jefa de gobierno, @Claudiashein informó que la #CDMX se quedará una semana más en color ROJO en el semáforo epidemiológico El lunes NO abren: centros comerciales y grandes tiendas consideradas no esenciales #AzucenaxFórmula</t>
  </si>
  <si>
    <t>El presidente @lopezobrador_ ya mantuvo su primera llamada con el presidente de #EUA, #JoeBiden #AzucenaxFórmula RT @lopezobrador_: Conversamos con el presidente Biden, fue amable y respetuoso. Tratamos asuntos relacionados con la migración, el #COVID19 y la cooperación para el desarrollo y el bienestar. Todo indica que serán buenas las relaciones por el bien de nuestros pueblos y naciones.</t>
  </si>
  <si>
    <t>https://twitter.com/lopezobrador_/status/1352777092832743425</t>
  </si>
  <si>
    <t>https://pbs.twimg.com/media/EsYGoMIU0AAuH-t.jpg</t>
  </si>
  <si>
    <t>Sobre toda la polémica que ha generado la compra de las vacunas contra #COVID19, estoy conversando con el Dr. Xavier Tello (@StratCons) analista en políticas de salud #AzucenaxFórmula</t>
  </si>
  <si>
    <t>Ayer, el gobernador @MauVila me informó que @HLGatell les dijo a los estados que NO podrían comprar vacunas contra #COVID19, algo que explicó el subsecretario durante la conferencia de ayer por la noche. Hoy @lopezobrador_ dijo que SÍ #AzucenaxFórmula RT @azucenau: #AzucenaxMilenio | @HLGatell informó a los gobernadores que NO, que ellos no podrían comprar vacunas contra #COVID19... todo lo contrario a lo que le habían prometido durante las reuniones con integrantes de la @CONAGO_oficial</t>
  </si>
  <si>
    <t>https://twitter.com/azucenau/status/1352475087212056577</t>
  </si>
  <si>
    <t>pic.twitter.com/pGUJmI33zU</t>
  </si>
  <si>
    <t>¡Muy buenas tardes! 🙃 ¿Qué tal la están pasando? 🤔 Los invito a que me acompañen con toda la información más completa de la tarde en #AzucenaxFórmula por el 104.1 FM 1500 AM y  #Monterrey 101.3 FM #Guadalajara 1230 AM ¡Los espero! 😘</t>
  </si>
  <si>
    <t>En @GobNau, #Edomex, policías de tránsito multaron a un conductor que se encontraba estacionado en la #ciclovía... los oficiales le informaron su falta y aplicaron las sanciones correspondientes. El momento fue documentado por @BicireporteraDF 🥰</t>
  </si>
  <si>
    <t>pic.twitter.com/FRMXZrmIEp</t>
  </si>
  <si>
    <t>Balacera en colonia Nápoles deja varias personas heridas; no hay detenidos.</t>
  </si>
  <si>
    <t>https://www.milenio.com/policia/balacera-colonia-napoles-deja-heridos-benito-juarez</t>
  </si>
  <si>
    <t>https://pbs.twimg.com/media/EsXvirmWMAAnO8v.jpg</t>
  </si>
  <si>
    <t>Un intento de asalto terminó en balacera en #Tlalnepantla, #Edomex; dos policías murieron y otro más resultó lesionado. Hay un detenido. Aquí el momento del tiroteo.</t>
  </si>
  <si>
    <t>pic.twitter.com/qMpSqChQgf</t>
  </si>
  <si>
    <t>#Entérate | La @SEMAR_mx apoya en distribución de vacunas contra el #COVID19 en #Yucatán y #QuintanaRoo</t>
  </si>
  <si>
    <t>https://pbs.twimg.com/media/EsXklzfXMAErRdX.jpg</t>
  </si>
  <si>
    <t>CdMx se queda en semáforo rojo por covid; podrán abrir papelerías y autocinemas.</t>
  </si>
  <si>
    <t>https://www.milenio.com/politica/comunidad/semaforo-rojo-cdmx-25-31-enero-2021</t>
  </si>
  <si>
    <t>https://pbs.twimg.com/media/EsW2wMPXAAIeHqj.jpg</t>
  </si>
  <si>
    <t>El canciller Marcelo Ebrard informó que hoy el presidente Andrés Manuel López Obrador sostendrá una conversación con su homólogo de Estados Unidos, Joseph Biden. 👇🏻 RT @m_ebrard: Les comparto que los Presidentes Andrés Manuel López Obrador y Joseph Biden sostendrán hoy por la tarde conversación telefónica. La relación bilateral avanza a partir de la comunicación y el entendimiento.</t>
  </si>
  <si>
    <t>https://twitter.com/m_ebrard/status/1352680454382563328</t>
  </si>
  <si>
    <t>Twitter Query: -filter:retweets -filter:replies @azucenau</t>
  </si>
  <si>
    <t>@telediario</t>
  </si>
  <si>
    <t>😋 #TelediarioEnTuNegocio Nos encontramos en la ‘Novedades July’, un negocio que tuvo que cambiar su giro ante la pandemia por #COVID19, están ubicados en @A_VCarranza. ➡ @ramonramirezpe #TelediarioEnEl6 con @azucenau y @janupi |</t>
  </si>
  <si>
    <t>http://bit.ly/2LzaeTD</t>
  </si>
  <si>
    <t>pic.twitter.com/ZqDKWcYUv5</t>
  </si>
  <si>
    <t>Ciudad de México</t>
  </si>
  <si>
    <t>#EnVivo por http://bit.ly/2LzaeTD Canal 6.1 en TV abierta / Megacable 106-HD 1106 / Sky 235 / Izzi, Axtel y TotalPlay 6/Dish 106-HD 606 📺 #SomosTelediario.</t>
  </si>
  <si>
    <t>http://telediario.mx</t>
  </si>
  <si>
    <t>🔴 A la altura del kilometro 27 en el Circuito Exterior Mexiquense se registra la volcadura de una pipa, lo que ha causado que ambos sentidos de la vialidad permanezcan cerrados. ➡ @MullerMM24 #TelediarioEnEl6 con @azucenau y @janupi |</t>
  </si>
  <si>
    <t>pic.twitter.com/dUPrxWhDL9</t>
  </si>
  <si>
    <t>🔵 El señor Ildefonso se encuentra delicado, pero estable en el Hospital de Tláhuac del #ISSSTE, su familia nos platica sobre su estado. ➡ @CarlosTejedaA #TelediarioEnEl6 con @azucenau y @janupi |</t>
  </si>
  <si>
    <t>pic.twitter.com/YlGxQqAQPd</t>
  </si>
  <si>
    <t>Germán Quezada</t>
  </si>
  <si>
    <t>Tómenlo en cuenta para su análisis y a ver si así dejan de andar hablando de fracaso, o peor aún, de "crimen". @DeniseDresserG @JLozanoA @lopezdoriga @CarlosLoret @brozoxmiswebs @CiroGomezL @SergioSarmiento @azucenau RT @dw_espanol: Alemania se atasca en la vacunación El país no ha vacunado siquiera al 2% de la población y no solo por problemas burocráticos, sino también porque los laboratorios aún no pueden enviar las dosis pactadas. Más información con @UrsulaMorenoDW. (lis)</t>
  </si>
  <si>
    <t>https://twitter.com/dw_espanol/status/1354115634913812481</t>
  </si>
  <si>
    <t>https://pbs.twimg.com/media/Esq8MznXEAEp3IB.jpg</t>
  </si>
  <si>
    <t>👥 Pasajeros que viajan a los Estados Unidos nos comentan acerca de la nueva medida que les exige una prueba negativa de #COVID19 para poder realizar su viaje. ➡ @ramonramirezpe #TelediarioEnEl6 con @azucenau y @janupi |</t>
  </si>
  <si>
    <t>pic.twitter.com/YYnk59NQYd</t>
  </si>
  <si>
    <t>Mauricio (mutt) Núñez</t>
  </si>
  <si>
    <t>Rusia, es el noveno país con mayor población en el mundo al tener aproximadamente 146, 904, 396 habitantes (Wikipedia). La mitad, rehusa vacunarse con Sputnik V. @hdemauleon @azucenau @ferbelaunzaran DW | Deutsche Welle:</t>
  </si>
  <si>
    <t>https://www.dw.com/es/la-mitad-de-los-rusos-se-niega-a-vacunarse-con-sputnik-v/a-56078241</t>
  </si>
  <si>
    <t>Ex Director de Arte en Marvel Cómics; XBox &amp; National Geographic Kids</t>
  </si>
  <si>
    <t>✈️ Hoy entró en vigor el requisito de tener una prueba negativa de #COVID19 para poder viajar en avión a Estados Unidos. #TelediarioEnEl6 con @azucenau y @janupi |</t>
  </si>
  <si>
    <t>pic.twitter.com/pS0Wd1vgW7</t>
  </si>
  <si>
    <t>🔵 En Toluca, una familia de ferieros ha tenido que abandonar su hogar ante la falta de recursos para ahora vivir en su camioneta, los integrantes venden alcancías a fin de poder sobrevivir. Apóyalos al 55 22 43 42 05 ➡@EmmE2111 #TelediarioEnEl6 con @azucenau y @janupi</t>
  </si>
  <si>
    <t>pic.twitter.com/3S7gftJeCf</t>
  </si>
  <si>
    <t>🔴 #Video Flaming Lips dan concierto en vivo, los presentes se protegieron del #COVID19 con burbujas plásticas #TelediarioMediodía con @azucenau y @janupi | #EnDirecto</t>
  </si>
  <si>
    <t>pic.twitter.com/cJifqOB1cz</t>
  </si>
  <si>
    <t>🔴 #Video Niña conmueve al intentar aplicarse gel antibacterial en diferentes objetos #TelediarioMediodía con @azucenau y @janupi | #EnDirecto</t>
  </si>
  <si>
    <t>pic.twitter.com/GE1N4OcaBp</t>
  </si>
  <si>
    <t>🔴 ¡Saludos! 👏👏👏 #TelediarioMediodía con @azucenau y @janupi | #EnDirecto</t>
  </si>
  <si>
    <t>pic.twitter.com/zQHyrLTnow</t>
  </si>
  <si>
    <t>🔴 El representante de la #ONU #DerechosHumanos en México expresó su preocupación tras el hallazgo de 19 cuerpos calcinados en Tamaulipas #TelediarioMediodía con @azucenau y @janupi | #EnDirecto</t>
  </si>
  <si>
    <t>pic.twitter.com/fDqEXi1A4u</t>
  </si>
  <si>
    <t>🔴 #CDMX Detienen a cinco presuntos delincuentes ➡ @ramonramirezpe #TelediarioMediodía con @azucenau y @janupi | #EnDirecto</t>
  </si>
  <si>
    <t>pic.twitter.com/D1hZdphBID</t>
  </si>
  <si>
    <t>🔴 Someten a hombres que dispararon contra una familia en #Coacalco #Edomex ➡ @MullerMM24 #TelediarioMediodía con @azucenau y @janupi | #EnDirecto</t>
  </si>
  <si>
    <t>pic.twitter.com/99ZKV3YlvT</t>
  </si>
  <si>
    <t>🔴 @OlivaLopezA, secretaria de Salud capitalina, anuncia apertura de dos centros más en la #CDMX para rellenar tanques de oxígeno #TelediarioMediodía con @azucenau y @janupi | #EnDirecto</t>
  </si>
  <si>
    <t>pic.twitter.com/CHJHYSQGPw</t>
  </si>
  <si>
    <t>🔴 Crimen organizado puede estar involucrado en la compra y venta de tanques de oxígeno: @SheffieldGto #TelediarioMediodía con @azucenau y @janupi | #EnDirecto</t>
  </si>
  <si>
    <t>pic.twitter.com/Kff4VNCPgD</t>
  </si>
  <si>
    <t>🔴 Personal del Hospital Pediátrico de Tacubaya #CDMX denuncia falta de insumos ➡ @ricardosolaback #TelediarioMediodía con @azucenau y @janupi | #EnDirecto</t>
  </si>
  <si>
    <t>pic.twitter.com/pUcNbMLp7B</t>
  </si>
  <si>
    <t>james</t>
  </si>
  <si>
    <t>No se enoje @azucenau 🌹</t>
  </si>
  <si>
    <t>#ReziztenCIA🇲#LAPURGA2020 #LaVacunaEsElVIRUS #RZK</t>
  </si>
  <si>
    <t>redreziztencia coviditas falsapandemia  @AristotelesSD @EnriqueAlfaroR @diegosinhue @LAURAZAPATAM @gilbertolozanog @concienciaradio @Dea @EPN @FelipeCalderon @VicenteFoxQue @azucenau @julianlebaron #FalsaPandemia #Covidiotas #NERDSPY @crnalexander #MKULTRA</t>
  </si>
  <si>
    <t>https://falsapandemia.radiostream123.com/</t>
  </si>
  <si>
    <t>https://pbs.twimg.com/media/EsrnAkxXMAMLmRR.jpg</t>
  </si>
  <si>
    <t>¿Qué hacer si tu empresa exige que te pongas la vacuna? Te explicamos los pasos para dejar tieso a tu jefe si se le ocurre hacerlo"PLANDEMIA" #LAvacunaESelVIRUS</t>
  </si>
  <si>
    <t>http://euskalnews.com/2020/12/que-hacer-si-tu-empresa-exige-que-te-pongas-la-vacuna-te-explicamos-lo</t>
  </si>
  <si>
    <t>Alberto Marvatt</t>
  </si>
  <si>
    <t>Los #Fachos siempre han satanizado y se han reído de la vacuna #Rusa desde que salió, pero después van a estar llorando y suplicando que se las apliquen también a ellos. @DeniseMaerker @azucenau @PaolaRojas</t>
  </si>
  <si>
    <t>Administrador-ITESM</t>
  </si>
  <si>
    <t>No busco hueso ni popularidad. Digo lo que pienso. Mi lucha es contra la clase política corrupta sin principios ni valores, del partido que sean. AMLO 4T va!.</t>
  </si>
  <si>
    <t>Emmanuel H. Sánchez</t>
  </si>
  <si>
    <t>Vaya falta de respeto por parte de Azucena Uresti (@azucenau) al equipo de producción de @telediario. Regañandolos al aire porque no hacen lo que ella dice. Ojalá recuerde que ella es la conductora, no la productora.</t>
  </si>
  <si>
    <t>REPORTERO | Ser reportero es ver pasar la historia con boleto de primera fila.</t>
  </si>
  <si>
    <t>🔴 Funcionarios asisten con #Cubrebocas a conferencia matutina en Palacio Nacional encabezada por @M_OlgaSCordero #TelediarioMediodía con @azucenau y @janupi | #EnDirecto</t>
  </si>
  <si>
    <t>pic.twitter.com/9mljOfdBbj</t>
  </si>
  <si>
    <t>🔴 El Presidente @lopezobrador_ está fuerte y trabajando desde Palacio Nacional tras dar positivo a #COVID19: @M_OlgaSCordero #TelediarioMediodía con @azucenau y @janupi | #EnDirecto</t>
  </si>
  <si>
    <t>pic.twitter.com/C5YisdUBWZ</t>
  </si>
  <si>
    <t>🔴 El Presidente @lopezobrador_ ha tenido síntomas mínimos tras dar positivo a #COVID19: @HLGatell #TelediarioMediodía con @azucenau y @janupi | #EnDirecto</t>
  </si>
  <si>
    <t>pic.twitter.com/Pi81cq1Jxg</t>
  </si>
  <si>
    <t>🔴 @GobiernoMX analiza uso obligatorio de #Cubrebocas: @JesusRCuevas #TelediarioMediodía con @azucenau y @janupi | #EnDirecto</t>
  </si>
  <si>
    <t>pic.twitter.com/xNbw2XsWS6</t>
  </si>
  <si>
    <t>🔴 #AlMomento Se registra bloqueo en Avenida Central #Edomex ➡ @MullerMM24 #TelediarioMediodía con @azucenau y @janupi | #EnDirecto</t>
  </si>
  <si>
    <t>pic.twitter.com/zwij2exCb9</t>
  </si>
  <si>
    <t>sandy fp</t>
  </si>
  <si>
    <t>Hola, podría pedirte por favor me ayudes a compartir esto: MARIANA SALINAS GONZÁLEZ, TIENE 16 AÑOS. Cualquier cosa les pido que avisen a los números 5581776091 5610938128 @azucenau</t>
  </si>
  <si>
    <t>https://pbs.twimg.com/media/EsrjtnwVcAEXL4Q.jpg</t>
  </si>
  <si>
    <t>méxico</t>
  </si>
  <si>
    <t>#Leopardo. #Puma. Facultad de Derecho #UNAM #Mexicana. Ser feliz. Los valores que necesita nuestro MÉXICO: SOLIDARIDAD RESPETO y EMPATÍA</t>
  </si>
  <si>
    <t>Rafa Escobedo G.</t>
  </si>
  <si>
    <t>Muy buenas tardes @azucenau te veo en @telediario @multimediostv</t>
  </si>
  <si>
    <t>México, D.F.</t>
  </si>
  <si>
    <t>Me gusta La cultura, la música, los deportes y los espectáculos.</t>
  </si>
  <si>
    <t>🔴 ¡Buenas tardes! Estos son nuestros titulares #TelediarioMediodía con @azucenau y @janupi | #EnDirecto</t>
  </si>
  <si>
    <t>pic.twitter.com/r8EuyttwfH</t>
  </si>
  <si>
    <t>LUIS PABLO DEL ANGEL</t>
  </si>
  <si>
    <t>COFEPRIS está OBLIGADO a informarnos a los mexicanos en base a qué datos aprobó la vacuna rusa. #SputnikV no ha publicado lo referente a Fase III‼️ @lopezdoriga @beltrandelrio @CarlosLoret @E_Q_ @SGarciaSoto @JavierSolorzano @mcmaricarmen @TVale2012 @azucenau @MLopezSanMartin RT @LuisPabloAngel: Si @HLGatell no explica ni PUBLICA cómo se llegó a la decisión de aprobar #SputnikV NI @COFEPRIS trasparenta la ruta que la llevó a tomar esa decisión, LOS MEXICANOS DEBEMOS RECHAZAR esa vacuna y exigir cuentas al @GobiernoMX de @lopezobrador_ por poner en riesgo nuestras vidas‼️</t>
  </si>
  <si>
    <t>https://twitter.com/LuisPabloAngel/status/1354124541337903104</t>
  </si>
  <si>
    <t>LA-Mexico</t>
  </si>
  <si>
    <t>GLOBALIZATION (brimming with new ICTs in a multimodal world) doesn't discourage me from seeking the Truth ~Tracking / Monitoring~ *Mexican TTs &amp; Global issues*</t>
  </si>
  <si>
    <t>Diego De Luna</t>
  </si>
  <si>
    <t>#ivermectina #Blog #Covid_19 ✍️En "Espada de Dos Manos", el escritor y periodista cuestiona al doctor Xavier Tello @StratCons sobre su negativa al uso de la ivermectina. @fconsydig @azucenau</t>
  </si>
  <si>
    <t>https://www.diariodemexico.com/el-no-debate-con-el-dr-xavier-tello-sobre-el-uso-de-la-ivermectina-contra-el-covid-19</t>
  </si>
  <si>
    <t>Ciudad De México</t>
  </si>
  <si>
    <t>Un abuso sin igual q espantosas monstruosidades y deformaciones se estén amparado bajo su nombre¿Qué negó Cristo?Todo lo q hoy es llamado cristiano SIN RELIGIÓN</t>
  </si>
  <si>
    <t>Dr Fco J Bermudez</t>
  </si>
  <si>
    <t>Cómo ?? una vacuna q no tiene publicados los resultados d la fase 3 y no está aprobada por la @OPSOMSMexico @COFEPRIS @OECD y q no será aplicada por ningún país desarrollado en Europa y Norteamérica esto es criminal @latinus_us @CiroGomezL @azucenau @lopezdoriga @JoseCardenas1 RT @lopezobrador_: Conversamos con el presidente de la Federación Rusa, Vladimir Putin, y se mostró genuinamente afectuoso. Lo invité a visitar México y le agradecí por la decisión de enviarnos 24 millones de dosis de la vacuna Sputnik V para los próximos dos meses.</t>
  </si>
  <si>
    <t>https://twitter.com/lopezobrador_/status/1353732942904709123</t>
  </si>
  <si>
    <t>https://pbs.twimg.com/media/EslsQEeXIAUedvp.jpg</t>
  </si>
  <si>
    <t>Médico especialista en Cardiologia egresado del CMN 20'de Noviembre.</t>
  </si>
  <si>
    <t>Jorge Delgado</t>
  </si>
  <si>
    <t>C.c.p. @XochitlGalvez, @PagesBeatriz, @mariesthermtz, @azucenau, @INAImexico, @colosioriojas, @CiroGomezL, @jrisco y @SiPorMx RT @MaxKaiser75: TODOS LOS CONTRATOS DE TODAS LAS VACUNAS! Ayúdame a EXIGIR🙏🏻</t>
  </si>
  <si>
    <t>https://twitter.com/MaxKaiser75/status/1354097535544123393</t>
  </si>
  <si>
    <t>https://pbs.twimg.com/media/Esq4h-rVkAoFQ46.jpg</t>
  </si>
  <si>
    <t>Todos podemos ser divulgadores de la verdad y facilitadores del bien. Pasatiempo: A s t r o l o g í a</t>
  </si>
  <si>
    <t>Marcelino Pérez</t>
  </si>
  <si>
    <t>Es una pena teniendo tanta gente capaz de resolver los problemas de México los partidos politicos opten por estos personajes para dirigir rel futuro de nuestros hijos, me dueles mucho México!! @Mx_Diputados @senadomexicano @SiPorMx @OficialFrenaaa @azucenau @beltrandelrio @qtf RT @jokerobrador: México, no aprendiste la lección del 2018? Por favor, no le den su voto a ninguno de estos improvisados parásitos.</t>
  </si>
  <si>
    <t>https://twitter.com/jokerobrador/status/1354101032918245376</t>
  </si>
  <si>
    <t>https://pbs.twimg.com/media/Esq7tpdVEAAnX0u.jpg</t>
  </si>
  <si>
    <t>Orgullosamente de Mty y Mexicano, no soporto que abusen de la gente, quiero el mejor país para que vivan mis hijos.</t>
  </si>
  <si>
    <t>Diario de México desde casa 🏠☕</t>
  </si>
  <si>
    <t>México</t>
  </si>
  <si>
    <t>Cuenta oficial - Diario de México redaccion@diariodemexico.com</t>
  </si>
  <si>
    <t>http://www.diariodemexico.com</t>
  </si>
  <si>
    <t>Es nuestro derecho como ciudadanos, en que se invierte el dinero! @lopezobrador_ @INAImexico @MaxKaiser75 @qtf @OficialFrenaaa @SiPorMx @SiPorNL @FelipeCalderon @azucenau @SocCivilMx @PagesBeatriz @DeniseDresserG @Mx_Diputados @senadomexicano @LillyTellez @LuisCardenasMx @gorez1 RT @MaxKaiser75: TODOS LOS CONTRATOS DE TODAS LAS VACUNAS! Ayúdame a EXIGIR🙏🏻</t>
  </si>
  <si>
    <t>Conciencia&amp;Dignidad</t>
  </si>
  <si>
    <t>Hola Azucena, @azucenau le comparto mi columna de hoy, sobre el "NO debate" con el Doctor @StratCons sobre el uso de la Ivermectina para enfermos de COVID-19: RT @DDMexico: #blog #Columna #Covid_19 ✍️Nuestro colaborador Marcelo Fabián Monges cuestiona, en "Espada de Dos Manos", el razonamiento del doctor Xavier Tello en torno a la nueva variante británica de la Covid-19 @fconsydig</t>
  </si>
  <si>
    <t>https://twitter.com/DDMexico/status/1354095541001584642?s=20
https://www.diariodemexico.com/el-no-debate-con-el-dr-xavier-tello-sobre-el-uso-de-la-ivermectina-contra-el-covid-19</t>
  </si>
  <si>
    <t>La Fundación Conciencia y Dignidad trabaja por un mundo mejor para todos. Agradecemos que no nos envíen multimenciones.</t>
  </si>
  <si>
    <t>http://www.fundacionconcienciaydignidad.org</t>
  </si>
  <si>
    <t>Otra vez, porque los rusos no se vacunan masivamente con su Sputnik V?? @HLGatell @m_ebrard @lopezobrador_ @JaimeRdzNL @DrManueldelaO : @qtf @OficialFrenaaa @SiPorMx @ReivindicNal @SocCivilMx @DeniseDresserG @jorgeberry @FelipeCalderon @azucenau @PedroFerriz @M2Cyndy @gorez1 RT @McSally14: Si vamos en último lugar en el mundo x el pésimo manejo de la pandemia xq sería diferente a la hora de aplicar la vacuna? Si a este gobierno le importa más lo electoral y poder perpetuarse en el poder sin importarle cuantas vidas queden.. #LopezEnfermoMental #GRN #CGxM #VxM</t>
  </si>
  <si>
    <t>https://twitter.com/McSally14/status/1354085499217080321</t>
  </si>
  <si>
    <t>https://pbs.twimg.com/media/EsqtlHKXEAQXtt_.jpg</t>
  </si>
  <si>
    <t>Letiche</t>
  </si>
  <si>
    <t>Que observadora @azucenau lo que no entiendo es como se contagia la gente que usa cubre bocas si éste es un escudo (no lo es), lo que me imagino es que entonces no se lavan las manos, o acaso estamos ante una forma compleja de transmisión que solo podemos aminorar pero no evitar? RT @azucenau: Hoy en la conferencia matutina todos con cubrebocas 👍 #BuenMartes @M_OlgaSCordero @zoerobledo @Juanferrer62</t>
  </si>
  <si>
    <t>https://twitter.com/azucenau/status/1354057553852948483</t>
  </si>
  <si>
    <t xml:space="preserve">Mixcoac, Ciudad de Mexico </t>
  </si>
  <si>
    <t>llegar al 2021 no es cualquier cosa. desde aqui, pa lante....</t>
  </si>
  <si>
    <t>http://www.migrantologos.mx</t>
  </si>
  <si>
    <t>Les pido por favor me ayuden a compartir MARIANA SALINAS GONZÁLEZ, TIENE 16 AÑOS. Cualquier cosa les pido que avisen a los números 5581776091 5610938128 @azucenau @telediario @janupi</t>
  </si>
  <si>
    <t>https://pbs.twimg.com/media/Eso2A21UUAA_J0z.jpg</t>
  </si>
  <si>
    <t>Milenio</t>
  </si>
  <si>
    <t>▶ En Campeche ya están vacunando contra #Covid19 a personal educativo El estado se mantiene en semáforo verde, pero antes de regresas a clases deberán recibir la vacuna 📺 La historia con @azucenau #AzucenaxMILENIO</t>
  </si>
  <si>
    <t>pic.twitter.com/wMeJ8h6bR0</t>
  </si>
  <si>
    <t>#EstamosListos #M1lenio</t>
  </si>
  <si>
    <t>http://www.milenio.com</t>
  </si>
  <si>
    <t>Milenio Televisión</t>
  </si>
  <si>
    <t>pic.twitter.com/XdMPYvgao2</t>
  </si>
  <si>
    <t>Porque la información manda.</t>
  </si>
  <si>
    <t>▶ No solo las fiestas están al máximo; también la lista de cadáveres en espera Las muertes por #covid19 han hecho que deudos tengan que esperar días para despedir a sus familiares 📺 La historia con @azucenau #AzucenaxMILENIO</t>
  </si>
  <si>
    <t>pic.twitter.com/CTJb9Rc09b</t>
  </si>
  <si>
    <t>pic.twitter.com/zJc4mbigKK</t>
  </si>
  <si>
    <t>▶ "La delegación me la pela... mis zapatos valen más que tu coche" Él es #LordMisZapatos, un hombre que se enojó porque la policía detuvo una fiesta que hizo en plena pandemia 📺 La historia con @azucenau #AzucenaxMILENIO</t>
  </si>
  <si>
    <t>pic.twitter.com/29izbKmnrL</t>
  </si>
  <si>
    <t>pic.twitter.com/KLiGZeUDrK</t>
  </si>
  <si>
    <t>▶ ¡No todo ha sido malo! Norberto, policía de la CdMx, le devolvió la esperanza a un hombre que había perdido una mochila con 30 mil pesos El dinero sería usado para comprar tanque de oxígeno para un paciente con #Covid19 📺 La historia con @azucenau #AzucenaxMILENIO</t>
  </si>
  <si>
    <t>pic.twitter.com/dh7CH4jgOW</t>
  </si>
  <si>
    <t>pic.twitter.com/MhmQiTcrOr</t>
  </si>
  <si>
    <t>▶ La FGR no ha logrado consolidar ninguno de sus casos importantes, como el de 'Los Betos' Ellos eran parte del equipo de Peña Nieto, acusados de extorsionar políticos y empresarios; un juez le dio un revés jurídico 📺 La historia con @azucenau #AzucenaxMILENIO</t>
  </si>
  <si>
    <t>pic.twitter.com/QEiARfQcpW</t>
  </si>
  <si>
    <t>pic.twitter.com/OEhCbvI7py</t>
  </si>
  <si>
    <t>Raúl Hernández</t>
  </si>
  <si>
    <t>Los siervos de la nación a cargo de @Cristina_CruzMX, el Lic. Monroy y la Lic Aremy Maya trabajan hasta muy noche entregando apoyos sociales a la comunidad @azucenau entrevistame para que salgas de dudas @aristeguicnn @paezvarela @ruizhealy @_VicenteSerrano @epigmenioibarra</t>
  </si>
  <si>
    <t>https://pbs.twimg.com/media/EsoVQiWXIAACSHN.jpg</t>
  </si>
  <si>
    <t>ÜT: 19.390346,-99.137937</t>
  </si>
  <si>
    <t>Estoy a muerte con quien combate outsourcing criminal,pederastia,desigualdad,injusticia,corrupción y saqueo en los Estados Unidos Mexicanos</t>
  </si>
  <si>
    <t>https://www.twitter.com/rauger69x</t>
  </si>
  <si>
    <t>C.c.p. @azucenau y @ElSabuesoAP RT @mario_dico50: La Titular de @SEGOB_mx señaló que se había hecho la “prueba ayer” pero esto muestra que se la hizo hoy a las 8:30 (am) , pero estaba en La Mañanera ya no entiendo .</t>
  </si>
  <si>
    <t>https://twitter.com/mario_dico50/status/1353912989062197252</t>
  </si>
  <si>
    <t>https://pbs.twimg.com/media/EsoQrr1WMAAB5a0.jpg</t>
  </si>
  <si>
    <t>juan de diozzz</t>
  </si>
  <si>
    <t>Profr. Salvador Olvera Marín, un orgullo de San Pedro Escanela, Pinal de Amoles, Qro. @azucenau @mileniotv @daniellemx_ @MLopezSanMartin</t>
  </si>
  <si>
    <t>https://pbs.twimg.com/media/EsoTp1yW8AIIJw4.jpg</t>
  </si>
  <si>
    <t>Querétaro Arteaga, México</t>
  </si>
  <si>
    <t>Me gusta el rock, las series, las películas, el foot ball americano, comer tacos... https://www.facebook.com/juandediozm</t>
  </si>
  <si>
    <t>XE1CGS</t>
  </si>
  <si>
    <t>Mira la transmisión de @azucenau: Azucena Uresti por Milenio</t>
  </si>
  <si>
    <t>https://www.pscp.tv/w/ct452jFXTEVSa1B3clBRYkR8MXpxSlZYa2xqelhLQtxBT83o5nvlggSYoY8GUCATKIOiFq4P8xu_nuK8a9SW?t=50s</t>
  </si>
  <si>
    <t>Ciudad de Mexico, DF</t>
  </si>
  <si>
    <t>Estoy contra el hoy no circula en el D.F. 20 años y NO FUNCIONA. #Noalhoynocircula</t>
  </si>
  <si>
    <t>Ahora | Son las 22 horas y ya está aquí @azucenau con la mejor información #AzucenaxMILENIO</t>
  </si>
  <si>
    <t>https://mile.io/3oijAqy</t>
  </si>
  <si>
    <t>Eduardo Beristain</t>
  </si>
  <si>
    <t>Atención, fuera cortinas de humo @proceso @Reforma @SinEmbargoMX @889Noticias @SiPorMx @brozoxmiswebs @AristeguiOnline @ConsultaPara @dicesmx @inakimanero @CarlosLoret @ferbelaunzaran @manolo_fh @azucenau @Adela_Micha @AreliPaz @avieu @CiroGomezL @beltrandelrio @threadreaderapp RT @lvillegas0308: Se los dije #LopezMiente Diputados y senadores discutirán este lunes reforma a #Banxico: votarán sobre el lanzamiento de un debate público sobre el proyecto de ley fuente : Infobae</t>
  </si>
  <si>
    <t>https://twitter.com/lvillegas0308/status/1353629082215440384
https://www.infobae.com/america/mexico/2021/01/24/diputados-y-senadores-discutiran-este-lunes-reforma-a-banxico-votaran-sobre-el-lanzamiento-de-un-debate-publico-sobre-el-proyecto-de-ley/?outputType=amp-type</t>
  </si>
  <si>
    <t>México, DF</t>
  </si>
  <si>
    <t>La búsqueda de ser mejor ser humano, me otorgará la posibilidad de crecer para ti, mi familia, con mis amistades, en mi trabajo y con Dios</t>
  </si>
  <si>
    <t>Adriana Dávila</t>
  </si>
  <si>
    <t>Mi posicionamiento sobre la disculpa pública del diputado Gerardo Fernández Noroña. @diputadospan @adrixaguilar @joannaftorres @50mas1Mx @azucenau @aperezcanedo @hzamarron @nacholozano @CiroGomezL @JoseCardenas1 @SGarciaSoto @MLopezSanMartin @JimenezLandin @EnriqueEnVivo</t>
  </si>
  <si>
    <t>https://pbs.twimg.com/media/Esn3sTKXcAM7b8g.png</t>
  </si>
  <si>
    <t>Diputada Federal LXIV legislatura. #AquíSÍHayPropuesta</t>
  </si>
  <si>
    <t>http://www.adrianadavila.mx</t>
  </si>
  <si>
    <t>Iván Ventura</t>
  </si>
  <si>
    <t>Por recomendación médica, el subsecretario Hugo López-Gatell, está confinado, reveló el vocero de la Presidencia de la República, @JesusRCuevas en entrevista con @azucenau</t>
  </si>
  <si>
    <t>Villahermosa, Tabasco.</t>
  </si>
  <si>
    <t>Panorama Sin Reservas 📻620AM/@sinreservas620 12 - 3 PM Lunes a Viernes</t>
  </si>
  <si>
    <t>http://sinreservas.mx</t>
  </si>
  <si>
    <t>Unidos para el 2021 🇲🇽</t>
  </si>
  <si>
    <t>Ayudar a difundir. @beltrandelrio @azucenau @DeniseMaerker @lopezdoriga @MLopezSanMartin @latinus_us @brozoxmiswebs @CarlosLoret RT @Reforma: La Interpol emitió ficha roja para detener al ex esposo de Abril Pérez Sagaón, principal sospechoso de autoría intelectual del feminicidio. #RegístrateGratis</t>
  </si>
  <si>
    <t>https://twitter.com/reforma/status/1353725157265842176
https://reforma.com/JVl12f</t>
  </si>
  <si>
    <t xml:space="preserve">México </t>
  </si>
  <si>
    <t>Erika Velasco</t>
  </si>
  <si>
    <t>En entrevista con @azucenau para Grupo Fórmula, Jesús Ramírez, coordinador de Comunicación Social de la Presidencia, informó que Hugo López-Gatell, subsecretario de Salud, está en confinamiento por haber estado en contacto con el Presidente</t>
  </si>
  <si>
    <t>Hecha en la UNAM, Fes Acatlán</t>
  </si>
  <si>
    <t>Periodista por amor y vocación | Jefa de Redacción #ElFinancieroTV | Coeditora web #ESM | Escribo en #PopKinema | #SoyPuma | Mail: practi_01@hotmail.com ✍️</t>
  </si>
  <si>
    <t>https://www.facebook.com/erika.velasco.982</t>
  </si>
  <si>
    <t>Liebano Saenz</t>
  </si>
  <si>
    <t>Confirma @JesusRCuevas : Subsecretario @HLGatell está confinado. Informa que por recomendación médica, Presidente @lopezobrador_ no puede participar en conferencia matutina ni de manera virtual. Entrevista con @azucenau RT @karlaiberia: Confirma Jesús Ramírez Cuevas: Subsecretario López Gatell está confinado. Informa que por recomendación médica, Presidente López Obrador no puede participar en conferencia matutina ni de manera virtual. Entrevista con @azucenau</t>
  </si>
  <si>
    <t>https://twitter.com/karlaiberia/status/1353861319879962632</t>
  </si>
  <si>
    <t>Mexico City</t>
  </si>
  <si>
    <t>Lawyer, political analyst, President of a public opinion research firm.</t>
  </si>
  <si>
    <t>http://liebanosaenz.wordpress.com</t>
  </si>
  <si>
    <t>MARTHA VENEZIA #𝔏𝔦𝔤𝔞𝔇𝔢𝔊𝔲𝔢𝔯𝔯𝔢𝔯𝔬𝔰</t>
  </si>
  <si>
    <t>¿Ya vieron las respuestas de LOVREGA..... No, de Jesús a @azucenau ? RT @azucenau: "El grupo de especialistas y del #Indre tienen la lista completa de las personas que tuvieron contacto con el presidente": @JesusRCuevas, Coordinador General de Comunicación Social de la Presidencia #AzucenaxFórmula</t>
  </si>
  <si>
    <t>https://twitter.com/azucenau/status/1353858379287031808</t>
  </si>
  <si>
    <t>"El problema de la humanidad es que los estúpidos están seguros de todo y los inteligentes están llenos de dudas." Sonriente y 100% APARTIDISTA</t>
  </si>
  <si>
    <t>Carlos Tomasini</t>
  </si>
  <si>
    <t>...que @HLGatell está confinado, le dice @JesusRCuevas a @azucenau... el subsecretario no aparece en público desde la semana pasada, por cierto... RT @azucenau: "El subsecretario @HLGatell no ha presentado ningún problema, no muestra ningún síntoma, él está en confinamiento": @JesusRCuevas, Coordinador General de Comunicación Social de la Presidencia #AzucenaxFórmula</t>
  </si>
  <si>
    <t>https://twitter.com/azucenau/status/1353859103903379457</t>
  </si>
  <si>
    <t>Coyoacán, CDMX</t>
  </si>
  <si>
    <t>...periodista autónomo...</t>
  </si>
  <si>
    <t>http://carlostomasini.com</t>
  </si>
  <si>
    <t>Filosofo del Ajusco</t>
  </si>
  <si>
    <t>Sigue @nuevoleon haciendo el ridiculo con las vacunas de Spuntnik jajaja @azucenau deja de hacerles el juego</t>
  </si>
  <si>
    <t>DF</t>
  </si>
  <si>
    <t>Pensador, crítico y entusiasta del cambio y la transformación.</t>
  </si>
  <si>
    <t>Karla Iberia Sánchez</t>
  </si>
  <si>
    <t>Confirma Jesús Ramírez Cuevas: Subsecretario López Gatell está confinado. Informa que por recomendación médica, Presidente López Obrador no puede participar en conferencia matutina ni de manera virtual. Entrevista con @azucenau</t>
  </si>
  <si>
    <t>Y que vivan las letras y el periodismo; una tarde de edición, y quien cuente una historia. Investigative reporter/TEDSpeaker. Las Noticias-TelevisaMx.ForoTv</t>
  </si>
  <si>
    <t>http://noticieros.televisa.com/programas/las-noticias-con-karla-iberia-sanchez/</t>
  </si>
  <si>
    <t>Entonces ya se vacuno @claraluzflores antes que los médicos en NL, bueno así el poder en México. @qtf @Shehinnow @lopezobrador_ @PartidoMorenaMx @jorgeberry @ReginadelC @Mty_Leones @AdrianDeLaGarza @FelipeCalderon @azucenau @Arq_Benavides @DominioMedios @info7mty @EncuentroRegio RT @Shehinnow: Porque políticos como esta señora insisten en creer que todos en Mexico somos imbeciles?? Con solo borrar o editar un tuit, ya piensan que nadie lo vio ? Cuando una construcción está mal desde los cimientos ...todo lo demás tiende a caerse !!!!</t>
  </si>
  <si>
    <t>https://twitter.com/Shehinnow/status/1353853128723099648</t>
  </si>
  <si>
    <t>https://pbs.twimg.com/media/EsnaPYKXAAAOb2b.jpg</t>
  </si>
  <si>
    <t>Claudio M. Rentería</t>
  </si>
  <si>
    <t>#ALMOMENTO | Janet Yellen es confirmada por el Senado y se convierte en la primera mujer al frente del Tesoro de #EUA @azucenau</t>
  </si>
  <si>
    <t>https://pbs.twimg.com/media/EsnYJiEW4AEAbCD.jpg</t>
  </si>
  <si>
    <t>Comunicador. Apasionado por el Micrófono. Crítico preocupado por mi Nación y Estado. Convencido de que Dios me Ama. Orgulloso de los Mios. Soñador y Agradecido.</t>
  </si>
  <si>
    <t>Verba mea in ore alterius</t>
  </si>
  <si>
    <t>Cada gobierno con su imagen. @lopezobrador_ @PagesBeatriz @BeatrizGMuller @m_ebrard @JesusRCuevas @azucenau @RicardoAnayaC RT @ChairosY: Con el Neoliberalismo// Con el Castro-Chavismo.</t>
  </si>
  <si>
    <t>https://twitter.com/ChairosY/status/1353805172737245185</t>
  </si>
  <si>
    <t>https://pbs.twimg.com/media/EsmuoBIU0AAv77e.jpg</t>
  </si>
  <si>
    <t>"Un movimiento de Caudillo solo dura lo que dura ese Caudillo." Winston Churchill.</t>
  </si>
  <si>
    <t>Luis Pizá™🎵</t>
  </si>
  <si>
    <t>Esto debería ser motivo de mención en los principales medios de comunicación de México ; quienes son o hemos sido cuidadores primarios, tenemos el "sentimiento jurídico" de haber sido despreciados por el Estado. El Estado también es responsable de cuidar @azucenau @lopezdoriga RT @yocuidomexico: Imperdible👇🏽 🔴 HACIA UN SISTEMA NACIONAL DE CUIDADOS EN MÉXICO Foro público 🗓 𝟐𝟕 de enero 🕔 17: 00 hrs 📲 𝙁𝙖𝙘𝙚𝙗𝙤𝙤𝙠𝙇𝙞𝙫𝙚 👉🏽 @FESMEX Convoca: Coalición por el Derecho al Cuidado Digno y el Tiempo Propio. ¡Únete! #CuidadoDignoYTiempoPropioYA #PorUnMéxicoQueCuide</t>
  </si>
  <si>
    <t>https://twitter.com/yocuidomexico/status/1353823686789378049</t>
  </si>
  <si>
    <t>https://pbs.twimg.com/media/Esm_dm0W8AAJ5ek.jpg</t>
  </si>
  <si>
    <t>Abogado(UNAM)/Derechos de las personas adultas mayores/derechos de los cuidadores/amparo administrativo /Corro 10 y 5 km/ Beethoven 🎼👏🏻 #fuicuidador</t>
  </si>
  <si>
    <t>Бето Stream֍</t>
  </si>
  <si>
    <t>¿Y los 120 mil millones Apá? Esto anta circulando ¿alguien tiene más detalles? @latinus_us @SergioSarmiento @LupitaJuarezH @juliopatan09 @juliangt2011 @M2Cyndy @la_grenitas @JesusMartinMx @azucenau</t>
  </si>
  <si>
    <t>https://pbs.twimg.com/media/Esm9-jaW8AM0Bp4.png</t>
  </si>
  <si>
    <t>Enmedio de la Tierra</t>
  </si>
  <si>
    <t>Científico aislado/ayudando El circo es inútil, rentable al demagogo Libre de bloquear extremistas de izquierda o derecha Al poder se le exige Apolítico Кофе</t>
  </si>
  <si>
    <t>👥 Censo 2020 del Inegi revela que en México hay más de 126 millones de habitantes. #TelediarioEnEl6 con @azucenau y @ramonramirezpe |</t>
  </si>
  <si>
    <t>pic.twitter.com/gx8VeChdcl</t>
  </si>
  <si>
    <t>📣 Nuevos negocios han reabierto a fin de evitar un golpe mayor a la economía de dichos negocios, todo esto bajo los lineamientos del programa “Reactivar sin arriegas”. ➡ @EmmE2111 #TelediarioEnEl6 con @azucenau y @ramonramirezpe |</t>
  </si>
  <si>
    <t>pic.twitter.com/navNyptNJp</t>
  </si>
  <si>
    <t>Ofelia Vazquez Ruelas</t>
  </si>
  <si>
    <t>Cual de todos hizo? @lopezobrador_ El de mentir ese descartado por el tema #guarderiaabc Seguimos en plantón fuera de @SEGOB_mx @lajornadaonline @El_Universal_Mx @reformanacional @Milenio @UnoNoticias @azucenau @juanczuniga @epigmenioibarra @pedroultreras @lopezdoriga RT @VictorEArellan1: @hdemauleon</t>
  </si>
  <si>
    <t>https://twitter.com/VictorEArellan1/status/1353538682846932993</t>
  </si>
  <si>
    <t>https://pbs.twimg.com/media/Esi8QbfWMAE-_kJ.jpg</t>
  </si>
  <si>
    <t>Hermosillo, Sonora</t>
  </si>
  <si>
    <t>German Paúl 👼🏻 te extraño día a día, siempre en mi ❤</t>
  </si>
  <si>
    <t>📢 Desde la mañana dio inicio el reabastecimiento de leche Liconsa, luego de un mes de afectación a los beneficiarios del programa. #TelediarioEnEl6 con @azucenau y @ramonramirezpe |</t>
  </si>
  <si>
    <t>pic.twitter.com/rTHUmpWh4X</t>
  </si>
  <si>
    <t>📣 Después de dos semanas, se reinicia el servicio en la #L1 del Metro, el servicio de RTP continúa en apoyo a los usuarios. ➡ @ricardosolaback #TelediarioEnEl6 con @azucenau y @ramonramirezpe |</t>
  </si>
  <si>
    <t>pic.twitter.com/E0ZWrjqsb8</t>
  </si>
  <si>
    <t>🔴 En Chalco se registra la explosión de una pipa; dos personas se encuentran lesionadas. ➡ @MullerMM24 #TelediarioEnEl6 con @azucenau y @ramonramirezpe |</t>
  </si>
  <si>
    <t>pic.twitter.com/s9eRg4xa1I</t>
  </si>
  <si>
    <t>🔴 Ciclista es víctima de un intento de homicidio en calles de la #CDMX, el conductor de un taxi lo arrolló. #TelediarioEnEl6 con @azucenau y @ramonramirezpe |</t>
  </si>
  <si>
    <t>pic.twitter.com/TypZOnNbND</t>
  </si>
  <si>
    <t>Lrm</t>
  </si>
  <si>
    <t>Si es asi que miserable eres @lopezobrador_ ! @RicardoMonrealA @mario_delgado pero ya se sabrá! @lopezdoriga @CarlosLoret @brozoxmiswebs @ChumelTorres @azucenau @CiroGomezL @mcmaricarmen @joseyuste @marco_mares RT @General_Lion_D: Pues más bien es el albazo que quieren dar con el banco de México, nos quieren distraídos #FueraMorenaVirusDeBanxico #VirusVsParásito</t>
  </si>
  <si>
    <t>https://twitter.com/general_lion_d/status/1353723660130004994
https://twitter.com/pmigoya/status/1353518262458449921</t>
  </si>
  <si>
    <t>https://pbs.twimg.com/media/EslkfpyW4AIBJw7.jpg</t>
  </si>
  <si>
    <t>Mexico</t>
  </si>
  <si>
    <t>Amo a mi país!</t>
  </si>
  <si>
    <t>🔴 @SSC_CDMX busca dar un ascenso al policía de la #CDMX que devolvió una mochila con 30 mil pesos en efectivo #TelediarioMediodía con @azucenau y @ramonramirezpe | #EnDirecto</t>
  </si>
  <si>
    <t>pic.twitter.com/TUx15QnBRv</t>
  </si>
  <si>
    <t>🔴 Policía de la #CDMX devuelve mochila con 30 mil pesos en efectivo, el dueño tenía el dinero apartado para comprar un tanque de oxígeno #TelediarioMediodía con @azucenau y @ramonramirezpe | #EnDirecto</t>
  </si>
  <si>
    <t>pic.twitter.com/alIklR6Zk7</t>
  </si>
  <si>
    <t>Kilroy - Roger Ayala</t>
  </si>
  <si>
    <t>Y ahora @azucenau y su compañero diciendo que #LordMisZapatos es un Senador/político...aguas con linchar a quien no se debe solo por no saber.</t>
  </si>
  <si>
    <t>Here, there and everywhere</t>
  </si>
  <si>
    <t>Music/movies/tech lover. Addict to books/politics/history; working for a better country/world for the comings; Pumas/Barça/Steelers. Pure personal opinions here</t>
  </si>
  <si>
    <t>http://logicarogersiana.tumblr.com/</t>
  </si>
  <si>
    <t>🔴 #LordMisZapatos se enfrenta con policías que buscaban disolver una fiesta masiva en San Ángel #CDMX pese a emergencia por #COVID19. Analizan posible sanción ➡ @IvonneBarriosm #TelediarioMediodía con @azucenau y @ramonramirezpe | #EnDirecto</t>
  </si>
  <si>
    <t>pic.twitter.com/xNyusP0LYS</t>
  </si>
  <si>
    <t>🔴 Punto de relleno de tanques de oxígeno en @Alc_Iztapalapa #CDMX sólo da 40 fichas y tarda alrededor de media hora en hacer la recarga ➡ @CarlosTejedaA #TelediarioMediodía con @azucenau y @ramonramirezpe | #EnDirecto</t>
  </si>
  <si>
    <t>pic.twitter.com/wxDKdAqsZW</t>
  </si>
  <si>
    <t>🔴 #CDMX #Guanajuato y #Edomex los 3 estados con menos camas generales para atender a pacientes #COVID19. En camas con ventilador las entidades con menos disponibilidad porcentual son #CDMX #Edomex y #NuevoLeón #Telediario con @azucenau y @ramonramirezpe</t>
  </si>
  <si>
    <t>pic.twitter.com/Vfw1cIdzit</t>
  </si>
  <si>
    <t>🔴 El Presidente #AMLO dio positivo a #COVID19 previamente estuvo en contacto con varios funcionarios federales y estatales #TelediarioMediodía con @azucenau y @ramonramirezpe | #EnDirecto</t>
  </si>
  <si>
    <t>pic.twitter.com/LHQdqjJWii</t>
  </si>
  <si>
    <t>🔴 ¡Buenas tardes! Te compartimos los titulares #TelediarioMediodía con @azucenau y @ramonramirezpe | #EnDirecto</t>
  </si>
  <si>
    <t>pic.twitter.com/6qXf4h3F9e</t>
  </si>
  <si>
    <t>Cuanta población Rusa ha sido vacunada con la Sputnik??, no sean irresponsables @m_ebrard @lopezobrador_ @HLGatell . @qtf @LillyTellez @SiPorMx @AFederalista @JaimeRdzNL @DrManueldelaO @senadomexicano @Mx_Diputados @OficialFrenaaa @M2Cyndy @MariettoPonce @jorgeberry @azucenau RT @LillyTellez: La vacuna #SputnikV solo funciona en papel, en teoría se ve bien. No se ha probado que sirva en la práctica. La OMS apenas la está analizando, Rusia ha sido cuestionada por la comunidad científica por presentar información falsa.</t>
  </si>
  <si>
    <t>https://twitter.com/LillyTellez/status/1353763553895845888</t>
  </si>
  <si>
    <t>Moises Suarez</t>
  </si>
  <si>
    <t>@TabascoHOY @azucenau @CiroGomezL</t>
  </si>
  <si>
    <t>https://youtu.be/nJsJOlCAvOs</t>
  </si>
  <si>
    <t>http://www.moisessuarez.com</t>
  </si>
  <si>
    <t>Jaime Núñez Piña</t>
  </si>
  <si>
    <t>Si te enteraste, seguro fue con nosotros⁩: ⁦@CiroGomezL⁩ ⁦@MarioBeteta⁩ ⁦@lopezdoriga⁩ ⁦@DeniseMaerker⁩ ⁦@azucenau⁩ ⁦@PaolaRojas⁩ ⁦@LeonardoCurzio⁩ ⁦@JoseCardenas1⁩ ⁦@javierpoza⁩ ⁦@ReneFranco⁩ ⁦@maxwoodside⁩</t>
  </si>
  <si>
    <t>https://pbs.twimg.com/media/Esl_RgLXEAIJ67l.jpg</t>
  </si>
  <si>
    <t>Benito Juárez</t>
  </si>
  <si>
    <t>Conductor @Radio_Formula L-V 17:00 hrs. S-D 07:00 hrs. @Multimediostv @telediario L-V 13:00 hrs. #CercadeTi L-V 15:00 hrs. Columnista @elheraldo_mx. Personal.</t>
  </si>
  <si>
    <t>Roberto</t>
  </si>
  <si>
    <t>Estoy seguro que hoy @azucenau mencionará algo al respecto del tweet de Clara Luz donde mencionaba que ya estaba vacunada.</t>
  </si>
  <si>
    <t>MEXICANO!</t>
  </si>
  <si>
    <t>Odio a Obrador</t>
  </si>
  <si>
    <t>Cacas @lopezobrador_, @StratCons @alejandraguayoa @ryodeDios @lilaabed @SofiGarciaMX @SGarciaSoto @jrsestaca @azucenau @Bren_PenaBello @jorgeberry @bereaguilarv @deniseramosm @LillyTellez @JoseCardenas1 @SergioSarmiento @CiroGomezL @AnaJVillagran @ElAmaDeCasa1 @carlosalazraki</t>
  </si>
  <si>
    <t>https://pbs.twimg.com/media/EslqJ3KW8AAVLAu.jpg</t>
  </si>
  <si>
    <t>Corramos a López a patadas de México</t>
  </si>
  <si>
    <t>Ricardo Márquez Blas</t>
  </si>
  <si>
    <t>🚨🚨🚨 Amig@s, mañana a las 9:00 horas de la CDMX 👇👇👇 @LeonardoCurzio @azucenau @beltrandelrio @janupi @Amsalazar @BlancaBecerril @elalbertomedina @casede_org @aracelibs @TCiceronis @InesRecamier @LauraBruges @evizarretea @marybsheridan @jude_webber @MaxKaiser75 @RosaCarmen85 RT @MexicoInstitute: 📌 Join us next Tuesday at 10am for Part 1 of our Ninth Annual 🇺🇸-🇲🇽 Security Conference featuring panels with academic experts and journalists evaluating AMLO's public security record as well as the security situation on the ground Details and RSVP ⬇️</t>
  </si>
  <si>
    <t>https://twitter.com/MexicoInstitute/status/1351655697931501574
https://www.wilsoncenter.org/event/ninth-annual-us-mexico-security-conference-part-1</t>
  </si>
  <si>
    <t>CDMX</t>
  </si>
  <si>
    <t>Especialista en Seguridad. Estratega Tecnológico. Sistemas de Información. Análisis de datos.</t>
  </si>
  <si>
    <t>Eli Montoya</t>
  </si>
  <si>
    <t>Pero no se iba a politizar la vacunación, vdd?? @INEMexico @Irma_Sandoval @CarlosLoret @beltrandelrio @CiroGomezL @CiroMurayamaINE @brozoxmiswebs @azucenau @Adela_Micha @alarcondibujos @qtf @ChumelTorres @SergioSarmiento @ChumelTorres @GlodeJo07 @deniseramosm @DesireeNavarro RT @ahorta134: @claraluzflores @lopezobrador_ Que pasó sra. @claraluzflores ¿se arrepintió de algo? no se preocupe que aquí estamos para recoger los Twitt que se caen. De nada.</t>
  </si>
  <si>
    <t>https://twitter.com/ahorta134/status/1353584488262103040</t>
  </si>
  <si>
    <t>https://pbs.twimg.com/media/Esjl6bgXYAElLia.jpg</t>
  </si>
  <si>
    <t>Monterrey, Nuevo León</t>
  </si>
  <si>
    <t>Aspirante a FiFi (porque soy moreno y tengo que trabajar porque no tengo influencias) y aspirante a buen ciudadano (porque siempre puedo hacer algo mejor)</t>
  </si>
  <si>
    <t>El presidente pudo haber sido el primero en vacunarse y hoy no estaría contagiado, sin embargo, decidió esperar a que le tocara de acuerdo al calendario de edades y ocupaciones. Una lección de congruencia y humildad que nunca olvidaremos. @azucenau</t>
  </si>
  <si>
    <t>RALPH PECINA</t>
  </si>
  <si>
    <t>Con mucho respeto pero en estos momentos para mi la mejor comunicadora, además de bella es @azucenau no hay mas!</t>
  </si>
  <si>
    <t>DAVID LEE GARZA Y LOS MUSICALES SIMPLY THE BEST - SIMPLY TEJANO FACEBOOK FANPAGE ADMINISTRADOR</t>
  </si>
  <si>
    <t>Diego Adán</t>
  </si>
  <si>
    <t>Ojalá puedan dar mayor cobertura.  @DeniseDresserG @DeniseMaerker @franciscozea @CiroGomezL @CarlosLoret @brozoxmiswebs @Javier_Alatorre @aristeguicnn @azucenau @warkentin @jrisco @lopezdoriga</t>
  </si>
  <si>
    <t>https://www.bloomberg.com/news/articles/2021-01-24/seven-big-banks-escape-with-minor-fines-in-mexico-antitrust-case</t>
  </si>
  <si>
    <t>MMC</t>
  </si>
  <si>
    <t>Me quieren callar otra vez solicito su ayuda @A_Encinas_R @RSF_inter @article19mex @beltrandelrio @azucenau @ferbelaunzaran @CarlosLoret @brozoxmiswebs @V_TrujilloM #LibertadDeExpresion</t>
  </si>
  <si>
    <t>https://www.facebook.com/104691864341354/posts/268796274597578/</t>
  </si>
  <si>
    <t>Veracruz, Mex.</t>
  </si>
  <si>
    <t>Ya es 2021, cero quejas, más acción y menos lamentación, eres del grupo de los pendejos o de los inteligentes tu decide</t>
  </si>
  <si>
    <t>Hagan sus apuestas! Reto a la prensa apuesto 100 millones de Dólares a que AMLO no morirá! Quien le entra ? El virus el letalisisimo no y Amlo es de la 3￼￼￼￼￼ra edad ? Si es letal retenme !!! 😬 @TabascoHOY @CiroGomezL @azucenau</t>
  </si>
  <si>
    <t>Twitter Query: -filter:retweets -filter:replies from:DeniseDresserG</t>
  </si>
  <si>
    <t>Denise Dresser</t>
  </si>
  <si>
    <t>“El gobierno de @lopezobrador_ decidió no usar multas o toques de queda para hacer cumplir los confinamientos del #coronavirus, argumentando preocupación por los pobres y posible abuso policial. ¿Idealista o irresponsable?” Vía @marybsheridan RT @marybsheridan: Mexico's leftist govt chose to not use fines or curfews to enforce #coronavirus lockdown, citing concern for poor and history of police abuse. Idealistic or irresponsible?</t>
  </si>
  <si>
    <t>https://twitter.com/marybsheridan/status/1354080754918162432
https://www.washingtonpost.com/world/the_americas/coronavirus-mexico-lockdown-lopez-obrador/2021/01/25/8d6311aa-50fc-11eb-a1f5-fdaf28cfca90_story.html?tid=ss_tw</t>
  </si>
  <si>
    <t>Politóloga, escritora, activista. Autora de “Manifesto mexicano: cómo perdimos el rumbo y cómo recuperarlo”. conferencias@denisedresser.com por Zoom/Teams.</t>
  </si>
  <si>
    <t>http://denisedresser.com/</t>
  </si>
  <si>
    <t>1er acto: gobierno presume compra/arribo de vacunas. 2o acto: vacunación lenta/desordenada sin 2a dosis asegurada. 3er acto: AMLO anuncia compra de vacuna rusa no autorizada/verificada y López-Gatell rechaza comprar vacuna/Moderna. ¿Cómo se llamó la obra? “Querida, jodí al país” RT @ElFinanciero_Mx: #ÚLTIMAHORA López-Gatell descarta acordar compra de vacunas de Moderna; 'tendríamos suficientes', dice.</t>
  </si>
  <si>
    <t>https://twitter.com/elfinanciero_mx/status/1353891499461783552
https://elfinanciero.com.mx/nacional/lopez-gatell-descarta-acordar-compra-de-vacunas-de-moderna-tendriamos-suficientes-dice</t>
  </si>
  <si>
    <t>pic.twitter.com/hvOwUqYeRg</t>
  </si>
  <si>
    <t>La Gatelliana del día. RT @ElFinanciero_Mx: #ÚLTIMAHORA López-Gatell descarta acordar compra de vacunas de Moderna; 'tendríamos suficientes', dice.</t>
  </si>
  <si>
    <t>Así.</t>
  </si>
  <si>
    <t>https://pbs.twimg.com/media/EsmOE6GW8AEZ023.jpg</t>
  </si>
  <si>
    <t>Aquí bien acompañada en mi cumpleaños 🎂 🎁🥂 Gracias a quienes caminaron conmigo en otra vuelta al sol. Los abrazo.</t>
  </si>
  <si>
    <t>https://pbs.twimg.com/media/EsXDZI7W8AEjkWX.jpg</t>
  </si>
  <si>
    <t>La broma del día. RT @Pajaropolitico: Con la mayoría de votos, Morena impidió que el Congreso llame a comparecer al secretario @ArturoHerrera_G y al subsecretario @HLGatell, para rendir información sobre la situación de la pandemia.</t>
  </si>
  <si>
    <t>https://twitter.com/Pajaropolitico/status/1352278282226593799
https://www.animalpolitico.com/2021/01/morena-impide-comparecencia-funcionarios-pandemia/</t>
  </si>
  <si>
    <t>Fan de Bernie (en todas sus encarnaciones).</t>
  </si>
  <si>
    <t>https://pbs.twimg.com/media/EsN84k4XcAI5P1z.jpg</t>
  </si>
  <si>
    <t>Por decreto presidencial 👇</t>
  </si>
  <si>
    <t>https://pbs.twimg.com/media/EsNuhhLXEAA0Mnw.jpg</t>
  </si>
  <si>
    <t>La broma del día. RT @Pajaropolitico: Como resultado de su colaboración, la @FGRMexico no llevará a juicio a Lozoya, al menos por ahora. En su lugar solicitará la suspensión de los procesos en su contra, lo que le permitirá seguir en libertad.</t>
  </si>
  <si>
    <t>https://twitter.com/Pajaropolitico/status/1351973775877746688
https://www.animalpolitico.com/2021/01/proceso-lozoya-odebrecht-se-suspendera-fgr-implicados/</t>
  </si>
  <si>
    <t>Así. Por fin. #InaugurationDay</t>
  </si>
  <si>
    <t>https://pbs.twimg.com/media/EsMN-_eXcBECZKv.jpg</t>
  </si>
  <si>
    <t>Ni modo. Para reír.</t>
  </si>
  <si>
    <t>https://pbs.twimg.com/media/EsMFAZ0XMAQk5Fl.jpg</t>
  </si>
  <si>
    <t>Así. Por fin.</t>
  </si>
  <si>
    <t>https://pbs.twimg.com/media/EsLqTubW8AE7Erg.jpg</t>
  </si>
  <si>
    <t>Cuando escuchas a Gertz Manero, en entrevista con Carmen Aristegui, afirmar falsamente que los fiscales estadounidense soltaron a Cienfuegos porque lo encontraron inocente. cc @FGRMexico</t>
  </si>
  <si>
    <t>pic.twitter.com/1TLuJ5MplQ</t>
  </si>
  <si>
    <t>Gertz Manero miente, tergiversa, insulta, amenaza, y demuestra una terrible falta de templanza/preparación para el puesto clave en el que está. Con razón la justicia en México es intermitente o inexistente. Debería ser removido o renunciar por actuación en el caso Cienfuegos. RT @AristeguiOnline: #AristeguiEnVivo | Ya estamos en directo con el doctor Alejandro Gertz Manero, titular de la @FGRMexico, para ampliar la información sobre el caso del general Salvador Cienfuegos</t>
  </si>
  <si>
    <t>https://twitter.com/AristeguiOnline/status/1351557070861037568
http://ow.ly/DaZZ30rtiBu</t>
  </si>
  <si>
    <t>https://pbs.twimg.com/media/EsGx_fyWMAESHlb.png</t>
  </si>
  <si>
    <t>Cómo empezó / Cómo va</t>
  </si>
  <si>
    <t>https://pbs.twimg.com/media/EsHBEgkXUAUN-1Z.jpg</t>
  </si>
  <si>
    <t>Ojo presidente @lopezobrador_ No es el @INAImexico el que se niega a entregar información. ¡Es su propio gobierno! Es la @FGRMexico. Si insiste en “absorber” sus funciones y eliminar a la institución, habrá menos transparencia y más opacidad. O eso es lo que realmente quiere RT @fnietomorales: INAI gana todos los amparos para que se abra caso Odebrecht, pero FGR aún no lo hace</t>
  </si>
  <si>
    <t>https://twitter.com/fnietomorales/status/1351539229415907331
https://www.animalpolitico.com/2021/01/inai-amparos-caso-odebrecht-fg/</t>
  </si>
  <si>
    <t>Aquí las palabras de @AristeguiOnline sobre el intento presidencial de absorber al gobierno y desmantelar los órganos autónomos como el INAI, el IFT, y el INE: “una equivocación gravísima, una regresión, un error garrafal”.</t>
  </si>
  <si>
    <t>pic.twitter.com/9W9Aamflxd</t>
  </si>
  <si>
    <t>Vaya viraje de @lopezobrador_ . Con Trump calló y se acurrucó. Con Biden ya decidió pelearse para arengar ánimo nacionalista/anti-yanqui. Al exonerar a Cienfuegos, filtrar expedientes y denunciar a la DEA, AMLO no tiende la mano; hace política a puñetazos.</t>
  </si>
  <si>
    <t>https://reforma.com/8xTAYr</t>
  </si>
  <si>
    <t>https://pbs.twimg.com/media/EsDqvuLXAAAKfdG.jpg</t>
  </si>
  <si>
    <t>Las vacunas deben ser aplicadas a todos los médicos de México, punto. Este no debe ser un tema político para el gobierno sino de simple justicia/equidad con quienes han estado en la primera línea cuidando enfermos y continuarán haciéndolo Aquí exigencia de asociaciones médicas:</t>
  </si>
  <si>
    <t>https://pbs.twimg.com/media/EsDqlUeXUAMydJ1.jpg</t>
  </si>
  <si>
    <t>Twitter Query: -filter:retweets -filter:replies @DeniseDresserG</t>
  </si>
  <si>
    <t>Leonel Gomez Lujan</t>
  </si>
  <si>
    <t>Lamentable lo que están haciendo los partidos 👇👇👇@lopezdoriga @juanburgos @GMonroyEnergy @beltrandelrio @leozuckermann @DeniseDresserG @alvaro_delgado @julioastillero @DeniseMaerker @SergioSarmiento @hdemauleon @Adela_Micha @warkentin RT @hdemauleon: ¿Quieren saber cómo nos va a ir? Bueno, pues así. Aquí hay una probadita del futuro. 👇</t>
  </si>
  <si>
    <t>https://twitter.com/hdemauleon/status/1354144346627399681</t>
  </si>
  <si>
    <t>https://pbs.twimg.com/media/EsrjGpRUcAARfmI.jpg</t>
  </si>
  <si>
    <t>Ignacio MoraGa</t>
  </si>
  <si>
    <t>Ojalá escudriñaran el msj, @LillyTellez @DeniseDresserG @ClaudioXGG @CiroGomezL @hdemauleon @g_quadri y los @GOAN_MX Salud para todos! RT @DiegodelBosqueV: “Más allá de todas nuestras diferencias políticas actuales, que son de gran importancia, podemos trabajar juntos en el marco de una pandemia, en un terreno humanitario”, dice Merkel a Putin. Mensaje para la derecha mexicana, que ha boicoteado la estrategia del gobierno siempre.</t>
  </si>
  <si>
    <t>https://twitter.com/DiegodelBosqueV/status/1354087749415006215</t>
  </si>
  <si>
    <t>Xibalbá</t>
  </si>
  <si>
    <t>Orgulloso de tener al mejor Presidente en la peor crisis!</t>
  </si>
  <si>
    <t>El Aprendiz de RIUS</t>
  </si>
  <si>
    <t>Y vean a la terrorista panista @DeniseDresserG goza a lado de sus jefes... RT @luisghernan: El estrepitoso FRACASO de @Javier_Corral tiene su muestra más clara en la PATADA🦵🏾 que recibió su rémora, @GustavoMadero (a) Tontín quien deliraba con sucederlo Arrasaron con ambos Se queda sin futuro cierto el favorito de esta pandilla</t>
  </si>
  <si>
    <t>https://twitter.com/luisghernan/status/1353772748976185345</t>
  </si>
  <si>
    <t>https://pbs.twimg.com/media/EsmQ-9gU0AIv9z_.jpg</t>
  </si>
  <si>
    <t>Cuestionar y no dejar que las mentiras agarren fuerza...</t>
  </si>
  <si>
    <t>Grupo Sol</t>
  </si>
  <si>
    <t>EDITORIAL: UN GOBERNADOR QUE SE CREE SUS PROPIAS MENTIRAS @JavierSolorzano @DeniseDresserG @qtf @lydiacachosi @JoseCardenas1 @AlvaroCueva @carolina_rocha_ @YuririaSierra @karlaiberia @AnaPOrdorica @VILLALVAZO13 @FedericoArreola @julioastillero</t>
  </si>
  <si>
    <t>https://solyucatan.com/editorial-un-gobernador-que-se-cree-sus-propias-mentiras/</t>
  </si>
  <si>
    <t>Chetumal, Quintana Roo</t>
  </si>
  <si>
    <t>El Mejor Periódico del Estado. Información al Instante. Entérate de las #noticias más relevantes de #QuintanaRoo y el mundo, además de reportajes especiales.</t>
  </si>
  <si>
    <t>https://solquintanaroo.com</t>
  </si>
  <si>
    <t>123LeoLopez</t>
  </si>
  <si>
    <t>Ccp. @LillyTellez @DeniseDresserG @CarlosLoret @brozoxmiswebs y la arrabalera de @WeraReynoso 👇 RT @JimCarrey: One of the most corrosive threats to society moving forward is social media and right wing disinformation. There should be giant fines for false info and if they call their content ‘hyperbole’ in court, they should not be allowed to call it ‘news’ on tv.</t>
  </si>
  <si>
    <t>https://twitter.com/jimcarrey/status/1353827793994272768</t>
  </si>
  <si>
    <t>https://pbs.twimg.com/media/EsnDHljVEAoO6Gb.jpg</t>
  </si>
  <si>
    <t>Quien no sabe de donde viene, difícilmente sabrá a donde ir... CDMX amo Oaxaca !</t>
  </si>
  <si>
    <t>Lots</t>
  </si>
  <si>
    <t>Which could put any president in danger of malpractice or sedition hidden from the public eye We tend to forget some of the reasons behind such needed transparency specially when such secrecy could be interpreted as coherent to the Mexican leader’s known actions @DeniseDresserG RT @SYoungReports: Mexican president AMLO is not the first elected leader to fall ill with COVID-19. But, to my knowledge, his is the first case in which health officials from the outset have said they "will not reveal any clinical detail" about the leader's state of health.</t>
  </si>
  <si>
    <t>https://twitter.com/syoungreports/status/1354125210459512836
https://www.gob.mx/presidencia/articulos/version-estenografica-conferencia-de-prensa-informe-diario-sobre-coronavirus-covid-19-en-mexico-262139?idiom=es</t>
  </si>
  <si>
    <t>Truth matters. 📌La verdad se define por su honesta búsqueda. 12/04/2020: Defender una opinión, no es lo mismo que defender una verdad.</t>
  </si>
  <si>
    <t>Jeremiahgroover</t>
  </si>
  <si>
    <t>Quien no crea en la militarización del país, cheque el nuevo titular de la Agencia Federal de Aviación Civil (AFAC), es un General en retiro y ex comandante de la fuerza aérea mexicana. Su nombre: Carlos Antonio Rodríguez. Ccp: @DeniseDresserG</t>
  </si>
  <si>
    <t>En algún lugar debo estar...</t>
  </si>
  <si>
    <t>Lic./Mtro.Derecho.Don 🐧. Dj y skater retirado. Hellfish. Aquí, no todo es seriedad...</t>
  </si>
  <si>
    <t>🇲🇽</t>
  </si>
  <si>
    <t>Never lie pay your bills do your job @nncattan @DeniseDresserG RT @nncattan: In Mexico City, patients lie in ambulances for up to ELEVEN HOURS outside hospitals, going through tank after tank of oxygen waiting for a bed Even sick paramedics can't get beds Until someone "is discharged or dies" With @andreanavarror .</t>
  </si>
  <si>
    <t>https://twitter.com/nncattan/status/1354099815458742274
https://www.bloomberg.com/news/articles/2021-01-26/mexico-city-says-hospitals-have-beds-paramedics-can-t-find-them#:~:text=Officials%20say%20it's%20because%20new,better%20to%20call%20911%20instead</t>
  </si>
  <si>
    <t>✌️</t>
  </si>
  <si>
    <t>Luis Oscar Fernández</t>
  </si>
  <si>
    <t>Ustedes muy bien @LillyTellez @DeniseDresserG @carlosbravoreg @pedroferriz3 @GMonroyEnergy @StratCons @Chertorivski proyectando su GRAN DOMESTICACIÓN al capital 🤑💩👈 #OposicionMoralmenteDerrotada DESESPERADA!!! Ya NO se ayuden 😂😂😂</t>
  </si>
  <si>
    <t>https://www.youtube.com/watch?v=oxKhJ8YmWfU</t>
  </si>
  <si>
    <t>Estado de México</t>
  </si>
  <si>
    <t>Profesional Humanista en el servicio, viendo al prójimo en TODOS los seres vivos Madre Tierra, 200% con la 4T listo para la 5taD Positiva. UAMx.UAEM.UNAM.UABC.</t>
  </si>
  <si>
    <t>http://www.pi69.com</t>
  </si>
  <si>
    <t>Noroeste</t>
  </si>
  <si>
    <t>#OPINIÓN ✍️ Este martes, @DeniseDresserG escribe sobre los mexicanos que faltan por el #Covid19 y cuya ausencia debería producir indignación ante un gobierno indolente, una estrategia de vacunación ineficiente y una respuesta claramente insuficiente. 👉</t>
  </si>
  <si>
    <t>https://bit.ly/36gQ12p</t>
  </si>
  <si>
    <t>https://pbs.twimg.com/media/Esq2X0vXAAA92Mh.jpg</t>
  </si>
  <si>
    <t>Sinaloa, México</t>
  </si>
  <si>
    <t>Periodismo🔎 local, crítico e independiente para Sinaloa y México. WhatsApp: 6674318521 Suscríbete 🙏 : http://noroeste.com.mx/premium</t>
  </si>
  <si>
    <t>http://www.noroeste.com.mx</t>
  </si>
  <si>
    <t>María C. Alonso🇲🇽 y mas de 30 millones</t>
  </si>
  <si>
    <t>Bueno cada día los defensores del régimen de corrupción como @CarlosLoret @beltrandelrio @LillyTellez @DeniseDresserG @brozoxmiswebs @ClaudioXGG @gdehoyoswalther @MarkoCortes @lopezdoriga @CiroGomezL @tumbaburross @ferbelaunzaran enloquecen sin dar señales de recuperación...</t>
  </si>
  <si>
    <t xml:space="preserve">aqui y ahora </t>
  </si>
  <si>
    <t>Mujer amante de la Naturaleza, Literatura, Historia, filosofía,arte: la vida.</t>
  </si>
  <si>
    <t>#PorSiNoLoViste Nuestra Portada del Periódico Sol Yucatán @MauVila @RenanBarrera @GobYucatan @SGGYUCATAN @fgeyucatan @Cepredey @PAgraria @CongresoYucatan @JaniceEscobedoS @KathiaBolio @CeciliaPatronL @JavierSolorzano @DeniseDresserG @qtf @lydiacachosi @JoseCardenas1</t>
  </si>
  <si>
    <t>https://pbs.twimg.com/media/EsqoNxDXUAAbJvm.jpg</t>
  </si>
  <si>
    <t>Ghost R .. #OPCmx</t>
  </si>
  <si>
    <t>A dónde se va el dinero ???? #LopezCorruptoInepto @Reforma @MXvsCORRUPCION @WSJ @nytimeses @CarlosLoret @DeniseDresserG @beltrandelrio @telediario @AP @davidluhnow @mbachelet @ONU_es @hrw_espanol RT @dicesmx: Mantener a los “Servidores de la Nación”, promotores del Gobierno, cuesta a los mexicanos cada año, sólo en sueldos, $2 mil 652 millones,lo que equivale a comprar 15 millones de vacunas COVID o 10 mil tratamientos integrales para niños con cáncer #EsNeta? @jorgeberry @PamCerdeira</t>
  </si>
  <si>
    <t>https://twitter.com/dicesmx/status/1354051466407927810</t>
  </si>
  <si>
    <t>pic.twitter.com/ykUvKxxImj</t>
  </si>
  <si>
    <t>We believe that evil exists in others, the truth is that evil lives in our heart</t>
  </si>
  <si>
    <t>Así que @lopezobrador_ YA COMPRO LA VACUNA RUSA QUE NO TIENE AUTORIZACION MUNDIAL !!! Vaya que derrocha $$$ de México @IntlCrimCourt @Reforma @WSJ @nytimeses @opsoms @mbachelet @CarlosLoret @MXvsCORRUPCION @DeniseDresserG @hrw_espanol @beltrandelrio @jrisco @davidluhnow RT @Chertorivski: Hasta hoy, la vacuna Sputnik V no ha presentado pruebas de investigación de la fase 3, indispensables para una aplicación confiable y segura. Lo más que ha aportado la farmacéutica rusa es un comunicado de prensa.</t>
  </si>
  <si>
    <t>https://twitter.com/Chertorivski/status/1353927644669239296</t>
  </si>
  <si>
    <t>Lalo Hernández</t>
  </si>
  <si>
    <t>#QueridaJodíAlPaís @DeniseDresserG 👏👏👏👏👏👏👏👏👏👏👏👏👏👏👏👏👏👏👏👏👏👏👏👏👏👏👏👏👏👏👏👏👏👏👏👏👏👏👏👏👏👏👏👏👏👏👏👏👏👏👏👏</t>
  </si>
  <si>
    <t xml:space="preserve">Estrella de Belen </t>
  </si>
  <si>
    <t>#GuerreroMeEnamora</t>
  </si>
  <si>
    <t>La 4T</t>
  </si>
  <si>
    <t>Para la @laishawilkins @carlosbravoreg @DeniseDresserG y toda esa fauna 🤢🤮 RT @laintweetiva: México es ese país donde le puedes desear la muerte al presidente en redes sociales, indicar con cuántos medicamentos pudiera ser más fácil asesinarlo, y al mismo tiempo, quejarte de que no hay libertad de expresión.</t>
  </si>
  <si>
    <t>https://twitter.com/laintweetiva/status/1353829785022066688</t>
  </si>
  <si>
    <t>La Cuarta Transformación de México</t>
  </si>
  <si>
    <t>#EnPortada| YUCATÁN: AZOTADO POR DELITOS DE ALTO IMPACTO @Javier_Alatorre @brozoxmiswebs @PedroFerriz @PaolaRojas @Denise_Maerker @JavierSolorzano @DeniseDresserG @qtf @lydiacachosi @JoseCardenas1 @AlvaroCueva @carolina_rocha_ @YuririaSierra</t>
  </si>
  <si>
    <t>https://solyucatan.com/yucatan-azotado-por-delitos-de-alto-impacto/</t>
  </si>
  <si>
    <t>Rodrigo Díaz Profesor</t>
  </si>
  <si>
    <t>¿Alguien lee a @DeniseDresserG? Es más, ¿alguien la conoce como extraordinaria viróloga, pandemióloga, infectóloga y politóloga, además de mamóloga?</t>
  </si>
  <si>
    <t>https://pbs.twimg.com/media/EsqL80JXEAArZRh.jpg</t>
  </si>
  <si>
    <t xml:space="preserve">Guerrero. </t>
  </si>
  <si>
    <t>Profesor de una cosa, aprendiz de muchas. Entre más reaccionaria la rancia derecha, más grande mi defensa a este gobierno. ¡NI UN VOTO AL PAN! #RedAMLOvers</t>
  </si>
  <si>
    <t>Consuelo Sáizar de la Fuente</t>
  </si>
  <si>
    <t>"Estamos por vez última en dondequiera." José Emilio Pacheco (Junio 30, 1939 – Enero 26, 2014) Aquí, nosotros dos, con @sabinaberman y @DeniseDresserG 2012.</t>
  </si>
  <si>
    <t>https://pbs.twimg.com/media/EsqLGGFXUAELvMj.jpg</t>
  </si>
  <si>
    <t>Oxford, UK</t>
  </si>
  <si>
    <t>Leer | Conversar | Caminar | Contemplar | Estudiar | Comunicación | Sociología | Historia | MXUK | @Ibero_Mx | @Cambridge_Uni | @UniofOxford</t>
  </si>
  <si>
    <t>Y ahora que va a decir @DeniseDresserG ??</t>
  </si>
  <si>
    <t>https://www.forbes.com.mx/mundo-merkel-apoyo-moscu-vacuna-rusa-sputnik-v-ue/amp/?__twitter_impression=true</t>
  </si>
  <si>
    <t>Æ❌'S मैं तुमसे प्यार करता हूँ</t>
  </si>
  <si>
    <t>imbecil @lopezobrador_ @brozoxmiswebs @AlfredoJalife2 @ChumelTorres @qtf @CarlosLoret @beltrandelrio @PedroFerriz @CiroGomezL @EnriqueKrauze @DeniseDresserG @Adela_Micha @LillyTellez @tumbaburross @LuisCardenasMx @leozuckermann @lopezdoriga @LeonardoCurzio @rivapa  RT @gdehoyoswalther: El Gobernador de Baja California @Jaime_BonillaV en un arranque autoritario, amenaza con expropiar instalaciones deportivas de particulares. Los gobiernos de @PartidoMorenaMx empiezan a atacar a la propiedad privada, mostrando que nos quieren llevar al comunismo.#VotaParaBotarlos</t>
  </si>
  <si>
    <t>https://twitter.com/gdehoyoswalther/status/1353910354062036992</t>
  </si>
  <si>
    <t>https://pbs.twimg.com/media/EsqFM-IXMAIuw0z.jpg
pic.twitter.com/P1DvIqc1D4</t>
  </si>
  <si>
    <t>California, USA</t>
  </si>
  <si>
    <t>(☞ ͡° ͜ʖ ͡°)☞ ❤ɱı ƈơཞąʑơŋ ყ ɬų ƈơཞąʑơŋ...ųŋıɖơʂ ℘ơཞ ʂıɛɱ℘ཞɛɛɛɛɛ!❤</t>
  </si>
  <si>
    <t>EstadísticasGobierno</t>
  </si>
  <si>
    <t>Tasa de #homicidios de #hombres por cada 100mil habitantes a nivel nacional (Enero a junio, 1990 a 2020) @laloguerrero @jrisco @DeniseDresserG</t>
  </si>
  <si>
    <t>https://pbs.twimg.com/media/EsoHwLXXAAISE2Y.jpg</t>
  </si>
  <si>
    <t>Estadísticas de gobierno, seguridad pública, victimización y justicia.</t>
  </si>
  <si>
    <t>Victor Parra-Tabla</t>
  </si>
  <si>
    <t>A estas alturas en la que los odiadores parecen no tener límite, ya hasta es difícil distinguir un Twitt de @DeniseDresserG y uno de @LillyTellez Luego habla Merkel y se dan cuenta del ridículo que hacen, ya pasó con la censura en Twitter y hora esto @HistoriaPedro @syzavel19</t>
  </si>
  <si>
    <t>https://pbs.twimg.com/media/EsqC4-pXcAArpq5.png</t>
  </si>
  <si>
    <t>Aspirante a ecólogo. Alto al chovinismo</t>
  </si>
  <si>
    <t>https://sites.google.com/site/victor.parratablalab/</t>
  </si>
  <si>
    <t>Dr Gustavo Calderon Villaverde</t>
  </si>
  <si>
    <t>⁦@JoseCardenas1⁩ ⁦@DeniseDresserG⁩</t>
  </si>
  <si>
    <t>https://pbs.twimg.com/media/Espes4wXEAEBMze.jpg</t>
  </si>
  <si>
    <t xml:space="preserve">EL CARAJO </t>
  </si>
  <si>
    <t>EN 81 AÑOS DE EDAD NO CREI VER UN PRESIDENTE ELECTO, NO IMPUESTO, HONRADO NO RATERO, HUMANISTA, NO ASESINO; NO MERECE SER OFENDIDO</t>
  </si>
  <si>
    <t>Laura Romo</t>
  </si>
  <si>
    <t>Comunismo Europa @eledece @aguilarcamin @DeniseDresserG @leozuckermann @JorgeGCastaneda @EnriqueKrauze @JACrespo1 @beltrandelrio @CiroGomezL @fmartinmoreno @RicardoAlemanMX @SergioSarmiento @rivapa @ArturoDammArnal @JEPardinas @ValeriaMoy @CarlosLoret @jorgesuarezv @pablo_majluf RT @defis_eu: Can you think of a better way to enter into the @UN Decade of Ocean Sciences than to join the the General Assembly of the #Copernicus Marine Service? 🔴📢Today is the first day! It starts at 09:00🕒 Registrations are still open👉 #OceanDecade</t>
  </si>
  <si>
    <t>https://twitter.com/defis_eu/status/1353960911061573632
https://marine.copernicus.eu/events/copernicus-marine-service-general-assembly-jan-26-28-2021</t>
  </si>
  <si>
    <t>https://pbs.twimg.com/media/Eso8RPOXMA4N9c3.jpg</t>
  </si>
  <si>
    <t>Earth</t>
  </si>
  <si>
    <t>I'm into astronomy</t>
  </si>
  <si>
    <t>Comunismo Europa @eledece @aguilarcamin @DeniseDresserG @leozuckermann @JorgeGCastaneda @EnriqueKrauze @JACrespo1 @beltrandelrio @CiroGomezL @fmartinmoreno @RicardoAlemanMX @SergioSarmiento @rivapa @ArturoDammArnal @JEPardinas @ValeriaMoy @CarlosLoret @jorgesuarezv @pablo_majluf RT @ESA_EO: Tomorrow at 09:00 the @Europarl_EN @EP_ArtifIntel Committee will meet to discuss the role of #ArtificialIntelligence in fighting #climatechange and in meeting the #UN #SGDs as well as the #EUGreenDeal. @AschbacherJosef will also be presenting. ➡️Info at</t>
  </si>
  <si>
    <t>https://twitter.com/ESA_EO/status/1353976155607609346
https://www.europarl.europa.eu/committees/en/public-hearing-of-ai-and-green-deal/product-details/20210112CAN59287</t>
  </si>
  <si>
    <t>https://pbs.twimg.com/media/EspJ_zzWMAEtewt.jpg</t>
  </si>
  <si>
    <t>Neoliberali Rusia @eledece @aguilarcamin @DeniseDresserG @leozuckermann @JorgeGCastaneda @EnriqueKrauze @JACrespo1 @beltrandelrio @CiroGomezL @fmartinmoreno @RicardoAlemanMX @SergioSarmiento @rivapa @ArturoDammArnal @JEPardinas @ValeriaMoy @CarlosLoret @jorgesuarezv @pablo_majluf RT @tvroscosmos: Компания «#Протон-Пермские моторы» совершенствует производство для серийного выпуска ракетных двигателей #РД-191.</t>
  </si>
  <si>
    <t>https://twitter.com/tvroscosmos/status/1353970428029460481</t>
  </si>
  <si>
    <t>https://pbs.twimg.com/media/EsoarY9XYAEO6NY.jpg</t>
  </si>
  <si>
    <t>Comunismo Europa @eledece @aguilarcamin @DeniseDresserG @leozuckermann @JorgeGCastaneda @EnriqueKrauze @JACrespo1 @beltrandelrio @CiroGomezL @fmartinmoreno @RicardoAlemanMX @SergioSarmiento @rivapa @ArturoDammArnal @JEPardinas @ValeriaMoy @CarlosLoret @jorgesuarezv @pablo_majluf RT @SpaceWatchGL: Norwegian NorSat-TD demonstrates European technologies @CNES #lasercommunication #NetherlandsSpaceOffice #NSO #NorSatTD #NorwegianSpaceAgency #SmallCAT @ThrustMe_ @Romsenteret</t>
  </si>
  <si>
    <t>https://twitter.com/SpaceWatchGL/status/1353966499963269122
https://spacewatch.global/2021/01/norwegian-norsat-td-to-demonstrate-european-high-tech/</t>
  </si>
  <si>
    <t>https://pbs.twimg.com/media/EspBWyOXEAUhWDV.jpg</t>
  </si>
  <si>
    <t>Comunismo n Japón @eledece @aguilarcamin @DeniseDresserG @leozuckermann @JorgeGCastaneda @EnriqueKrauze @JACrespo1 @beltrandelrio @CiroGomezL @fmartinmoreno @RicardoAlemanMX @SergioSarmiento @rivapa @ArturoDammArnal @JEPardinas @ValeriaMoy @CarlosLoret @jorgesuarezv @pablo_majluf RT @clearusui: かっこいい。 超応援する！！！！ #TENGARocket #IST #MOMO #TENGA</t>
  </si>
  <si>
    <t>https://twitter.com/clearusui/status/1353961395969118209</t>
  </si>
  <si>
    <t>https://pbs.twimg.com/media/Eso8qrrVoAAmQR9.jpg</t>
  </si>
  <si>
    <t>Edgar➿</t>
  </si>
  <si>
    <t>Hipocresía (por lo menos). Cuantos de esos que están cuente y cuente los muertos se quedaron callados con la boda a las que asistio @ClaudioXGG. @jenarovillamil @monerohernandez @fisgonmonero @DeniseDresserG @CarlosLoret @V_TrujilloM @CiroGomezL</t>
  </si>
  <si>
    <t>SAP</t>
  </si>
  <si>
    <t>Norma Guardado</t>
  </si>
  <si>
    <t>“Para ser un buen mexicano hay que sufrir, llorar, vociferar. Pero nunca, nunca hacer algo al respecto”. (Nota obtenida del Diario secreto de la Emperatriz, publicado en 1880 por la prensa de Francia) Ilustrada en el libro de @DeniseDresserG y @jvolpi</t>
  </si>
  <si>
    <t>Aquí y allá</t>
  </si>
  <si>
    <t>Maratonista de Netflix. Comunicóloga, Nutrióloga y amante del café de olla a la vez.</t>
  </si>
  <si>
    <t>http://momisgl.tumblr.com</t>
  </si>
  <si>
    <t>“MÉXICO: El Congreso que antes pasaba todas las leyes ahora no pasa ninguna. Sufrimos menos y nos reímos más. Nuestra calidad de vida no ha aumentado pero nuestro sentido del humor sí”. @DeniseDresserG @jvolpi</t>
  </si>
  <si>
    <t>Christian Buenrostro</t>
  </si>
  <si>
    <t>Espero los chairos no quieran desacreditar a @DeniseDresserG también. RT @DeniseDresserG: 1er acto: gobierno presume compra/arribo de vacunas. 2o acto: vacunación lenta/desordenada sin 2a dosis asegurada. 3er acto: AMLO anuncia compra de vacuna rusa no autorizada/verificada y López-Gatell rechaza comprar vacuna/Moderna. ¿Cómo se llamó la obra? “Querida, jodí al país”</t>
  </si>
  <si>
    <t>https://twitter.com/DeniseDresserG/status/1353898135614087170
https://twitter.com/elfinanciero_mx/status/1353891499461783552</t>
  </si>
  <si>
    <t>Tijuana, Baja California</t>
  </si>
  <si>
    <t>Ing en logística, Asesor/consultor, politólogo, gamer en tiempos libres, amante del cine, comics, chavoruco de corazón. Geek me dicen algunos!! Habrá sátira!!</t>
  </si>
  <si>
    <t>Es una vergüenza lo que están haciendo los partidos, el punto más bajo de hacer Política, al paso que vamos en vez de congreso tendremos un reality show 🤷🏻‍♂️🤷🏻‍♂️ @juanburgos @GMonroyEnergy @lopezdoriga @beltrandelrio @alvaro_delgado @DeniseDresserG @genarolozano @hdemauleon RT @ChumelTorres: WEY YA</t>
  </si>
  <si>
    <t>https://twitter.com/ChumelTorres/status/1353927768883437568</t>
  </si>
  <si>
    <t>https://pbs.twimg.com/media/EsoeIQwU4AAa-9_.jpg</t>
  </si>
  <si>
    <t>Hugo Barce</t>
  </si>
  <si>
    <t>Señores del GOAN esto es por lo que dicen el ya clásico: "Quedaste como estúpida" Le deben una disculpa al gobierno federal por tanta infodemia @Coparmex @ClaudioXGG @EnriqueKrauze y demás fascistas de estos días... Ccp.@DeniseDresserG RT @GOAN_MX: En seguimiento al ofrecimiento de intentar adquirir vacunas vs #COVID19, informamos: Representantes comerciales de @AstraZeneca y de @PfizerMx nos informan que no se tiene disponibilidad en la producción. El posible suministro sería a partir de diciembre o del próximo año.</t>
  </si>
  <si>
    <t>https://twitter.com/GOAN_MX/status/1353886635419709440</t>
  </si>
  <si>
    <t>en algún lugar de un gran país</t>
  </si>
  <si>
    <t>Like a stone</t>
  </si>
  <si>
    <t>Eleazar V.García J.</t>
  </si>
  <si>
    <t>Irresponsabilidad del ejecutivo @lopezobrador_ que cosas y hoy cifras 150 mil muertos por el Covid19. Bonito control de la pandemia, y eso que hace meses la domaron decían! @dicesmx @RIDNoticias @latinus_us @ImagenTVMex @imagenhector @LuisCardenasMx @DeniseDresserG @ChumelTorres RT @jorge_guajardo: El Presidente acaba de cenar con todos los empresarios grandes de Monterrey (Grupo de los 10) hace dos días. Me imagino todos se están haciendo las respectivas pruebas, así como Marcelo Ebrard y Clara Luz, con quienes sabemos convivió sin cubrebocas.</t>
  </si>
  <si>
    <t>https://twitter.com/jorge_guajardo/status/1353502869081751554</t>
  </si>
  <si>
    <t>Consultor PyME, proyectos emprendedores y Capital</t>
  </si>
  <si>
    <t>Comunismo n India @eledece @aguilarcamin @DeniseDresserG @leozuckermann @JorgeGCastaneda @EnriqueKrauze @JACrespo1 @beltrandelrio @CiroGomezL @fmartinmoreno @RicardoAlemanMX @SergioSarmiento @rivapa @ArturoDammArnal @JEPardinas @ValeriaMoy @CarlosLoret @jorgesuarezv @pablo_majluf RT @SkyrootA: This Republic day we at Team Skyroot remember and cherish the efforts of early Indian Rocket scientists who made India the Space Superpower it it today. #JaiHind #26January2021 #HappyRepublicDay2021 #Vandemataram</t>
  </si>
  <si>
    <t>https://twitter.com/SkyrootA/status/1353911988519243776</t>
  </si>
  <si>
    <t>https://pbs.twimg.com/media/EsoPKxcVEAIsf5x.jpg</t>
  </si>
  <si>
    <t>La Osamenta</t>
  </si>
  <si>
    <t>Así o más fregada la cosa 😞 @RamirezClaudia_ @DeniseDresserG @aguilarcamin @alejandromurat @ahope71</t>
  </si>
  <si>
    <t>https://www.bloomberg.com/graphics/covid-resilience-ranking/</t>
  </si>
  <si>
    <t>Publicaciones que tratan de apoyar el pensamiento crítico.</t>
  </si>
  <si>
    <t>#Antiamlo</t>
  </si>
  <si>
    <t>#AmloCovidiota La enfermedad de @lopezobrador_ la consideras? @ChumelTorres @BeatrizGMuller @CarlosLoret @JohnMAckerman @brozoxmiswebs @Dolores_PL @JLozanoA @PMunozLedo @gilbertolozanog @PedroFerriz @ClaudioXGG @PagesBeatriz @DeniseDresserG @EnriqueKrauze @aristeguicnn @AP</t>
  </si>
  <si>
    <t>antiAmlo apartidista confío q algun día algun politico le importe el pais, o q el pueblo derroque a los partidos q son la verdadera mafia</t>
  </si>
  <si>
    <t>👍 @eledece @aguilarcamin @DeniseDresserG @leozuckermann @JorgeGCastaneda @EnriqueKrauze @JACrespo1 @beltrandelrio @CiroGomezL @fmartinmoreno @RicardoAlemanMX @SergioSarmiento @rivapa @ArturoDammArnal @JEPardinas @ValeriaMoy @CarlosLoret @jorgesuarezv @pablo_majluf @Arouet_V @qtf RT @UniverCurious: 3D printing human organs could be a reality sooner than you think.</t>
  </si>
  <si>
    <t>https://twitter.com/UniverCurious/status/1353897483492089856</t>
  </si>
  <si>
    <t>pic.twitter.com/J7VJt2AFr2</t>
  </si>
  <si>
    <t>miguel melendez</t>
  </si>
  <si>
    <t>#OposicionMoralmenteDerrotada digan a @DeniseDresserG y @sabinaberman q dejen de hacer el ridículo por eso nadie les cree BBC News - Covid-19: Why the US hasn't hit vaccine targets so far</t>
  </si>
  <si>
    <t>https://www.bbc.co.uk/news/world-us-canada-55721437</t>
  </si>
  <si>
    <t>físico</t>
  </si>
  <si>
    <t>Alejandro Yeeben</t>
  </si>
  <si>
    <t>Mientras @lopezobrador_ dice "estar enfermo" así está la gente con covid esperando atención porque casi son las 21:00 hrs y no hay médicos en @Tu_IMSS clínica 9 @CarlosLoret @Claudiashein @brozoxmiswebs @DeniseDresserG @c4jimenez</t>
  </si>
  <si>
    <t>https://pbs.twimg.com/media/EsoCkpuXMAE02kv.jpg</t>
  </si>
  <si>
    <t>El envío de Gatell👇👇👇 @juanburgos @DeniseDresserG @julioastillero @juanburgos @alvaro_delgado @lopezdoriga @genarolozano @beltrandelrio @SergioSarmiento @leozuckermann @CarlosLoret @mcmaricarmen @FedericoArreola @CiroGomezL @Viri_Rios @warkentin @GMonroyEnergy @DeniseMaerker RT @Rodpac: De facto, nuevamente @HLGatell contradice lo que dijo el Presidente el viernes, al afirmar que: si hipotéticamente un estado o empresa adquiriera vacunas estaría mermando el plan nacional que ha sido " científicamente diseñado", podrán hacerlo cuando haya muchas vacunas.</t>
  </si>
  <si>
    <t>https://twitter.com/rodpac/status/1353884301046243334</t>
  </si>
  <si>
    <t>pic.twitter.com/Cwd6EouPl3</t>
  </si>
  <si>
    <t>Juan Pablo Alvarez #CPT</t>
  </si>
  <si>
    <t>Estimados, ya se vieron q en comunicado oficial del gob. ruso d la conferencia d hoy, hablan d mandar a médicos mexicanos a especializarse a Rusia? X qué esto no lo menciona el gob mexicano? #RedEnDefensaDeLaDemocracia @lopezdoriga @DeniseDresserG @LauraBruges @brozoxmiswebs @qtf  RT @JPAlvarezGuedea: En este comunicado oficial del gobierno ruso, dice lo de las vacunas, pero además se habló de mandar a médicos mexicanos a especializarse a Rusia... Por qué esto no lo mencionan ni @m_ebrard ni @lopezobrador_ en sus comunicados?? #RedEnDefensaDeLaDemocracia</t>
  </si>
  <si>
    <t>https://twitter.com/jpalvarezguedea/status/1353783982920503296
https://twitter.com/kremlinrussia/status/1353736648962535424</t>
  </si>
  <si>
    <t>https://pbs.twimg.com/media/Esn6zQ_XYAYw_li.jpg</t>
  </si>
  <si>
    <t>León, Guanajuato</t>
  </si>
  <si>
    <t>Católico / Resiliente / PhD ESADE / Inconforme con el populismo q nos gobierna / El ciudadano manda /#CPT @ConsultaPara y #RedD Red en Defensa de la Democracia.</t>
  </si>
  <si>
    <t>Miguel Alonso Raya</t>
  </si>
  <si>
    <t>Vacunas a voluntad - 25 de Ene. @reforma 👇 En México los criterios para la aplicación de la vacuna no surgen de una deliberación institucional que incluya al Consejo Nacional de Salubridad.Emanan directamente de la cabeza de AMLO ⁦@DeniseDresserG⁩</t>
  </si>
  <si>
    <t>https://reforma.com/fvKWNr</t>
  </si>
  <si>
    <t>Guanajuato, México.</t>
  </si>
  <si>
    <t>Soy Galileo. Sindicalista, defensor de los derechos laborales, de la Seguridad Social, la Educación, los derechos humanos, la libertad y la democracia.</t>
  </si>
  <si>
    <t>http://Geppss.com</t>
  </si>
  <si>
    <t>PABLO DEL VALLE</t>
  </si>
  <si>
    <t>En los hechos, habemus vicepresidenta en la 4t, antes que Kamala en EEUU. Así que ardan de envidia FeminITAMS @DeniseDresserG RT @M_OlgaSCordero: Acabo de recibir los resultados de mi prueba PCR para detectar SARS-CoV-2 (COVID-19), siendo estos negativos. Continuaré cumpliendo mis funciones y siguiendo las instrucciones del presidente @lopezobrador_. #FuerzaPresidente</t>
  </si>
  <si>
    <t>https://twitter.com/M_OlgaSCordero/status/1353868414255833094</t>
  </si>
  <si>
    <t>https://pbs.twimg.com/media/Esnn5k3WMAAKfa6.jpg</t>
  </si>
  <si>
    <t>Hay un poder económico (1%); El pueblo somos más. No somos máquina, por eso no nos sirve un algoritmo: Diálogo, ética, complejidad, política. No soy ateo.</t>
  </si>
  <si>
    <t>http://NoSomosMaquina.org</t>
  </si>
  <si>
    <t>Catrín de Capula</t>
  </si>
  <si>
    <t>No veo a @LillyTellez , @DeniseDresserG y demás desinformadores poniendole apodos como el que usaron con Gatell #doctoramuerte RT @taller2006: ¿En qué Universidad le habrán dado clase a esta ginecóloga @drafernanda_pg ? Me niego a creer que alguien que ayuda a una madre a traer hijos al mundo, pueda tener este lenguaje y esta mezquindad.</t>
  </si>
  <si>
    <t>https://twitter.com/taller2006/status/1353744739116445696</t>
  </si>
  <si>
    <t>https://pbs.twimg.com/media/Esl3p5tXYAMMZ_h.jpg</t>
  </si>
  <si>
    <t>Aquí nomás dando el rol.....por segunda vez. Hijo adoptivo de Morelia.</t>
  </si>
  <si>
    <t>https://pbs.twimg.com/media/EsnvbYyW8AAx9yL.jpg</t>
  </si>
  <si>
    <t>CON LOS ATAQUES BURLAS T AMENAZA DE MUERTE CONTRA @lopezobrador_ QUEDA DEMOSTRADO QUIEN HS ESTADO DIVIDIENDO ESTE PAÍS VERDAD @JoseCardenas1 @CiroGomezL @DeniseDresserG @macariomx @lopezdoriga @leozuckermann @LeonardoCurzio @AccionNacional @FelipeCalderon @alvaro_delgado</t>
  </si>
  <si>
    <t>🤔 @eledece @aguilarcamin @DeniseDresserG @leozuckermann @JorgeGCastaneda @EnriqueKrauze @JACrespo1 @beltrandelrio @CiroGomezL @fmartinmoreno @RicardoAlemanMX @SergioSarmiento @rivapa @ArturoDammArnal @JEPardinas @ValeriaMoy @CarlosLoret @jorgesuarezv @pablo_majluf @JlozanoA @qtf RT @universetoday: Five ways artificial intelligence can help space exploration -</t>
  </si>
  <si>
    <t>https://twitter.com/universetoday/status/1353843853225320448
https://theconversation.com/five-ways-artificial-intelligence-can-help-space-exploration-153664</t>
  </si>
  <si>
    <t>https://pbs.twimg.com/media/EsnRz0vXEAA_bom.jpg</t>
  </si>
  <si>
    <t>Axs</t>
  </si>
  <si>
    <t>Mr president @KremlinRussia_E @KremlinRussia ESTE TIPO @lopezobrador_ El más grande bruto q ha tenido Mexico NO ESTUDIO @AlfredoJalife2 @ChumelTorres @qtf @CarlosLoret @beltrandelrio @PedroFerriz @CiroGomezL @DeniseDresserG @LillyTellez @LuisCardenasMx @ricardomraphael  RT @draveropdeg: La vieja confiable: 😂😂😂😂😂😂😂😂😂😂😂😂😂😂😂😂😂😂😂😂😂😂😂😂😂😂😂😂😂😂😂😂😂😂😂😂😂😂😂😂😂 #Mentiroso</t>
  </si>
  <si>
    <t>https://twitter.com/draveropdeg/status/1353793184225177606</t>
  </si>
  <si>
    <t>https://pbs.twimg.com/media/EsniHAqXEAU-5BX.jpg
https://pbs.twimg.com/media/EsmjuS_XAAYK4M4.jpg</t>
  </si>
  <si>
    <t>Los Angeles, CA</t>
  </si>
  <si>
    <t>internacionalista antes que nada TV/RADIO PRODUCER NEWS ANALYST observador pragmático irreverente y eclécticamente neurótico मैं तुमसे प्यार करता हूँ</t>
  </si>
  <si>
    <t>Ituriel Palacios</t>
  </si>
  <si>
    <t>Como siempre @DeniseDresserG promoviendo el amarillismo y los tweets alarmistas. Acaso había una forma de saber qué vacunas serían efectivas ante las nuevas cepas antes de realizar la compra? O usted tiene una mágica bola de cristal?</t>
  </si>
  <si>
    <t>https://pbs.twimg.com/media/EsnSBW1VkAAii1i.jpg</t>
  </si>
  <si>
    <t>Tlatelolco, DF.</t>
  </si>
  <si>
    <t>Químico Santillan</t>
  </si>
  <si>
    <t>Ahí les hablan sepulcros blanqueados @jrisco, @DeniseDresserG, @leozuckermann, @EnriqueKrauze, @CiroGomezL, @LeonKrauze, @Reforma RT @alvaro_delgado: “Aves de paso”, de @rodriguezmonos</t>
  </si>
  <si>
    <t>https://twitter.com/alvaro_delgado/status/1353776168634363905</t>
  </si>
  <si>
    <t>https://pbs.twimg.com/media/EsmUPtVW4AA7NWJ.jpg</t>
  </si>
  <si>
    <t>Por la calidad y la vocación al servicio de la salud de los pacientes</t>
  </si>
  <si>
    <t>Axel Zwölf-2</t>
  </si>
  <si>
    <t>Siguiendo con el tema ... @CarlosLoret @V_TrujilloM @CiroGomezL @Cachoperiodista @lydiacachosi @beltrandelrio @rivapa @DeniseDresserG @draveropdeg @DamarisFany @FabiTaub @bereaguilarv</t>
  </si>
  <si>
    <t>https://m.bild.de/bild-plus/politik/inland/politik-inland/regierung-fuerchtet-impfstoff-rueckschlag-keine-astrazeneca-zulassung-fuer-senio-75065640,view=conversionToLogin,oview=amp.bildMobile.html?__twitter_impression=true</t>
  </si>
  <si>
    <t>La discreta voz de la razón.</t>
  </si>
  <si>
    <t>Adán II (the second)</t>
  </si>
  <si>
    <t>Alguien lleva el conteo oficial de las vacunas/vacunados que hay en México? @brozoxmiswebs @CarlosLoret @deniseramosm @DeniseDresserG @DeniseMaerker @PagesBeatriz @V_TrujilloM @CiroGomezL @lopezdoriga @AngeI_Queen_ @VaxMX_Oficial @ferbelaunzaran @SiPorMx @AccionNacional @jppgdl</t>
  </si>
  <si>
    <t xml:space="preserve">Veracruz, Veracruz de Ignacio </t>
  </si>
  <si>
    <t>Veracruzano, Bisexual, buena onda, tranquilo, irreverente, revolucionario, sarcastico, mamon, especial, inteligente, y un monton de bellos defectos.</t>
  </si>
  <si>
    <t>Space's hard @eledece @aguilarcamin @DeniseDresserG @leozuckermann @JorgeGCastaneda @EnriqueKrauze @JACrespo1 @beltrandelrio @CiroGomezL @fmartinmoreno @RicardoAlemanMX @SergioSarmiento @rivapa @ArturoDammArnal @JEPardinas @ValeriaMoy @CarlosLoret @jorgesuarezv @pablo_majluf @qtf RT @nextspaceflight: The wind is the primary issue preventing a flight today. Starship SN9 should be in good shape for Tuesday's launch window which opens at 8 am Central.</t>
  </si>
  <si>
    <t>https://twitter.com/nextspaceflight/status/1353795848157556742
https://twitter.com/BocaChicaGal/status/1353795253178937345?s=20</t>
  </si>
  <si>
    <t>Doctora</t>
  </si>
  <si>
    <t>Quien los entiende uds abrieron microfonos al empresario veracruzano elevando casi a Heroe por que trai la vacuna rusa y ahora que la trae el gobierno se lanzan con todo @lopezdoriga @DeniseDresserG @CarlosLoret @Adela_Micha @Reforma asi las cosas expliqueles Dr @HLGatell</t>
  </si>
  <si>
    <t>mexico</t>
  </si>
  <si>
    <t>Doctora del corazon ,pues dicen que el amor entra por la barriga ...curo estomagos mal correspondidos Barriga llena ❤️</t>
  </si>
  <si>
    <t>Comunismo en Irán @eledece @aguilarcamin @DeniseDresserG @leozuckermann @JorgeGCastaneda @EnriqueKrauze @fmartinmoreno @SergioSarmiento @JEPardinas @ValeriaMoy @CarlosLoret @jorgesuarezv @pablo_majluf @hdemauleon @marcelo_rittner @Adela_Micha @Chertorivski @ENorten_TENArqs RT @inbarspace: One more - Iran's manned space capsule flight profiles - Nominal sub-orbital flight, Abort and Back-up parachute landing.</t>
  </si>
  <si>
    <t>https://twitter.com/inbarspace/status/1353700456816652290</t>
  </si>
  <si>
    <t>https://pbs.twimg.com/media/EslPYSVW4Ac0Z5T.jpg</t>
  </si>
  <si>
    <t>Hipárquia</t>
  </si>
  <si>
    <t>A @sabinaberman se le perdió la brújula. A @DeniseDresserG la abandonó la CIA. A @AristeguiOnline se la comieron los zopilotes. A @LillyTellez le ganó el ansia. A @kenialopezr le dan línea. Todas ellas, junto con las rémoras, se extinguen en su mezquino infierno.</t>
  </si>
  <si>
    <t>...voy descalza con un bastón, un vestido me cubre los miembros y tengo la dura tierra en vez de un lecho....</t>
  </si>
  <si>
    <t>Alejo Mtz Vendrell</t>
  </si>
  <si>
    <t>Ojalá se animen a ver esta contundente y fundamentada evaluación del desempeño de @LopezObrador_ en lo q concierne al combate contra #Covid_19. Compartía mucho en estrategias con #Trump y ahora difiere diametralmente con las de @JoeBiden: @DeniseDresserG. .</t>
  </si>
  <si>
    <t>Álvaro Obregón, Cd. de México</t>
  </si>
  <si>
    <t>Liberarse de las cadenas del subdesarrollo es posible, pero sólo se logrará con esfuerzo y sacrificios, con apoyos condicionados a la autosuperac. Profesor UNAM</t>
  </si>
  <si>
    <t>http://enlacejuridicoacademico.com.mx/materiales.php</t>
  </si>
  <si>
    <t>Manuel QV</t>
  </si>
  <si>
    <t>El fracaso de #Chihuahua en una foto y tienen la desvergüenza de dar consejos. @Javier_Corral @AlfredoLecona @denisedresserg @MarthaTagle @ferbelaunzaran @EmilioAlvarezI @acostanaranjo @ceciliasotog @CORCUERAS</t>
  </si>
  <si>
    <t>https://pbs.twimg.com/media/EsmVn5zXAAAiCmL.jpg</t>
  </si>
  <si>
    <t>coworker journalist glocal tech #RedEnDefensaDeAMLO</t>
  </si>
  <si>
    <t>http://ipn.mx</t>
  </si>
  <si>
    <t>Es conmovedora la empatía de @DeniseDresserG, hasta Loret le deseo recuperación a AMLO (quizá hipócritamente, pero lo hizo). pero Denise mejor hace memes tontos.</t>
  </si>
  <si>
    <t>https://pbs.twimg.com/media/EsmT0fkXUAIHIHm.png</t>
  </si>
  <si>
    <t>"La vacunación NO es una prioridad para el @GobMx. En lugar d centrar toda su atención en ello, @LopezObrador_ pasa la #mañanera criticando a la @DEAHQ y desacreditando al @INAIMexico. He ahí a #AMLO DISTRAYENDO, rechazando el cubrebocas": @DeniseDresserG .</t>
  </si>
  <si>
    <t>Capitalismo URSS @eledece @aguilarcamin @DeniseDresserG @leozuckermann @JorgeGCastaneda @EnriqueKrauze @JACrespo1 @beltrandelrio @CiroGomezL @fmartinmoreno @RicardoAlemanMX @SergioSarmiento @rivapa @ArturoDammArnal @JEPardinas @ValeriaMoy @CarlosLoret @jorgesuarezv @pablo_majluf RT @ClosertoSpace: Les panneaux solaires de Mir sont vraiment sublimes. Dans un très léger bazar, mais sublimes. 📸 - NASA</t>
  </si>
  <si>
    <t>https://twitter.com/ClosertoSpace/status/1353664548520271875</t>
  </si>
  <si>
    <t>https://pbs.twimg.com/media/EskucvOXIAE9uru.jpg</t>
  </si>
  <si>
    <t>YIB</t>
  </si>
  <si>
    <t>Una dentista y @DeniseDresserG RT @taller2006: ¿En qué Universidad le habrán dado clase a esta ginecóloga @drafernanda_pg ? Me niego a creer que alguien que ayuda a una madre a traer hijos al mundo, pueda tener este lenguaje y esta mezquindad.</t>
  </si>
  <si>
    <t>Todo pasa</t>
  </si>
  <si>
    <t>Neoliberali China @eledece @aguilarcamin @DeniseDresserG @leozuckermann @JorgeGCastaneda @EnriqueKrauze @JACrespo1 @beltrandelrio @CiroGomezL @fmartinmoreno @RicardoAlemanMX @SergioSarmiento @rivapa @ArturoDammArnal @JEPardinas @ValeriaMoy @CarlosLoret @jorgesuarezv @pablo_majluf RT @conexionspacial: El próxima Long March 3B ya está siendo ensamblado para su siguiente misión la cual está prevista para el 5 de febrero.</t>
  </si>
  <si>
    <t>https://twitter.com/conexionspacial/status/1352965783475920897</t>
  </si>
  <si>
    <t>https://pbs.twimg.com/media/Esay5wIXIAElKXB.jpg</t>
  </si>
  <si>
    <t>Comunismo Europa @eledece @aguilarcamin @DeniseDresserG @leozuckermann @JorgeGCastaneda @EnriqueKrauze @JACrespo1 @beltrandelrio @CiroGomezL @fmartinmoreno @RicardoAlemanMX @SergioSarmiento @rivapa @ArturoDammArnal @JEPardinas @ValeriaMoy @CarlosLoret @jorgesuarezv @pablo_majluf RT @ECMWF: Just one day until @FlorenceRabier hosts a seminar to mark the launch of ECMWF’s Strategy. The seminar is given by @PDueben, who will introduce the next 10 years of #MachineLearning at ECMWF. 26 January at 10:00 GMT.  #SciTechSeminars2021 #DeepLearning</t>
  </si>
  <si>
    <t>https://twitter.com/ECMWF/status/1353629625247797248
https://events.ecmwf.int/e/MLRoadmap</t>
  </si>
  <si>
    <t>https://pbs.twimg.com/media/EskO5JvXMAEQ5lL.jpg</t>
  </si>
  <si>
    <t>maro</t>
  </si>
  <si>
    <t>Señala CNN que News York se quedó sin vacunas, por qué no informan que fracasó el plan de vacunación? A ver @LillyTellez @EmilioAlvarezI @DeniseDresserG @JoseCardenas1 @lopezdoriga</t>
  </si>
  <si>
    <t>👤</t>
  </si>
  <si>
    <t>#EnPortada | ¡OFENSIVOS GASTOS DE VILA! @PedroFerriz @PaolaRojas @Denise_Maerker @JavierSolorzano @DeniseDresserG @qtf @lydiacachosi @JoseCardenas1 @AlvaroCueva @carolina_rocha_ @YuririaSierra @karlaiberia @AnaPOrdorica @VILLALVAZO13 @FedericoArreola</t>
  </si>
  <si>
    <t>https://solyucatan.com/ofensivos-gastos-de-vila/</t>
  </si>
  <si>
    <t>Comunismo en Europa @eledece @aguilarcamin @DeniseDresserG @leozuckermann @JorgeGCastaneda @EnriqueKrauze @JACrespo1 @beltrandelrio @CiroGomezL @fmartinmoreno @RicardoAlemanMX @SergioSarmiento @rivapa @JEPardinas @ValeriaMoy @CarlosLoret @jorgesuarezv @pablo_majluf @g_quadri @qtf RT @AirbusSpace: 1/3 Last December, Orion ESM-1, built by Airbus, became @NASA’s property having passed its Acceptance Review. The ESM-1 is now in final preparations for its launch on #Artemis I mission end 2021 serving as the next-gen powerhouse that will propel Orion to the Moon. 🌙</t>
  </si>
  <si>
    <t>https://twitter.com/AirbusSpace/status/1353728083648540674</t>
  </si>
  <si>
    <t>https://pbs.twimg.com/media/EsloM-QWMAAEmO4.jpg</t>
  </si>
  <si>
    <t>#EnPortada | EXPROPIA ANDORRA CUENTAS A BORGE @EIJefeDiego @RloretdeM1 @SalCamarena @dmorenochavez @lopezdoriga @aristeguicnn @Adela_Micha @Javier_Alatorre @brozoxmiswebs @PedroFerriz @PaolaRojas @Denise_Maerker @JavierSolorzano @DeniseDresserG @qtf</t>
  </si>
  <si>
    <t>https://solquintanaroo.com/expropia-andorra-cuentas-a-borge/</t>
  </si>
  <si>
    <t>Comunismo en Europa @eledece @aguilarcamin @DeniseDresserG @leozuckermann @JorgeGCastaneda @EnriqueKrauze @JACrespo1 @beltrandelrio @CiroGomezL @fmartinmoreno @RicardoAlemanMX @SergioSarmiento @rivapa @JEPardinas @ValeriaMoy @CarlosLoret @jorgesuarezv @pablo_majluf @g_quadri @qtf RT @ESA_EO: . @riccardo_fra, Undersecretary of the Italian Prime Minister’s Office, visited @esa ESRIN today - he talked with @AschbacherJosef about the evolution of #ESRIN, #EarthObservation, launchers and the plans for the next Ministerial meeting. They also visited ESRIN's #PhiExperience</t>
  </si>
  <si>
    <t>https://twitter.com/ESA_EO/status/1353718988052848646</t>
  </si>
  <si>
    <t>https://pbs.twimg.com/media/EslgIFuWMAIDV8f.jpg</t>
  </si>
  <si>
    <t>Comunismo en Europa @eledece @aguilarcamin @DeniseDresserG @leozuckermann @JorgeGCastaneda @EnriqueKrauze @JACrespo1 @beltrandelrio @CiroGomezL @fmartinmoreno @RicardoAlemanMX @SergioSarmiento @rivapa @JEPardinas @ValeriaMoy @CarlosLoret @jorgesuarezv @pablo_majluf @g_quadri @qtf RT @esa: Researchers carrying out the first survey of its kind of global ice loss using satellite data have discovered that the rate at which ice is disappearing across the planet is speeding up 👉 #SpaceCare #ClimateChange</t>
  </si>
  <si>
    <t>https://twitter.com/esa/status/1353668257442574336
https://www.esa.int/Applications/Observing_the_Earth/CryoSat/Our_world_is_losing_ice_at_record_rate</t>
  </si>
  <si>
    <t>https://pbs.twimg.com/media/Eskxt7-XYAES_5M.jpg</t>
  </si>
  <si>
    <t>Comunismo en EEUU @eledece @aguilarcamin @DeniseDresserG @leozuckermann @JorgeGCastaneda @EnriqueKrauze @JACrespo1 @beltrandelrio @CiroGomezL @fmartinmoreno @RicardoAlemanMX @SergioSarmiento @rivapa @ArturoDammArnal @JEPardinas @ValeriaMoy @CarlosLoret @jorgesuarezv @pablo_majluf RT @BoeingSpace: Launch update: @NASA and Boeing are now targeting March 25 for the launch of Starliner’s uncrewed Orbital Flight Test-2 to the @Space_Station. Read more:</t>
  </si>
  <si>
    <t>https://twitter.com/BoeingSpace/status/1353720784548720670
https://starlinerupdates.com/nasa-and-boeing-target-new-launch-date-for-next-starliner-flight-test-2/</t>
  </si>
  <si>
    <t>https://pbs.twimg.com/media/Eslh4RDXIAAdTR6.jpg</t>
  </si>
  <si>
    <t>Comunismo en Europa @eledece @aguilarcamin @DeniseDresserG @leozuckermann @JorgeGCastaneda @EnriqueKrauze @JACrespo1 @beltrandelrio @CiroGomezL @fmartinmoreno @RicardoAlemanMX @SergioSarmiento @rivapa @JEPardinas @ValeriaMoy @CarlosLoret @jorgesuarezv @pablo_majluf @hdemauleon RT @ESA_CHEOPS: We are excited to reveal a unique planetary system containing 6 #exoplanets! The TOI-178 system looks very different to our own Solar System and challenges current theories of planet formation. Let us tell you all about it in the thread below 👇</t>
  </si>
  <si>
    <t>https://twitter.com/ESA_CHEOPS/status/1353720479492800514
https://www.esa.int/Science_Exploration/Space_Science/Cheops/ESA_s_exoplanet_watcher_Cheops_reveals_unique_planetary_system</t>
  </si>
  <si>
    <t>https://pbs.twimg.com/media/Eslg7CTXcAA6qew.jpg</t>
  </si>
  <si>
    <t>Mario D. Lázaro</t>
  </si>
  <si>
    <t>Con razón anda de mezquino a niveles @LAURAZAPATA @DeniseDresserG o @sabinaberman RT @luisghernan: ¿Saben cuánto le pagaron en el gobierno de Peña a @Garcimonero por una Chayo-campaña de trípticos ilustrados sobre Salud? Pronto... la información completa 😏</t>
  </si>
  <si>
    <t>https://twitter.com/luisghernan/status/1353748457652064262</t>
  </si>
  <si>
    <t>Relaciones Internacionales, Economía y Finanzas. ITAM.</t>
  </si>
  <si>
    <t>Comunismo en Europa @eledece @aguilarcamin @DeniseDresserG @leozuckermann @JorgeGCastaneda @EnriqueKrauze @JACrespo1 @beltrandelrio @CiroGomezL @fmartinmoreno @RicardoAlemanMX @SergioSarmiento @rivapa @JEPardinas @ValeriaMoy @CarlosLoret @jorgesuarezv @pablo_majluf @g_quadri @qtf RT @esa_aeolus: In December 2020, @metoffice began assimilating #Aeolus wind data into their global operational forecast model where it's expected to provide improvements to a broad range of forecast variables🛰️ Which service will be next?🧐</t>
  </si>
  <si>
    <t>https://twitter.com/esa_aeolus/status/1353728352000090113</t>
  </si>
  <si>
    <t>pic.twitter.com/m7zHDd5EbW</t>
  </si>
  <si>
    <t>J A San Rome</t>
  </si>
  <si>
    <t>La diferencia entre ser responsable y un irresponsable pese a q sufres las consecuencias de tus malas decisiones... EL ENFERMO NO USAR CUBREBOCAS ¿Q TRATA DE DEMOSTRAR , Q MENSAJE QUIERE MANDA, EN VERDAD ESTÁ ENFERMO?@DeniseDresserG @olabuenaga @proceso @fernandeznorona</t>
  </si>
  <si>
    <t>https://pbs.twimg.com/media/EsmEDCOXUAAb-iw.jpg</t>
  </si>
  <si>
    <t>Biólogo por necedad. Publicista por causalidad. Periodista por amor a la verdad. Fotógrafo porque tengo cámara...</t>
  </si>
  <si>
    <t>http://sanrome.com</t>
  </si>
  <si>
    <t>Comunismo n India @eledece @aguilarcamin @DeniseDresserG @leozuckermann @JorgeGCastaneda @EnriqueKrauze @JACrespo1 @beltrandelrio @fmartinmoreno @RicardoAlemanMX @SergioSarmiento @rivapa @JEPardinas @ValeriaMoy @CarlosLoret @jorgesuarezv @pablo_majluf @gdehoyoswalther @claudioxgg RT @nkknspace: Brazil's Earth Observation Satellite "Amazonia-1" is unpacked from the MMP module at Satellite integration Facility, SHAR. The Launch is Planned for Feb 22, 2020 aboard ISRO's PSLV C51🚀 DL configuration, along with a Rideshare payload from Pixxel Credit: Brazil Amazonia 1 PR</t>
  </si>
  <si>
    <t>https://twitter.com/nkknspace/status/1346097937542074370</t>
  </si>
  <si>
    <t>https://pbs.twimg.com/media/Eq5M31DVgAInEyT.jpg</t>
  </si>
  <si>
    <t>Miguel Ángel</t>
  </si>
  <si>
    <t>Todo el G7 con contratación de deuda de manera exorbitante y solo Japón con buenos resultados contra el Covid, los demás son un verdadero fracaso, se entiende...@PTelloVillagran @LuisCardenasMx @DeniseMaerker @DeniseDresserG @ValeriaMoy RT @SimonLevyMx: El 🌎 perdió la ruta de la productividad y del crecimiento económico, apostando al endeudamiento crónico por el #Covid_19 . ¿Por qué construir una sociedad del conocimiento para las mayorías? En este análisis que aportamos al @IBDSenado comparto cómo.</t>
  </si>
  <si>
    <t>https://twitter.com/SimonLevyMx/status/1353755073504043010
http://bibliodigitalibd.senado.gob.mx/bitstream/handle/123456789/5066/LibroCovid_VF_.pdf?sequence=1&amp;isAllowed=y</t>
  </si>
  <si>
    <t>https://pbs.twimg.com/media/EsmBD85XMAIyeVh.jpg</t>
  </si>
  <si>
    <t>QFB_UNAM, con el corazón en la Izquierda.</t>
  </si>
  <si>
    <t>Saav70</t>
  </si>
  <si>
    <t>Aplica perfectamente a México @lopezobrador_ @PartidoMorenaMx @SSalud_mx @HLGatell @DeniseDresserG RT @JuanAGAmado: Estamos cerca de comprobar que es más difícil para los políticos organizar la vacunación que para los científicos crear la vacuna. Eso da idea de cómo está fallando la selección de los gobernantes. O empezamos a votar con seso o se nos van estos países nuestros a la m......</t>
  </si>
  <si>
    <t>https://twitter.com/JuanAGAmado/status/1353752035317977093</t>
  </si>
  <si>
    <t>Abogado Postulante, Socio Director de Biesa Abogados. con Especialidades en Mercantil, Civil, Familiar, Laboral, Penal y Amparo</t>
  </si>
  <si>
    <t>Charlie</t>
  </si>
  <si>
    <t>Pongamos a prueba la doble moral de la "oposición" y de los opinólogos. Espero que @DeniseDresserG salga a condenar la violencia de género en contra de @BeatrizGMuller y @GeraldinePonceM a la que constantemente son sometidas por parte de bots pagados por quien sabe quien.</t>
  </si>
  <si>
    <t>No me prediques con palabras, hablame con tu actitud. #Chiva #LibrePensador</t>
  </si>
  <si>
    <t>constanza lameiras</t>
  </si>
  <si>
    <t>“Emanan directamente de la cabeza de AMLO, sin ton ni son, sin rigor científico, sin lineamientos técnicos. Por eso se vacuna a los maestros en Campeche antes que a los trabajadores de salud en la primera línea de batalla.” Escribe @DeniseDresserG en @reformaopinion</t>
  </si>
  <si>
    <t>https://pbs.twimg.com/media/Esl8jiKXIAATTjK.jpg</t>
  </si>
  <si>
    <t>México D.F.</t>
  </si>
  <si>
    <t>Adoradora de las flores, la tinta y el tinto. Soy coyoacanense pro parquímetros y me gustan los lunes. 🇲🇽 Ig. conslameiras</t>
  </si>
  <si>
    <t>Mauricio SánchezMeza</t>
  </si>
  <si>
    <t>"No queda claro que México haya adquirido las dosis prometidas, ni negociado los acuerdos anunciados, ni pensado cómo promover la colaboración público-privada para enfrentar uno de los retos más importantes del país" @DeniseDresserG No dejen de leerla...</t>
  </si>
  <si>
    <t>https://pbs.twimg.com/media/Esl5OzPXcAARl7d.jpg</t>
  </si>
  <si>
    <t>Un tipo comprometido con la vida. Mis hijos son lo mas importante. Amo mi trabajo,es una parte fundamental de mi estabilidad. Leer, una pasion!</t>
  </si>
  <si>
    <t>Se olvidan hipócritas cómo se burla ése hijo de toda su reput.isima maldito genocida @yuguz @Crapulina_ @jppgdl @panteradosmil @bravanicus09bis @kalinking @ChumelTorres @riaton_don @brozoxmiswebs @CarlosLoret @deniseramosm @DeniseDresserG @DeniseMaerker @AgaveLoco @V_TrujilloM RT @AngeI_Queen_: Bienvenidos a este Mundo IRREAL donde , el Pueblo le dijo, pidió, insistió, y juzgó "PONTE CUBREBOCAS" y el mandatario siempre sonrió con ironía ¡¡Así que pase lo que pase, cada quien tiene lo que se merece!!</t>
  </si>
  <si>
    <t>https://twitter.com/AngeI_Queen_/status/1353712754725539846</t>
  </si>
  <si>
    <t>LUIS ROCHA / Política y Estilo</t>
  </si>
  <si>
    <t>¿Desde cuándo no está @BeatrizGMuller con @lopezobrador_, como para que la esposa del presidente haya dado negativo a #Covid_19? / #amlocovid @julioastillero @SGarciaSoto @lopezdoriga @lumendoz @qtf @DeniseDresserG @gloaeza</t>
  </si>
  <si>
    <t>Edomex</t>
  </si>
  <si>
    <t>#Edomex Periodista, crítico, ácido, tengo hasta la madre a los corruptos. ¿Por qué soy rebelde? Porque de la rebeldía, nació un Príncipe.</t>
  </si>
  <si>
    <t>http://www.luisrochanoticias.com</t>
  </si>
  <si>
    <t>Via Getty</t>
  </si>
  <si>
    <t>“Vacunas a voluntad”, la columna de hoy de ⁦@DeniseDresserG⁩. Indignante estrategia del gobierno.</t>
  </si>
  <si>
    <t>https://pbs.twimg.com/media/EsloRerXYAATzuJ.jpg</t>
  </si>
  <si>
    <t>New York, NY</t>
  </si>
  <si>
    <t>Me gusta tomar cerveza en el metro de Berlín</t>
  </si>
  <si>
    <t>https://ernestoaraiza.com</t>
  </si>
  <si>
    <t>Gonzy</t>
  </si>
  <si>
    <t>Gran texto de @DeniseDresserG Denise Dresser - 25 de Ene - Vía @reforma</t>
  </si>
  <si>
    <t>Todas mis opiniones son de carácter personal. #Mirmidones #Valquirias</t>
  </si>
  <si>
    <t>La IRRESPONSABILIDAD DE @lopezobrador_ pone en riesgo a toda esta gente y sus familias.... Y a México con su gobierno corrupto!!! Y qué hace Olga Sánchez afuera sin prueba #COVID19 ?? @Reforma @WSJ @nytimeses @CarlosLoret @beltrandelrio @DeniseDresserG @mbachelet @opsoms RT @bereaguilarv: La cadena de contactos de AMLO</t>
  </si>
  <si>
    <t>https://twitter.com/bereaguilarv/status/1353716014140289026</t>
  </si>
  <si>
    <t>https://pbs.twimg.com/media/EsldiaZVcAEe89V.jpg</t>
  </si>
  <si>
    <t>MIGUEL PARRAS</t>
  </si>
  <si>
    <t>150,000 muertos. La #pandemia nunca ha sido "domada", la luz al final del túnel, nunca se vio. La "estrategia" nunca cambió. Y así, las cifras van en aumento. @LibreriaRius @Diario_Victoria @El_Universal_Mx @CarlosLoret @V_TrujilloM @Reforma @deniseramosm @DeniseDresserG</t>
  </si>
  <si>
    <t>https://pbs.twimg.com/media/EsldgI-UcAAn_n-.jpg</t>
  </si>
  <si>
    <t>En un rincon del Mundo</t>
  </si>
  <si>
    <t>Caricaturista Editorial</t>
  </si>
  <si>
    <t>http://miguelparras.blogspot.com</t>
  </si>
  <si>
    <t>Samuel betancourt Avila</t>
  </si>
  <si>
    <t>Ven cómo todo es pan y circo @ChumelTorres @CarlosLoret @lopezdoriga @jorgeberry @DeniseDresserG #NoLeCreo</t>
  </si>
  <si>
    <t>https://pbs.twimg.com/media/Eslce0PXIAANSXs.jpg</t>
  </si>
  <si>
    <t>Analista de la política de mi país. Opiniones y retweets con la finalidad de informar y fomentar el diálogo.</t>
  </si>
  <si>
    <t>Fernando Belaunzarán</t>
  </si>
  <si>
    <t>Muy buena columna de @DeniseDresserG👇 Vacunas a voluntad “No hay una clara urgencia de vacunar a la mayoría de la población en el menor tiempo posible, sino un sinnúmero de trabas, decisiones tardías, obstáculos y pretextos” vía @reformaopinion</t>
  </si>
  <si>
    <t>https://pbs.twimg.com/media/EslbTkGVEAA3kgR.jpg</t>
  </si>
  <si>
    <t>ÜT: 19.30017,-99.185582</t>
  </si>
  <si>
    <t>Filósofo de formación, político de profesión, de izquierda por convicción, irreverente de tradición, hereje por vocación.. y columnista de Excelsior y Gluc</t>
  </si>
  <si>
    <t>https://mx.linkedin.com/in/fernandobelaunzaran</t>
  </si>
  <si>
    <t>DenunciaenTabasco</t>
  </si>
  <si>
    <t>Denuncian relleno en el Río Samaria a la altura del ejido 16 de Septiembre, Centro  @lopezobrador_ @olgascordero @conagua_mx @ConaguaTabasco @MedioAmbienteDi @PAgraria @PROFEPA_Mx @GobTab @inecc_gob_mx @ambiente @CongresoTab @NTelevisa_com @DeniseDresserG</t>
  </si>
  <si>
    <t>https://www.xevt.com/tabasco/denuncian-relleno-en-el-rio-samaria-a-la-altura-del-ejido-16-de-septiembre-centro/133098</t>
  </si>
  <si>
    <t>Tabasco</t>
  </si>
  <si>
    <t>Espacio de denuncia contra los Villanos, Abusivos, Corruptos y quienes violan la ley de México.</t>
  </si>
  <si>
    <t>jimmyfaro</t>
  </si>
  <si>
    <t>@julioastillero @AristeguiOnline @epigmenioibarra @SanjuanaNotimex @DrLorenzoMeyer @sergioaguayo @jenarovillamil @DeniseDresserG @lydiacachosi @tatclouthier @elisaalanis @nomus77 @pedrokanche @YoSoy132Media @ncv_Violeta @AlbaniaOC @brozoxmiswebs</t>
  </si>
  <si>
    <t>http://ow.ly/UOdZ30ru5ep</t>
  </si>
  <si>
    <t>México, D.F</t>
  </si>
  <si>
    <t>UNAM-Puma</t>
  </si>
  <si>
    <t>J. Jesus Esquivel</t>
  </si>
  <si>
    <t>Vacunas a voluntad, artículo de @DeniseDresserG Read:</t>
  </si>
  <si>
    <t>http://tl.gd/n_1srihe5</t>
  </si>
  <si>
    <t>Corresponsal en Washington de Proceso. Autor de 5 libros, el último; mi primera novela: Tu cabello es la frontera. Gracias por leer.</t>
  </si>
  <si>
    <t>https://www.instagram.com/j.jesusesquivel/</t>
  </si>
  <si>
    <t>#EnPortada | DEA: LAS POLÉMICAS OPERACIONES ENCUBIERTAS  @SalCamarena @dmorenochavez @lopezdoriga @aristeguicnn @Adela_Micha @Javier_Alatorre @brozoxmiswebs @PedroFerriz @PaolaRojas @Denise_Maerker @JavierSolorzano @DeniseDresserG @qtf #GrupoSol #DEA</t>
  </si>
  <si>
    <t>https://laopiniondemexico.com/dea-las-polemicas-operaciones-encubiertas/</t>
  </si>
  <si>
    <t>LA CULPA LA TIENE ⁦@HLGateIl⁩ VERDAD SEMBRADORE, INQUINIA Y VENGANZA. DE ODIO ⁦@JoseCardenas1⁩ ⁦@leozuckermann⁩ ⁦@CiroGomezL⁩ ⁦@DeniseDresserG⁩ ?</t>
  </si>
  <si>
    <t>https://pbs.twimg.com/media/Eskh9PJXYAIvgsr.jpg</t>
  </si>
  <si>
    <t>Twitter Query: -filter:retweets -filter:replies from:EstefaniaVeloz</t>
  </si>
  <si>
    <t>Estefanía Veloz</t>
  </si>
  <si>
    <t>No nos detengamos en los tuits de personajes que claramente no tienen empatía. Mejor difundamos los mensajes de amor y de mejora para el presiente. No olvidemos que amor con amor se paga. 🙏 #FuerzaPresidente</t>
  </si>
  <si>
    <t>Feminista| Abortista| Socialista| Abogada|Chicana 1st gen. Panelista en #PuntoyContrapunto de Foro TV. Colaboradora en @DeBuenaFe11 por @CanalOnceTV.</t>
  </si>
  <si>
    <t>https://www.instagram.com/estefaniavloz/?hl=es-la</t>
  </si>
  <si>
    <t>¿Ustedes de qué hablan con los gatos?</t>
  </si>
  <si>
    <t>https://pbs.twimg.com/media/EshNjlNXEAUk7SR.jpg</t>
  </si>
  <si>
    <t>La cantidad de seguidores no otorga impunidad. Violar te hace criminal aunque seas influencer, político o youtuber.</t>
  </si>
  <si>
    <t>Si logramos ponerle etiquetas a la comida chatarra de empresas multimillonarias a esta red chatarra también se las pondremos. 💪</t>
  </si>
  <si>
    <t>🔥 😂 RT @elDaVIDAguilar: Eso les pasa por no leer bien los Términos y Calderones de Twitter.</t>
  </si>
  <si>
    <t>https://twitter.com/eldavidaguilar/status/1352392467514060807</t>
  </si>
  <si>
    <t>👇👇👇 Hay muchas morras detrás de estas denuncias. RT @brujasdelmar: Felix Salgado Macedonio, va por la gobernatura de Guerrero por Morena, denunciado por violación. Alfonso Vázquez, va por diputación en la CDMX del. Hidalgo por Morena, denunciado por violación. Guillermo Villaseñor, va por diputación en Guanajuato, denunciado por acoso sexual.</t>
  </si>
  <si>
    <t>https://twitter.com/brujasdelmar/status/1352296113378910210</t>
  </si>
  <si>
    <t>https://pbs.twimg.com/media/EsRSJZvXUAA4jKT.jpg</t>
  </si>
  <si>
    <t>Yo creo que me podrían suspender mi cuenta por estar cuestionando los intereses de quienes manejan redes sociales. De ser así nos vemos en Club Penguin.</t>
  </si>
  <si>
    <t>👇👇👇👇 RT @fisgonmonero: El director de Twitter México es el panista Hugo Rodríguez Nicolat. Dice la empresa que "Ninguna persona es responsable, por sí sola, de sus políticas". Pero es un hecho que nunca castigan a las cuentas violentas de la derecha y que proliferan las granjas de bots filopanistas.</t>
  </si>
  <si>
    <t>https://twitter.com/fisgonmonero/status/1352253820252917760</t>
  </si>
  <si>
    <t>https://pbs.twimg.com/media/EsQpzfRXIAEVHVD.jpg</t>
  </si>
  <si>
    <t>La revolución de nuestra generación es contra la manipulación tecnológica. Ya no acepamos los términos y condiciones que a otras generaciones les impusieron sin que cuestionaran nada.</t>
  </si>
  <si>
    <t>👇 RT @Luentes: @EstefaniaVeloz Deberíamos de meterles una buena demanda por violentar, con su “orientación”, la pluralidad democrática e intervenir ilegalmente en el proceso electoral.</t>
  </si>
  <si>
    <t>https://twitter.com/luentes/status/1352346577919209474</t>
  </si>
  <si>
    <t>Casualmente cuando alguien recién se registra en Twitter lo primero que te sugiere seguir son cuentas de personajes de derecha. Sin seguir a nadie te imponen tuits de Chumel en la página de inicio. Evidente el algoritmo lo manipulan, es hora de tener esta conversación.</t>
  </si>
  <si>
    <t>Fotos falsas, desinformación, insultos y amenazas, son algunas cosas que se le permiten a las cuentas falsas en esta red social. Aquí es donde se da una gran parte de la conversación política. Es muy peligroso que aún no se generen mecanismo de protección para usuarios.</t>
  </si>
  <si>
    <t>Me sorprende el dinero que invierten en bots para crear tendencias en esta red social. Ojalá lo invirtieran en territorio así no seguirían perdiendo elecciones, porque aquí no se ganan.</t>
  </si>
  <si>
    <t>Nunca me deja de sorprender lo increíblemente talentosa que es Sabina. Tantos años escribiendo y se sigue sosteniendo como las mejores. 💜 RT @sabinaberman: Fuga a Marte  a través de @El_Universal_Mx</t>
  </si>
  <si>
    <t>https://twitter.com/sabinaberman/status/1350860076626530308
https://www.eluniversal.com.mx/opinion/sabina-berman/fuga-marte</t>
  </si>
  <si>
    <t>👇👇👇 RT @_IKIKUNARI:  Anular la candidatura de profesor de filosofía UNAM denunciado por violación. Alfonso Vázquez Salazar</t>
  </si>
  <si>
    <t>https://twitter.com/_ikikunari/status/1351890332296818688
https://www.semmexico.mx/?p=30864
https://twitter.com/feministas_ffyl/status/1115115525812686853?s=20</t>
  </si>
  <si>
    <t>https://pbs.twimg.com/media/EsLhFZCXcAIfJd-.jpg</t>
  </si>
  <si>
    <t>Un reportero de Fox News le dijo a la vocera del presidente Biden que la nueva administración debería dejar de lado las acusaciones al gobierno pasado porque solo logrará DIVIDIR al país. Sugirió qué hay cosas más importantes. ¿Les suena? Se fue Trump pero sus medios no.</t>
  </si>
  <si>
    <t>Aférrense a su cubrebocas como la derecha a Brozo.</t>
  </si>
  <si>
    <t>Joe Biden dijo que quienes no lo apoyaron deben aceptar que así es la democracia y respetar. A él le llaman demócrata. El presiente AMLO lo ha dicho muchas veces y a él le dicen dictador.</t>
  </si>
  <si>
    <t>El movimiento feminista no tiene los recursos para competir con los creadores del espantapájaros de la ideología de género. Y ahí, dónde la competencia es injusta, es el espacio natural del presidente para defender a quienes menos tienen, que en este caso son las mujeres pobres. RT @Milenio: @EstefaniaVeloz 🎙️ "Estar a favor de la consulta es una postura que no hace menos feministas a quienes la comparten. En México, sin embargo, la opción más humanitaria en un tema tan urgente sería el ejercicio de la mayoría y la reivindicación pobrista": @EstefaniaVeloz</t>
  </si>
  <si>
    <t>https://twitter.com/milenio/status/1351892775516553223
http://mile.io/35ZIgO5</t>
  </si>
  <si>
    <t>https://pbs.twimg.com/media/EsLjTH2VEAIIp0W.jpg</t>
  </si>
  <si>
    <t>Mi artículo de hoy 👇 Por el bien de todas, primero el aborto. Nadie puede negar el interés genuino del presidente en combatir la pobreza. Sin embargo, éste parece haber dejado de lado a las mujeres pobres a juzgar por su posición respecto al aborto. Si bien los programas.... RT @Milenio: #AlFrente | En México, las mujeres que más mueren en abortos clandestinos son las pobres, indígenas y residentes rurales que no tienen acceso a un aborto clandestino medianamente seguro 🎙️ Lee y escucha la columna de @EstefaniaVeloz</t>
  </si>
  <si>
    <t>https://twitter.com/Milenio/status/1351892346628018176
http://mile.io/35ZIgO5</t>
  </si>
  <si>
    <t>https://pbs.twimg.com/media/EsLi6e_VoC8Btos.jpg</t>
  </si>
  <si>
    <t>Twitter Query: -filter:retweets -filter:replies @EstefaniaVeloz</t>
  </si>
  <si>
    <t>LM</t>
  </si>
  <si>
    <t>Que opinan nuestros finos intelectuales y politólogos de la 4T ?? @gibranrr @genarolozano @julioastillero @aristeguicnn @Eponiatowska @jenarovillamil @_VicenteSerrano @Viri_Rios @EstefaniaVeloz @fernandeznorona @GeraldinePonceM @LillyTellez @AntonioAttolini @NachoRgz RT @lpazosp: México es el peor lugar del mundo para vivir en la Pandemia. Lo que implica que nuestro Gobierno ha sido el peor del mundo para enfrentarla. Estos son datos duros internacionales, irrefutables.</t>
  </si>
  <si>
    <t>https://twitter.com/lpazosp/status/1354121971055931396</t>
  </si>
  <si>
    <t>Juan Carlos MCM</t>
  </si>
  <si>
    <t>Esto es dignidad. A diferencia de estúpidas como @EstefaniaVeloz, @rturrent , @AndreaChavezTre o @sofianosabia, María tiene como prioridad la agenda de género, y no un pinche hueso. Aprendan, hipócritas. RT @MariaGomezRue: Hoy presento la cancelación de mi registro a la precandidatura. No puedo participar en ningún instituto político en donde la agenda de género sea una simple simulación.</t>
  </si>
  <si>
    <t>https://twitter.com/mariagomezrue/status/1353872768912269318</t>
  </si>
  <si>
    <t>https://pbs.twimg.com/media/EsnsG8xXcAA_eqk.jpg</t>
  </si>
  <si>
    <t>La partidocracia toda, corrompida... la única salida: liderazgo ciudadano y respeto absoluto a la ley.</t>
  </si>
  <si>
    <t>Zoom a la noticia</t>
  </si>
  <si>
    <t>#ZoomAMLOBIDEN | @EstefaniaVeloz, analista política: “Será una buena relación de respeto, cooperación y sobre todo una nueva etapa de relación bilateral con Estados Unidos, que entra en una visión nueva de lo que es la migración.” | #AlAire</t>
  </si>
  <si>
    <t>https://www.ntn24.com/en-vivo/</t>
  </si>
  <si>
    <t>Continente Americano</t>
  </si>
  <si>
    <t>Debatimos temas polémicos de América Latina y el mundo • Dirige @andrebernal26 | Nuestras emisiones de lunes a viernes a las 3pm COL-PER-ECU | 4pm VEN-EE.UU.</t>
  </si>
  <si>
    <t>http://www.ntn24.com</t>
  </si>
  <si>
    <t>#AlAire | ¿Cómo cree usted que será la relación entre @lopezobrador_ y @JoeBiden? | Lo debatimos con: @BeataWojna, exembajadora de Polonia en México, @EstefaniaVeloz, analista política y @HenaroStephanie, profesora de la Universidad Iberoamericana | Dirige @andrebernal26</t>
  </si>
  <si>
    <t>https://pbs.twimg.com/media/Esrx92dXcAMRq-9.jpg</t>
  </si>
  <si>
    <t>Cházaro "El Des4Tizador" #NoSoyBot</t>
  </si>
  <si>
    <t>¡ZAS! 🔨 @EstefaniaVeloz @gibranrr @AristeguiOnline @julioastillero @mario_delgado @RicardoMonrealA @jesusardgz @LaydaSansores RT @gorez1: Lloraban y pataleaban por 43 desaparecidos..ahora callan por las 150 mil familias enlutadas... No mms</t>
  </si>
  <si>
    <t>https://twitter.com/gorez1/status/1353935606284484608</t>
  </si>
  <si>
    <t>"Desgraciados los tiempos en que los locos llevan de la mano a los ciegos" W.S.</t>
  </si>
  <si>
    <t>joako</t>
  </si>
  <si>
    <t>Gobierno rico con pueblo pobre spot de @PartidoMorenaMx HOLA @ManuelBartlett !!!! Hola @EstefaniaVeloz hola @AntonioAttolini hola @BeatrizGMuller hola hijos de @lopezobrador_ HOLA @lopezobrador_ CHES HIPÓCRITAS INCONGRUENTES!</t>
  </si>
  <si>
    <t>Empresario,fifi Majo Group founder keep walking, version del super hombre, vencerte a ti mismo, los problemas no existen todo tiene solución #TUCAM#LeonFC#ITESO</t>
  </si>
  <si>
    <t>Sandu Racotta</t>
  </si>
  <si>
    <t>Somos la pinche vergüenza mundial pero sigan lamiéndole los huevos al viejito inútil! @HLGatell @mario_delgado @M_OlgaSCordero @AntonioAttolini @JohnMAckerman @EstefaniaVeloz Idiotas! #LopezEnfermoMental #LopezOdiaMexico #LopezElPeorPresidenteDelMundo RT @EMPosts: When Bloomberg published its resilience index back in November, Mexico ranked last in the world for handling of the #COVID19 pandemic. Now, the index has been updated as vaccination begins, with nations moving up and down. Mexico remains in last place.</t>
  </si>
  <si>
    <t>https://twitter.com/emposts/status/1353749673186631680
https://www.bloomberg.com/graphics/covid-resilience-ranking/?terminal=true</t>
  </si>
  <si>
    <t>Nueva Venezuela del Norte</t>
  </si>
  <si>
    <t>Licenciado en Cualquier Cosa (LCC) Chilango - TJ y GT. Madridismo Enefelismo y Ex-Chargers fan... #FUDean</t>
  </si>
  <si>
    <t>David Cruz</t>
  </si>
  <si>
    <t>Ya tiraron otras dos cuentas chairas apestosas. Para que vayan haciendo maletas, por mitómanos @CamMttz @Gomez_Brenes @EstefaniaVeloz @ZuritaCarpio .</t>
  </si>
  <si>
    <t>https://pbs.twimg.com/media/EsrQvwqXUAI95Bp.jpg</t>
  </si>
  <si>
    <t>Coyoacán, Distrito Federal</t>
  </si>
  <si>
    <t>Atleta, economista, liberal.</t>
  </si>
  <si>
    <t>https://www.facebook.com/JourneyToUltraman/</t>
  </si>
  <si>
    <t>MaCk</t>
  </si>
  <si>
    <t>ccp @jenarovillamil @JesusRCuevas @iCrhistian @RicardoMonrealA @martibatres @RedAMLOmexico @SPRMexico @jgnaredo @AntonioAttolini @EstefaniaVeloz (Antes juárez) @monerohernandez @fisgonmonero RT @AnaFloreess: Así la mayoría de ustedes 👀</t>
  </si>
  <si>
    <t>https://twitter.com/AnaFloreess/status/1353783429549142018</t>
  </si>
  <si>
    <t>https://pbs.twimg.com/media/Esma2oHXEAAm0tH.jpg</t>
  </si>
  <si>
    <t>Cui</t>
  </si>
  <si>
    <t>Lo BoniTo dE esTo eS Lo FeO quE sE eSTá PonieNdO. PrefiEro aL Peor PAN y PRI junTos Que a La "MeJor" verSióN de MORENA.</t>
  </si>
  <si>
    <t>MediosLibres_Feministas_UNISTMEÑAS</t>
  </si>
  <si>
    <t>De esto sí hay que hablar Nath Campos rompe el silencio por todas #SomosTodas  a través de @https://twitter.com/eleconomista @luciamelp @brujasdelmar @MareaVerdeMex @femxfem1 @OlimpiaCMujer @jarquinedgar @nadgasman @saraiarriozola @EstefaniaVeloz</t>
  </si>
  <si>
    <t>https://www.eleconomista.com.mx/amp/opinion/De-esto-si-hay-que-hablar-20210125-0143.html</t>
  </si>
  <si>
    <t>Medios Libres: Red de información feminista que visibiliza denuncias de violencia institucional contra mujeres en Oaxaca, en México, en América Latina</t>
  </si>
  <si>
    <t>Don Proculo</t>
  </si>
  <si>
    <t>Nos ayudas a difundir mija @EstefaniaVeloz RT @JM8aC: @ a la twittera</t>
  </si>
  <si>
    <t>https://twitter.com/jm8ac/status/1354063617986072576</t>
  </si>
  <si>
    <t>https://pbs.twimg.com/media/EsqZr1AXMAIFuS1.jpg</t>
  </si>
  <si>
    <t>Tunalguilla NL</t>
  </si>
  <si>
    <t>Soy renegon, metiche, mal hablado, me bale que me critiquen, ábranse chairos, me encanta el chupe, amo mi rancho, soy de Tigueres 🐯</t>
  </si>
  <si>
    <t>http://www.donprocu.com</t>
  </si>
  <si>
    <t>Khalé Chriagop</t>
  </si>
  <si>
    <t>Seguro que @lopezobrador_ está siendo atendido en alguna clínica de @Tu_IMSS Seguro que sí. A poco lo dudan @AntonioAttolini @gibranrr @EstefaniaVeloz @JohnMAckerman @fernandeznorona ? RT @panaclo: Y bueno.....</t>
  </si>
  <si>
    <t>https://twitter.com/panaclo/status/1353611721110286336</t>
  </si>
  <si>
    <t>pic.twitter.com/O6zsEq1tWa</t>
  </si>
  <si>
    <t>León, Gto., México</t>
  </si>
  <si>
    <t>Khristiano, Khomunicólogo y Akhtor. A sus servicios. Akhtor desde los seis años; Khomunicólogo desde los 18, y Khristiano de por vida. La KH es por marca 😬</t>
  </si>
  <si>
    <t>http://www.facebook.com/khalepolis</t>
  </si>
  <si>
    <t>Cuervo®</t>
  </si>
  <si>
    <t>En México, cada 2 hrs y media, asesinaron a una mujer, durante 2020. Por eso nadie les cree a #fakeministas como @EstefaniaVeloz que son mas bien focas de @lopezobrador_ el presidente misógino que solo usa a las mujeres pero no ha hecho algo efectivo por garantizarles bienestar.</t>
  </si>
  <si>
    <t>SD Cal....</t>
  </si>
  <si>
    <t>Si te bloqueo, es que no encontré señal de Cerebro en ti.</t>
  </si>
  <si>
    <t>Infancia Protegida</t>
  </si>
  <si>
    <t>No le digan nada de ésto a @EstefaniaVeloz y menos a su papá. Se lo suplicamos 🙏🏼🙏🏼🙏🏼 RT @FedericoArreola: Luis Donaldo Colosio va por alcaldía de Monterrey con Movimiento Ciudadano</t>
  </si>
  <si>
    <t>https://twitter.com/FedericoArreola/status/1353863943291330560
https://www.sdpnoticias.com/local/nuevo-leon/luis-donaldo-colosio-alcaldia-monterrey-movimiento-ciudadano.html</t>
  </si>
  <si>
    <t xml:space="preserve">América </t>
  </si>
  <si>
    <t>#SiguemeYTeSigo #FollowMe #Infancia #TeamFollwBack #Shoutout Defensa de menores #Familia #Vida #Salud #Reciprocidad #NoALaTrata #NoTrata #Trata #Justicia #Ley</t>
  </si>
  <si>
    <t>http://infanciaprotegida.wordpress.com</t>
  </si>
  <si>
    <t>Che</t>
  </si>
  <si>
    <t>Hola @EstefaniaVeloz para cuándo el Onlyfans ?</t>
  </si>
  <si>
    <t>⚽Periodista 📺FoxSport 🖌️DiarioRecord</t>
  </si>
  <si>
    <t>AlexOpina</t>
  </si>
  <si>
    <t>Así suena igualito mis amigos: @NachoRgz @Edd_Campe @rochaperiodista @CamMttz @EstefaniaVeloz @JucaNoticias @juncalssolano @jantonioruizh @julioastillero @HernanGomezB y más! RT @soyalexquiroz: El Chairo está inconsolable</t>
  </si>
  <si>
    <t>https://twitter.com/soyalexquiroz/status/1353894373545619457</t>
  </si>
  <si>
    <t>pic.twitter.com/8Ho52kNXmE</t>
  </si>
  <si>
    <t>¡Ya estoy hasta la madre del Cloro!</t>
  </si>
  <si>
    <t>LaRanaAzulada</t>
  </si>
  <si>
    <t>Diosito lo cuide del papá de @EstefaniaVeloz 🙏🙏🙏🙏 RT @FedericoArreola: Luis Donaldo Colosio Riojas como candidato a presidente municipal de Monterrey por Movimiento Ciudadano cambiará por completo el escenario electoral en Nuevo León.</t>
  </si>
  <si>
    <t>https://twitter.com/FedericoArreola/status/1353905721050595333</t>
  </si>
  <si>
    <t>Guillermo Gudiño</t>
  </si>
  <si>
    <t>Vi la última parte del programa "De buena fe" de @CanalOnceTV con los innombrables @gibranrr y @EstefaniaVeloz y oh sorpresa! Quien creen que es el "Comunity Manager? Adivinaron, @KatuArkonada ¿Dónde está la legalidad en este país? Este trío de vividores deben salir del país.</t>
  </si>
  <si>
    <t>Saltillo, Coahuila de Zaragoza</t>
  </si>
  <si>
    <t>Consultor en sistemas de gestión de Calidad y Lean Manufacturing</t>
  </si>
  <si>
    <t>http://www.lean-manufacturing.com.mx</t>
  </si>
  <si>
    <t>Elianne</t>
  </si>
  <si>
    <t>Ccp @EstefaniaVeloz @gibranrr RT @la_cardiel: Ahh por cierto encontré estas fotos en mi cámara... a ver “ socialistas” que de bueno tiene cuba que piensan que nos puede convenir estar igual... ahí un hospital normal sin pandemia... y sus calles...</t>
  </si>
  <si>
    <t>https://twitter.com/la_cardiel/status/1353878764388823045</t>
  </si>
  <si>
    <t>https://pbs.twimg.com/media/Esnxjo3W8AEEj5k.jpg</t>
  </si>
  <si>
    <t>Success doesn't come from that you do occasionally it comes from what it comes from what you do consistently</t>
  </si>
  <si>
    <t>Nicoletto</t>
  </si>
  <si>
    <t>Epifania Veloz @EstefaniaVeloz</t>
  </si>
  <si>
    <t>En el sub mundo soy Nicolove conduzco #Keepers los viernes 19:00 hrs por @RadioUDEM905fm Y discúlpenme la palabrota, pero ya estuvo suave.</t>
  </si>
  <si>
    <t>http://facebook.com/nicolaschapaC</t>
  </si>
  <si>
    <t>🐱</t>
  </si>
  <si>
    <t>cco: @EstefaniaVeloz RT @DisgraceK: Me revienta que cuando una mujer dice una tarugada salga con: "me atacan por ser mujer, malditos misóginos". Nel, te critican por bruta, da igual si eres hombre, mujer o unicornio multicolor.</t>
  </si>
  <si>
    <t>https://twitter.com/DisgraceK/status/1353761966456762368</t>
  </si>
  <si>
    <t>Ciudad de México, México</t>
  </si>
  <si>
    <t>✝️</t>
  </si>
  <si>
    <t>KIMURA 通常のケアですべて良い</t>
  </si>
  <si>
    <t>Pedir que se muera el presidente es tan ilógico como: -pedir que @fernandeznorona se bañé -decirle a @EstefaniaVeloz que para nada es una feminista a modo -decir que @AntonioAttolini no es sea un LAMEHUEVOS del gobierno y que hasta infectó de covid a otros sin decirles...</t>
  </si>
  <si>
    <t>Matamoros</t>
  </si>
  <si>
    <t>#apartidista... un típico ciudadano que le tira a los chairos y la OTP.... me encanta divertirme viendo como los fans de cualquier politico lloran...</t>
  </si>
  <si>
    <t>Maneé Torres</t>
  </si>
  <si>
    <t>cositas tan tiernas, la canción está pegajosa #siselesolvida #Quedateencasa #NoSerCorrupto #NoMentir #Norobar #makemefamous @lopezobrador_ @M_OlgaSCordero @ManuelBartlett @rocionahle @EstefaniaVeloz @AlfonsoDurazo #cpt @EnDefensaDel21 @JPAlvarezGuedea</t>
  </si>
  <si>
    <t>pic.twitter.com/XdPnm1B1EX</t>
  </si>
  <si>
    <t xml:space="preserve">San Luis Potosi </t>
  </si>
  <si>
    <t>Lo más vulgar se vuelve delicioso con sólo ocultarlo. Buscame en @Travelsuramex ahi es mi jale</t>
  </si>
  <si>
    <t>http://elrectodemanee.blogspot.com</t>
  </si>
  <si>
    <t>Gabot</t>
  </si>
  <si>
    <t>Oigan, cuenta la leyenda que está sanguijuela y la hija del asesino de Colosio, @EstefaniaVeloz, se saborean sus gónadas, ¿es cierto? RT @MiguelTorrucoG: Me es grato comunicarles que me registré para contender a una diputación federal por #MORENA en el distrito 6 de la Ciudad de México, La Magdalena Contreras y Álvaro Obregón ¡¡¡Si a tu casa llega la encuesta, Miguel Torruco Garza es la respuesta!!! EL DEBER DE HACER LO CORRECTO</t>
  </si>
  <si>
    <t>https://twitter.com/MiguelTorrucoG/status/1353388704660787200</t>
  </si>
  <si>
    <t>https://pbs.twimg.com/media/Esgz2UTUwAAe0y2.jpg</t>
  </si>
  <si>
    <t>🔶Mezcalero, dentista, sarcástico, domestico chairos y colecciono tazos, #PVRB #Nessios #HijosDeLaMx #RebañoSagrado #Team666 🍀</t>
  </si>
  <si>
    <t>E-Iván</t>
  </si>
  <si>
    <t>Soñé que conocía a @EstefaniaVeloz en un noticiero y pues amanecí muy contento, que buen día</t>
  </si>
  <si>
    <t>Fresnillo, Zacatecas</t>
  </si>
  <si>
    <t>Estudio Derecho. Miembro y fundador de la JL, solo que ellos no lo saben. Tipazo.</t>
  </si>
  <si>
    <t>EddyRam</t>
  </si>
  <si>
    <t>Segundo reto para @AntonioAttolini @tatclouthier @lopezobrador_ @mario_delgado @gibranrr @EstefaniaVeloz @HernanGomezB @CitlaHM @martibatres @fernandeznorona , espero sus argumentos, con pruebas reales, que este dato esta mal, que no somos el ultimo lugar por su pesimo manejo RT @econokafka: De los 53 países que monitorea @business sobre el manejo de la pandemia, México 🇲🇽 se mantiene imbatible este mes en el último lugar. Ninguna nación logra igualar semejante nivel de ineptitud. Felicidades por su extraordinario trabajo, AMLO @HLGatell.</t>
  </si>
  <si>
    <t>https://twitter.com/econokafka/status/1353817109139234817</t>
  </si>
  <si>
    <t>https://pbs.twimg.com/media/Esm5MDTW4AIM8wy.jpg</t>
  </si>
  <si>
    <t>Por mi honor, juro hacer lo mejor, para cumplir con mi deber, con Dios y con mi Patria... #LaLigaMitica</t>
  </si>
  <si>
    <t>Aquo vemos verdaderos expertos hablando, prestenle una libreta a @HLGatell @lopezobrador_ @CitlaHM @AntonioAttolini @EstefaniaVeloz @gibranrr @mario_delgado y @martibatres haber si se les pega algo, digo se aferran a su estrategia, pero sin dar el mas minimo resultado RT @Mex_Liber1: 3/3</t>
  </si>
  <si>
    <t>https://twitter.com/Mex_Liber1/status/1353170071468838919</t>
  </si>
  <si>
    <t>pic.twitter.com/rtz046Pg87</t>
  </si>
  <si>
    <t>JACB🔝</t>
  </si>
  <si>
    <t>Hagan eco en ésto @EstefaniaVeloz @CitlaHM @AntonioAttolini pinches idiotas sirvan para algo. Sea o no sea su función, ésto si importa que reclamen RT @anafvega: Desde noviembre pasado no funciona el aparato para hacer resonancias magnéticas en el Hospital Infantil Federico Gómez, el más importante del país para tratar a niñas y niños con cáncer.</t>
  </si>
  <si>
    <t>https://twitter.com/anafvega/status/1353744376460144643</t>
  </si>
  <si>
    <t>Xochimilco, Distrito Federal</t>
  </si>
  <si>
    <t>Amante de la cocina, futbol y la chela.</t>
  </si>
  <si>
    <t>Reto publicamente a @CitlaHM @AntonioAttolini @gibranrr @EstefaniaVeloz @yeidckol @HernanGomezB @mario_delgado @RENE_BEJARANO_M @martibatres a desmentir, con evidencias, cualquiera de las imagenes de este video, que puedan decirnos, no eso no es asi y aqui esta la evidencia, va? RT @rafael_gh33: Solo 2 años basto para destruir una nación, acabar con todo lo construido, con la solidaridad de los mexicanos, con la esperanza de un país y con la vida de 400 mil o mas, no el COVID, no la guerra de Calderón, la corrupción de Peña. Fue MORENA y su líder Moral. #MexicoSeHunde</t>
  </si>
  <si>
    <t>https://twitter.com/rafael_gh33/status/1353793606159630336</t>
  </si>
  <si>
    <t>pic.twitter.com/R990fTSgtc</t>
  </si>
  <si>
    <t>Chocoyote</t>
  </si>
  <si>
    <t>AMLO: "empatía, holístico y resiliencia son tecnicismos neoliberales".  @EstefaniaVeloz: RT @EstefaniaVeloz: No nos detengamos en los tuits de personajes que claramente no tienen empatía. Mejor difundamos los mensajes de amor y de mejora para el presiente. No olvidemos que amor con amor se paga. 🙏 #FuerzaPresidente</t>
  </si>
  <si>
    <t>https://aristeguinoticias.com/0912/aristegui-en-vivo/enterate/empatia-holistico-y-resiliencia-son-tecnicismos-neoliberales-afirma-amlo-enterate/
https://twitter.com/EstefaniaVeloz/status/1353512531298557953</t>
  </si>
  <si>
    <t>En el viaje.</t>
  </si>
  <si>
    <t>#YoconelEZLN El chico del emoji 😏</t>
  </si>
  <si>
    <t>SPR México</t>
  </si>
  <si>
    <t>¿Son las "mañaneras" ejercicios de comunicación?. Acompaña a @gibranrr, @EstefaniaVeloz y @DangerAKOficial a analizar este polémico tema en @DeBuenaFe11 ¡No te lo pierdas! ⏰20:00h. |📺11.1|📲 @MxPlayTV |📲 @CanalOnceTV #UnidosPorLasAudiencias informadas</t>
  </si>
  <si>
    <t>https://pbs.twimg.com/media/EsXX1o5XYAQbqDU.jpg</t>
  </si>
  <si>
    <t>•Sistema Público de Radiodifusión del Estado Mexicano. Organismo público encargado de proveer el servicio de radiodifusión pública digital a nivel nacional.</t>
  </si>
  <si>
    <t>http://www.spr.gob.mx/</t>
  </si>
  <si>
    <t>Don Jirafa</t>
  </si>
  <si>
    <t>Así la senadora @CitlaHM y la señora E. Martínez, alias @EstefaniaVeloz. ☝🏻🤦🏻‍♂️ ⤵️ RT @hermanntertsch: ¡Qué encanto de seres humanos les están saliendo a los criadores socialistas!</t>
  </si>
  <si>
    <t>https://twitter.com/hermanntertsch/status/1353669694176288769</t>
  </si>
  <si>
    <t>https://pbs.twimg.com/media/EskzaTMXMAEAhmb.jpg</t>
  </si>
  <si>
    <t xml:space="preserve">Naucalpan, Méx., MÉXICO. </t>
  </si>
  <si>
    <t>SOY ANTI-LÓPEZ, ANTI-BIDEN, ANTI-SÁNCHEZ, CATÓLICO, POLÍTICAMENTE INCORRECTO. AMANTE DEL BELLÍSIMO IDIOMA ESPAÑOL. ¡HAZ QUE CHINA PAGUE POR LA COVID-19!</t>
  </si>
  <si>
    <t>CEO BOA Si México FRENA</t>
  </si>
  <si>
    <t>Quien lo va a salir a defender, @m_ebrard @Irma_Sandoval @zoerobledo @ManuelBartlett @M_OlgaSCordero @mario_delgado @RicardoMonrealA @CitlaHM @JohnMAckerman @AntonioAttolini @yeidckol @EderGuevaraM @EstefaniaVeloz @gibranrr @Dolores_PL @FelixSalMac @ReneBejarano_1 @tatclouthier RT @Garcimonero: La ONU da a conocer la lista de países que han comprado vacunas para el COVID a los diferentes laboratorios cuanto, cuando y a quienes compraron, MEXICO no está en esa lista. NUNCA COMPRARON NADA y ahora que el presidente tiene que aclarar esto se enferma !Que conveniente!</t>
  </si>
  <si>
    <t>https://twitter.com/Garcimonero/status/1353741453730701319</t>
  </si>
  <si>
    <t>San Diego, CA</t>
  </si>
  <si>
    <t>Football Soccer Amateur Player| Technology Geek| Trying to be good father| Government of the people, by the people, for the people, shall not perish from🇲🇽🇺</t>
  </si>
  <si>
    <t>Ferdinand Saltworks</t>
  </si>
  <si>
    <t>Me pregunto qué pensarán @EstefaniaVeloz y @m_olgascordero (Entre otras mujeres morenistas) de saber que los #feminicidios siguen sin control desde diciembre del 2018. RT @YoVotoPorMx: Durante enero al menos 320 mujeres fueron asesinadas en México, es decir 10 casos por día, según cifras del Secretariado Ejecutivo del Sistema Nacional de Seguridad Pública (SESNSP). #YoVotoPorSeguridad</t>
  </si>
  <si>
    <t>https://twitter.com/YoVotoPorMx/status/1353775396089552898</t>
  </si>
  <si>
    <t>https://pbs.twimg.com/media/EsmTi06UUAYsH-V.jpg</t>
  </si>
  <si>
    <t>Aguascalientes, México</t>
  </si>
  <si>
    <t>Viviendo, que es gerundio.</t>
  </si>
  <si>
    <t>MxCdMxJS71</t>
  </si>
  <si>
    <t>Belleza de videos!!!!! @gibranrr @jgnaredo @EstefaniaVeloz @AntonioAttolini arriba el super científico!!!!!! RT @wadelacruz: RETO A LOS AMLOVERS Quisiera que cualquiera que dice que @lopezobrador_ ha llevado bien la pandemia, me lo repita después de ver este video... RETWEET por favor</t>
  </si>
  <si>
    <t>https://twitter.com/wadelacruz/status/1353763696745435136</t>
  </si>
  <si>
    <t>pic.twitter.com/ZzjX33rLuL</t>
  </si>
  <si>
    <t>Mexicano - Empresario - ayudando a crear un mejor país...</t>
  </si>
  <si>
    <t>Saludos a mis amiguis de la cuatroté!!!!! Bola de chupa sangre mentirosos!!!!! Acá hay otros datos @jgnaredo @gibranrr @EstefaniaVeloz @AntonioAttolini #YoNoLeCreo #NoLeCreo RT @Garcimonero: La ONU da a conocer la lista de países que han comprado vacunas para el COVID a los diferentes laboratorios cuanto, cuando y a quienes compraron, MEXICO no está en esa lista. NUNCA COMPRARON NADA y ahora que el presidente tiene que aclarar esto se enferma !Que conveniente!</t>
  </si>
  <si>
    <t>https://twitter.com/garcimonero/status/1353741453730701319</t>
  </si>
  <si>
    <t>Fuensanta Cué Ochoa</t>
  </si>
  <si>
    <t>Así me sentí después de leer una columna de @EstefaniaVeloz Por favor, mátenme el recuerdo de esa amarga lectura. RT @DepressedDarth: Monday mood</t>
  </si>
  <si>
    <t>https://twitter.com/depresseddarth/status/1353776190557970432</t>
  </si>
  <si>
    <t>https://pbs.twimg.com/media/EIDyQ_6X0AE7hMb.jpg</t>
  </si>
  <si>
    <t>Sí, así me llamo ▫️Mexicana ▫️Editora ▫️Escritora▫️Corredora ▫️UNAM ▫️Letras Hispánicas</t>
  </si>
  <si>
    <t>Haber @EstefaniaVeloz @gibranrr @AntonioAttolini @HernanGomezB @CitlaHM @fernandeznorona @lopezobrador_ @HLGatell , desmientan esta imagen con datos reales, por que su sueño de México para unos cuantos (ustedes) hacia alla nos lleva, espero sus comentarios RT @AngelRuizZ: Como era de esperarse con este remiendo de presidente #MéxicoSeHunde al igual que todos los gobiernos que son del @ForodeSaoPaulo</t>
  </si>
  <si>
    <t>https://twitter.com/AngelRuizZ/status/1353731754478198785</t>
  </si>
  <si>
    <t>https://pbs.twimg.com/media/EslrfdTXAAUGg9x.jpg</t>
  </si>
  <si>
    <t>Podria por favor @AntonioAttolini @mario_delgado @martibatres @yeidckol @fernandeznorona @gibranrr @EstefaniaVeloz @jgnaredo @LOVREGABAREBACK , indicar, donde esta México en la lista??? Segun sus palabras, ya estaban pagadas y en espera de llegada no?? Por eso ocultaron info???</t>
  </si>
  <si>
    <t>https://pbs.twimg.com/media/EsmR6ubXEAEp_ij.jpg</t>
  </si>
  <si>
    <t>Paulo Cesar Luna</t>
  </si>
  <si>
    <t>Si @FelipeCalderon hubiera dicho: Está guerra nos cayó como anillo al dedo (con sus miles de muertes) que le hubieras deseado? @ChumelTorres @brozoxmiswebs @CarlosLoret @EstefaniaVeloz @HLGatell @fernandeznorona @AntonioAttolini @gibranrr</t>
  </si>
  <si>
    <t>Jerry be good!</t>
  </si>
  <si>
    <t>Si de por sí ya habías valido verch con @EstefaniaVeloz, ahora con esto más... Llora solito, @gibranrr RT @MiguelTorrucoG: Me es grato comunicarles que me registré para contender a una diputación federal por #MORENA en el distrito 6 de la Ciudad de México, La Magdalena Contreras y Álvaro Obregón ¡¡¡Si a tu casa llega la encuesta, Miguel Torruco Garza es la respuesta!!! EL DEBER DE HACER LO CORRECTO</t>
  </si>
  <si>
    <t>Spot 3,938,330,085</t>
  </si>
  <si>
    <t>Heavy Mental Lawyer, @DAMIRRORMEN drummer &amp; Sci-Fi / Horror fan. Escribo netas de baja estofa, vulgares y obscenas. (Yo no pierdo followers, solitos se depuran)</t>
  </si>
  <si>
    <t>https://soundcloud.com/idomeneuss</t>
  </si>
  <si>
    <t>LEÓN</t>
  </si>
  <si>
    <t>Orale perros... @lopezobrador_ @HLGatell @EstefaniaVeloz @CitlaHM @gibranrr @AntonioAttolini @mario_delgado @RicardoMonrealA @Edd_Campe RT @CarlosLoret: Una familia peregrinó por seis estados del país buscando una cama, oxígeno y cremación. La historia es brutal.</t>
  </si>
  <si>
    <t>https://twitter.com/CarlosLoret/status/1353747327190634501
https://www.razon.com.mx/mexico/buscan-cama-seis-estados-oxigeno-420893</t>
  </si>
  <si>
    <t>Huixquilucan, México</t>
  </si>
  <si>
    <t>Y SI TE DIGO LA VERDAD...!!!</t>
  </si>
  <si>
    <t>Playmo el original</t>
  </si>
  <si>
    <t>A @EstefaniaVeloz se le está humedeciendo la apestosa en este momento. RT @MiguelTorrucoG: Me es grato comunicarles que me registré para contender a una diputación federal por #MORENA en el distrito 6 de la Ciudad de México, La Magdalena Contreras y Álvaro Obregón ¡¡¡Si a tu casa llega la encuesta, Miguel Torruco Garza es la respuesta!!! EL DEBER DE HACER LO CORRECTO</t>
  </si>
  <si>
    <t>Tercer planeta</t>
  </si>
  <si>
    <t>Prometo portarme bien. Telegram: MonoPlastico</t>
  </si>
  <si>
    <t>Alekz Arceo</t>
  </si>
  <si>
    <t>No @elgatopolitico_ cada vez te equivocas más! Te pareces a @ea_puerto, incluso al propio @lopezobrador_ mintiendo a cada rato! Jamás derrotó a chayoteros, solo los cambió por otros y se los llevó a @CanalOnceTV verdad @gibranrr @JohnMAckerman @EstefaniaVeloz ?? RT @elgatopolitico_: Derrotó al PRIAN en 2018 y lo dejó al borde de la extinción. Derrotó a televisoras y chayoteros. Derrotó a los poderes internacionales que no querían que sea presidente. ¿Y no va a derrotar al COVID-19? Pronta recuperación, viejón. ¡Fuerza! ¡No estás solo! #FuerzaPresidente</t>
  </si>
  <si>
    <t>https://twitter.com/elgatopolitico_/status/1353694622871121922</t>
  </si>
  <si>
    <t>Tlajomulco de Zúñiga, Jalisco</t>
  </si>
  <si>
    <t>Estudiante de la carrera en Estudios Políticos y de Gobierno de la Universidad de Guadalajara.</t>
  </si>
  <si>
    <t>Jorge EV</t>
  </si>
  <si>
    <t>Les recomiendo esta lectura , ahora que seguramente están en casa por la pandemia domada. @CitlaHM @lopezobrador_ @EstefaniaVeloz @gibranrr @HLGatell Disfruten RT @jrsestaca: Rubro por rubro, está columna desnuda al gobierno de @lopezobrador_ y deja al descubierto la realidad desastrosa de su gestión hasta ahora. Los “otros datos” del presidente son en realidad fabricaciones y mentiras. Mitos y fantasías de AMLO y la 4T</t>
  </si>
  <si>
    <t>https://twitter.com/jrsestaca/status/1353732158905585679
https://www.sdpnoticias.com/columnas/manuel-diaz-mitos-y-fantasias-de-amlo-y-la-4t-covid-19.html</t>
  </si>
  <si>
    <t>inmosapiens</t>
  </si>
  <si>
    <t>De menos, @lopezobrador_ y sus personajes creados como @AntonioAttolini @EstefaniaVeloz @gibranrr @HernanGomezB le han ayudado a sacar los mas oscuros sentimientos y resentimientos de los mexicanos, pero ahora con su pesima gestion, no habra duda del voto de castigo, esta hecho RT @diaz_manuel: Mitos y fantasías de la 4T “La 4T de AMLO se ha convertido solamente en eso, en mitos y fantasías con las que deliberadamente pretende engañar al “pueblo bueno”, al que subestima y manipula dando por hecho que le creen todas sus mentiras.” Mi columna:</t>
  </si>
  <si>
    <t>https://twitter.com/diaz_manuel/status/1353665765396729856
https://www.sdpnoticias.com/columnas/manuel-diaz-mitos-y-fantasias-de-amlo-y-la-4t-covid-19.html</t>
  </si>
  <si>
    <t>Para que reflexionen también ustedes amigos, no solo es aplaudir por aplaudir... @_VicenteSerrano @MemeYamelCA @jantonioruizh @Edd_Campe @NachoRgz @JucaNoticias @juncalssolano @EstefaniaVeloz @HernanGomezB @gibranrr @AntonioAttolini @julioastillero @rochaperiodista @CamMttz RT @SimonLevyMx: ¿Por qué de una vez no invitan ya a Madrazo y a todo el PRI a @PartidoMorenaMx y de una vez a lo que queda del PRD? ¿Con que cara decir PRIAN si se hace exactamente lo mismo? Pésimo.</t>
  </si>
  <si>
    <t>https://twitter.com/SimonLevyMx/status/1353464739716882432</t>
  </si>
  <si>
    <t>Iblijs</t>
  </si>
  <si>
    <t>Baia, baia... 🤔😒 precandidatos de @PartidoMorenaMx como @claraluzflores ya están vacunados...😂🤣😂🤣 y ustedes que aplauden ¿también ya? @AntonioAttolini @gibranrr @CitlaHM @mario_delgado @jenarovillamil @JesusRCuevas @fernandeznorona @fabriziomejia @MaluMicher @EstefaniaVeloz</t>
  </si>
  <si>
    <t>https://pbs.twimg.com/media/EsldA9CW4AId-is.jpg</t>
  </si>
  <si>
    <t>Actuario, fotógrafo documentalista, músico, deportista extremo, agricultor y caballero de la orden de la cruz de mi parroquia</t>
  </si>
  <si>
    <t>ASH</t>
  </si>
  <si>
    <t>Perdón? @BaksLive @la_grenitas @aracelibs @LAURAZAPATAM @GlodeJo07 @lopezobrador_ @GobiernoMX @JesusRCuevas @PartidoMorenaMx @AntonioAttolini @MariettoPonce @mario_delgado @m_ebrard @EstefaniaVeloz @M_OlgaSCordero @El_Universal_Mx @proceso @KatuArkonada @gibranrr @ferbelaunzaran</t>
  </si>
  <si>
    <t>https://pbs.twimg.com/media/EslZVGIXIAMLLOY.jpg</t>
  </si>
  <si>
    <t>Ojo aquí @EstefaniaVeloz te van a cerrar tu cuenta, amigue, cuídete muche. 🙏🙏 RT @TwitterSeguro: Nuestra política contra el comportamiento abusivo señala, entre otras cosas, que no toleramos contenido que promueva, incite o exprese el deseo o esperanza de que una persona o grupo de personas se mueran, sufran daños físicos graves o se vean afectados por enfermedades severas.</t>
  </si>
  <si>
    <t>https://twitter.com/TwitterSeguro/status/1353507120424112129</t>
  </si>
  <si>
    <t>El Antagonista</t>
  </si>
  <si>
    <t>No entiendo por qué es prioritario el magisterio en Chiapas, y no el plan de la @opsoms de vacunar primero a población vulnerable (3ra edad). Qué cuota estás pagando #4T y @lopezobrador_? Me explican @EstefaniaVeloz, @genarolozano @GaelGarciaB Ya que defienden mucho a su líder</t>
  </si>
  <si>
    <t>http://mexicomonitorxtremo.blogspot.mx/</t>
  </si>
  <si>
    <t>FerLeón Fifí #TeamBrozo 🌈💙🇲🇽</t>
  </si>
  <si>
    <t>Faltó incluir @TwitterSeguro, a @M_OlgaSCordero promotora del crimen de #Aborto, así como @EstefaniaVeloz, criminal promotora del uso de misoprostol para la práctica del mismo crimen... RT @CarlosLealMx: .@TwitterSeguro le anexo varias cuentas que incitan, desean y promueven la muerte de seres humanos antes de nacer (aborto). @CitlaHM, @Pat_MercadoC, @MaluMicher, @mijisoficial, @SLVillavicencio, @DanteDelgado, @RicardoMonrealA. Qué procede @TwitterMexico, van a tolerarlo?</t>
  </si>
  <si>
    <t>https://twitter.com/CarlosLealMx/status/1353536029614080000
https://twitter.com/TwitterSeguro/status/1353507120424112129</t>
  </si>
  <si>
    <t>#ProVida💙 #PrimeroLaVida #AntiAborto #Católico† #AntiLobby #DDHH #PromotorSaludIndependiente #AficionadoTaurino🐂 #Lector #Homosexual QUÉ MÁS PUEDO PEDIR!!!</t>
  </si>
  <si>
    <t>maugglez</t>
  </si>
  <si>
    <t>Esto quiere decir que @EstefaniaVeloz y lordmolecula se deben poner en cuarentena??? Por tantas mamadas que le dan a #elcacas</t>
  </si>
  <si>
    <t>La juventud es un tesoro .... vive y deja vivir</t>
  </si>
  <si>
    <t>@BrainPop</t>
  </si>
  <si>
    <t>En lo personal agradezco la aclaración. No me disculpo con la progre, @EstefaniaVeloz ella ha propagado y sostenido mentiras como el supuesto alcoholismo de @FelipeCalderon yo si pararé de asegurar lo que tus datos contradicen. Gracias por el dato y tú tiempo por tu respuesta. RT @LauraSanchezLey: @RuizEmiliano3 @EstefaniaVeloz Aquí otro hilo Veloz no eligió el lugar final amigos:</t>
  </si>
  <si>
    <t>https://twitter.com/LauraSanchezLey/status/1353426962832707585
https://twitter.com/laurasanchezley/status/1353424275429064722?s=21</t>
  </si>
  <si>
    <t>Ciudad de Mexico</t>
  </si>
  <si>
    <t>Fabricante de exhibidores y materiales punto de venta</t>
  </si>
  <si>
    <t>fredel_así_comosuena</t>
  </si>
  <si>
    <t>Oye @EstefaniaVeloz ¿dijiste algo de mensajes de amor a tu presidente? Chalesss #SiempreHayUnTweet RT @beltrandelrio: De EPN para AMLO y viceversa</t>
  </si>
  <si>
    <t>https://twitter.com/beltrandelrio/status/1353528878225104900</t>
  </si>
  <si>
    <t>https://pbs.twimg.com/media/EsizVyFXAAMWWv0.jpg</t>
  </si>
  <si>
    <t>• FREDEL, así como suena, sin doble 'ele' y 'e' • Hago el FICJM y la vida me trata bonito 💚🙏🏼</t>
  </si>
  <si>
    <t>Alejandra 🇩🇰</t>
  </si>
  <si>
    <t>Quiero denunciar que @EstefaniaVeloz me está censurando</t>
  </si>
  <si>
    <t>https://pbs.twimg.com/media/Esi6T5cW8AE2vtx.jpg</t>
  </si>
  <si>
    <t>íntima amiga de @JoletteOficial</t>
  </si>
  <si>
    <t>http://www.facebook.com/melapelanbeibis</t>
  </si>
  <si>
    <t>Gerardo_Arriaga</t>
  </si>
  <si>
    <t>La chairocrácia esta calladita ante la no detente infección de @lopezobrador_ ¿será que no pueden aceptar que el gurú de la secta 4t pueda contagiarse? ¿Donde está @HLGatell @EstefaniaVeloz @EderGuevaraM @JohnMAckerman @AntonioAttolini @fisgonmonero ?</t>
  </si>
  <si>
    <t>Siempre politicamente incorrecto. No soy boot, ni lo seré.</t>
  </si>
  <si>
    <t>V3lascoMx</t>
  </si>
  <si>
    <t>Aquí vemos una muestra de amor que mencionas @EstefaniaVeloz de la Sierra! RT @AxlV99: @EstefaniaVeloz #FuerzaPresidente</t>
  </si>
  <si>
    <t>https://twitter.com/axlv99/status/1353517372355846145</t>
  </si>
  <si>
    <t>https://pbs.twimg.com/media/Esio4HVXIAAkj8s.jpg</t>
  </si>
  <si>
    <t>México 🇲🇽 UAM / Ing Electrónico</t>
  </si>
  <si>
    <t>Jughead The Winter Soldier ☭ 🇷🇺 🍁</t>
  </si>
  <si>
    <t>Expectativa /// Realidad @gatitos_qctd // @EstefaniaVeloz</t>
  </si>
  <si>
    <t>https://pbs.twimg.com/media/EsiqkPWXYAAQGEs.jpg</t>
  </si>
  <si>
    <t>Nashville, TN</t>
  </si>
  <si>
    <t>If you cut off one hydra head, two more will grow back! #HailHydra @paramore</t>
  </si>
  <si>
    <t>Edwin Romeo Rivas Flores</t>
  </si>
  <si>
    <t>#FuerzaPresidente #AmloNoEstasSolo @Almomento4T @lopezobrador_ @chioreya @Amlo74497311 @luna_pelos @alecuicani @elmexicanoluis @Jimbo_Rozo @AleCuore_ @NikolaLobo @balles72 @Berexun @xa_rfb @VictorGomezBre @forevet51 @Cruzamaranta @AitorValls20 @EstefaniaVeloz @Bickym @L_Boop</t>
  </si>
  <si>
    <t>https://pbs.twimg.com/media/EsipZYWXUAEe5VQ.jpg</t>
  </si>
  <si>
    <t>#MexicanosSomosLaSalvacionDeMexico</t>
  </si>
  <si>
    <t>Mira @EstefaniaVeloz lo que tu líder escribía y el de varios - ya no quiero ofender- diré a secas seguidores, cuando @EPN se enfermó. Qué esperas que le deseemos a este pelele? RT @valmedo20: @ferbelaunzaran @lopezobrador_ Aquí es cuando pudiera aplicar.......</t>
  </si>
  <si>
    <t>https://twitter.com/valmedo20/status/1353514243577024514?s=09</t>
  </si>
  <si>
    <t>https://pbs.twimg.com/media/EsimByOW4AI9bR3.jpg</t>
  </si>
  <si>
    <t>Dylan ♎⚖🇲🇽🇺🇸</t>
  </si>
  <si>
    <t>"No mentir, no robar y no traicionar ayuda mucho para que no dé coronavirus..." Qué pasó ahí, entonces? @RedAMLOmexico #AMLOVERSForever #AMLOLujoDePresidente #RedAMLO @jgnaredo @JohnMAckerman @AntonioAttolini @gibranrr @EstefaniaVeloz</t>
  </si>
  <si>
    <t>http://www.oliverlex.com.mx</t>
  </si>
  <si>
    <t>Soy el machine gun</t>
  </si>
  <si>
    <t>Que pasó @EstefaniaVeloz Quién es el presiente Aah, que presiente que ya se muere lópez 😂😂😂</t>
  </si>
  <si>
    <t>https://pbs.twimg.com/media/EsilK8EXUAE-7Dv.jpg</t>
  </si>
  <si>
    <t>D.f.</t>
  </si>
  <si>
    <t>,comerciante instrumentación</t>
  </si>
  <si>
    <t>Rodolfo G. Rivera</t>
  </si>
  <si>
    <t>Dios Haz lo tuyo. Dale la oportunidad de retomar el rumbo a tu pueblo llamado Méxic @la_grenitas @StarRocker_1750 @RepDeFiFidonia @ChairosMemes @s1thl0rd @AngelDeLa4T @DonVocero @deniseramosm @jgnaredo @lord_inario @_VicenteSerrano @RamirezClaudia_ @EstefaniaVeloz @EderGuevaraM</t>
  </si>
  <si>
    <t>México Distrito Federal</t>
  </si>
  <si>
    <t>@Jealpe26</t>
  </si>
  <si>
    <t>Chairiza, ahí está el CV de #ElCacas @lopezobrador_ al que pidieron "darle una oportunidad"!!!...@GaelGarciaB @diegoluna_ @DamianAlcazar_ @gadelagarza @ClaudiaLizaldi @TenochHuerta @EstefaniaVeloz @CitlaHM @AntonioAttolini !!! RT @TraderTRD: @Garcimonero López renunció al PRI cuando no le dieron oportunidad de seguir “creciendo” le cerraron el ascenso por inepto y ambicioso. Entonces, se vendió bien con el PRD; al que luego traicionó. Es un “político” nefasto: corrupto, incompetente, ambicioso, ególatra, traicionero y rencoroso.</t>
  </si>
  <si>
    <t>https://twitter.com/TraderTRD/status/1353167387378520066</t>
  </si>
  <si>
    <t>Anibal Gutierrez #MeCansoYo</t>
  </si>
  <si>
    <t>Enorme ejemplo de critica y congruencia. Se puede apoyar un proyecto y exigir al mismo tiempo. Participar y criticar. Aplauso @SimonLevyMx @genarolozano Lecciones para @gibranrr @EstefaniaVeloz @CitlaHM RT @SimonLevyMx: ¿Por qué de una vez no invitan ya a Madrazo y a todo el PRI a @PartidoMorenaMx y de una vez a lo que queda del PRD? ¿Con que cara decir PRIAN si se hace exactamente lo mismo? Pésimo.</t>
  </si>
  <si>
    <t>https://twitter.com/simonlevymx/status/1353464739716882432</t>
  </si>
  <si>
    <t>Queretown</t>
  </si>
  <si>
    <t>Cinéfilo, Politólogo, Economista #LigaDeGuerreros</t>
  </si>
  <si>
    <t>Mikaelo de Artois</t>
  </si>
  <si>
    <t>Vas a volver furro a Gibran, @EstefaniaVeloz</t>
  </si>
  <si>
    <t>https://pbs.twimg.com/media/EsiOTxsXIAEAzm4.jpg</t>
  </si>
  <si>
    <t>Tu Cora</t>
  </si>
  <si>
    <t>Gatuitero norteño, aficionado a la historia y lector compulsivo. Licenciado en Ciencias Ocultas por la UACM campus Tepito.</t>
  </si>
  <si>
    <t>http://www.raiders.com</t>
  </si>
  <si>
    <t>Daniel Toledo soy #PRIANRD!!!</t>
  </si>
  <si>
    <t>Con dedicatoria a @mario_delgado @lopezobrador_ @CitlaHM @BeatrizGMuller @HernanGomezB @AntonioAttolini @EstefaniaVeloz @gibranrr La SOLUCIÓN es sencilla, SI NO LES GUSTA Twitter... LARGUENSE!!! RT @Excelsior: “Términos y condiciones”, en opinión de Vianey Esquinca (@vianeyesquinca).</t>
  </si>
  <si>
    <t>https://twitter.com/Excelsior/status/1353353389145530369
http://www.excelsior.com.mx/opinion/vianey-esquinca/terminos-y-condiciones/1428824</t>
  </si>
  <si>
    <t>pic.twitter.com/dQTa31zUwU</t>
  </si>
  <si>
    <t>Dinamarca desde el 1Dic2020</t>
  </si>
  <si>
    <t>#YoSoyFrena Y parte de #LaBoa que se comerá al ganso.</t>
  </si>
  <si>
    <t>Jose Antonio</t>
  </si>
  <si>
    <t>¿Por qué censuras @EstefaniaVeloz ? RT @NinjaHodon: 😂😂😂😂😂 Se puso el saco durísimo.</t>
  </si>
  <si>
    <t>https://twitter.com/ninjahodon/status/1353468974621573120</t>
  </si>
  <si>
    <t>https://pbs.twimg.com/media/Esh822EVEAAoTsR.jpg</t>
  </si>
  <si>
    <t>ANTIMARXISTA.</t>
  </si>
  <si>
    <t>http://pepepintos.blogspot.com/</t>
  </si>
  <si>
    <t>Z</t>
  </si>
  <si>
    <t>Te dejo este hilito @EstefaniaVeloz tu padre es una vergüenza de humano, que arda en el infierno RT @LauraSanchezLey: En el hilo que hice del expediente desclasificado de #Colosio el comentario recurrente es "Lo mató Martínez Veloz", político y entonces subdelegado de la Sedesol en BC. Con base en el expediente (no rumores)vamos a revelar de una vez y para siempre ¿fue cómplice del magnicidio?</t>
  </si>
  <si>
    <t>https://twitter.com/LauraSanchezLey/status/1353424275429064722</t>
  </si>
  <si>
    <t>https://pbs.twimg.com/media/EshUNDqVcAIYkw9.jpg</t>
  </si>
  <si>
    <t xml:space="preserve">En la mente de alguien </t>
  </si>
  <si>
    <t>Y para que quieren saberla? .... 3</t>
  </si>
  <si>
    <t>De Buena Fe</t>
  </si>
  <si>
    <t>Ahora que con @JoeBiden vuelven las mañaneras a la Casa Blanca y a las puertas de un proceso electoral en México, mañana @gibranrr dialoga con @gelahuerta, Diputada por @PartidoMorenaMx Y como cada lunes, noticia rapeada 🎤 con @DangerAKOficial y La Mala Fe de @EstefaniaVeloz 📡</t>
  </si>
  <si>
    <t>https://pbs.twimg.com/media/Esh73QSVEAEHhdb.jpg</t>
  </si>
  <si>
    <t>Canal Once</t>
  </si>
  <si>
    <t>Cada lunes, @gibranrr, @EstefaniaVeloz y @DangerAKOficial nos invitan a bajar el volumen de la voz y elevar el nivel de los argumentos #DeBuenaFe</t>
  </si>
  <si>
    <t>https://canalonce.mx/de-buena-fe</t>
  </si>
  <si>
    <t>Con razón tienen un mugrero los que prometieron barrer las escaleras ¿verdad? ⁦@AntonioAttolini⁩ ⁦@EstefaniaVeloz⁩ ⁦@gibranrr⁩ ⁦@JesusRCuevas⁩ ⁦@jenarovillamil⁩ ⁦@fernandeznorona⁩ ⁦@fabriziomejia⁩ ⁦@CitlaHM⁩</t>
  </si>
  <si>
    <t>https://www.proceso.com.mx/reportajes/2021/1/20/romero-deschamps-no-salio-de-pemex-ni-rinde-cuentas-256658.html</t>
  </si>
  <si>
    <t>🐼😈Panda_Del_Mal🖤🖤</t>
  </si>
  <si>
    <t>🐼😭😭😭😭😭😭😭😭😭😭😭 Me blokkkiooo @EstefaniaVeloz A ver si no me mandan a Lomas Taurinas a mí también. 🐼🤭🤭🤭😂😂😂😂😂😂😂😂</t>
  </si>
  <si>
    <t>https://pbs.twimg.com/media/EshwB8FVEAI2sBY.jpg</t>
  </si>
  <si>
    <t>Abogado, Americanista y Chingón #AmericanistasDelMal 💙💛😈 Anti AMLO y Anti Chairos</t>
  </si>
  <si>
    <t>Independientemente del grado académico; el régimen de @lopezobrador_ se ufana de garantizar atención médica gratuita a todos los niveles... ¿cierto? @AntonioAttolini @gibranrr @EstefaniaVeloz @jenarovillamil @JesusRCuevas @mario_delgado @CitlaHM @MarthaSoledadv2 @LuisaAlcalde 🤔 RT @DiegoRuzzarin: Un doctor (PHD) en antropologia me acaba de vender un libro por $200 pesos (10usd) en la calle para pagarse un cateter. La ciudad de México tiene cientos de PHDs viviendo en precariedad... aún creen en el mito de la educación? @SimonLevyMx</t>
  </si>
  <si>
    <t>https://twitter.com/diegoruzzarin/status/1353446105569087488</t>
  </si>
  <si>
    <t>https://pbs.twimg.com/media/EshoCM1UcAAziIU.jpg</t>
  </si>
  <si>
    <t>🏴‍☠️ Anthony Scarface Marconi🏴‍☠️</t>
  </si>
  <si>
    <t>Así quedé después de que @estefaniaveloz me bloqueó</t>
  </si>
  <si>
    <t>https://pbs.twimg.com/media/EshsGC2VcAE6eqE.jpg</t>
  </si>
  <si>
    <t>Chernobil UK.</t>
  </si>
  <si>
    <t>Al Atlas aunque gane, odio el racismo y a los negros, no soy mafioso, bueno un poco en mis ratos libres</t>
  </si>
  <si>
    <t>Trevor Belmont II</t>
  </si>
  <si>
    <t>Aquí podemos apreciar el gran talento que tiene @EstefaniaVeloz, o Estefanía Juárez, como le llaman en su casa.</t>
  </si>
  <si>
    <t>https://pbs.twimg.com/media/EshOkc7UUAAfNTo.jpg</t>
  </si>
  <si>
    <t>@|@</t>
  </si>
  <si>
    <t>No vengan con chingaderas.</t>
  </si>
  <si>
    <t>Oswaldo C.</t>
  </si>
  <si>
    <t>JAJAJAJAJAJAJA pueden confirmar @yeidckol @EstefaniaVeloz? RT @LunaGilV: Yeidckol Polevnsky. En realidad se llama Citlali Ibáñez Camacho. Y Estefania Veloz. Estefanía Juárez Mora... Con eso que se cambian los nombres los socialistas de Morena... A lo mejor, el nombre real si es El Cacas 🤷‍♀️</t>
  </si>
  <si>
    <t>https://twitter.com/LunaGilV/status/1353230864528912384</t>
  </si>
  <si>
    <t>Monterrey</t>
  </si>
  <si>
    <t>Agnóstico y libre pensador. Chivas aunque duela.</t>
  </si>
  <si>
    <t>Medina</t>
  </si>
  <si>
    <t>Me pareció muy interesante enterarme que ⁦@EstefaniaVeloz⁩, vocera del ⁦@GobiernoMX⁩ vía ⁦@CanalOnceTV⁩ es hija de tan promnente priista. Casualmente, asesor de Colosio cuando el magnicidio. Un priista de pura sangre, como casi todos ahí.</t>
  </si>
  <si>
    <t>https://es.m.wikipedia.org/wiki/Jaime_Mart%C3%ADnez_Veloz</t>
  </si>
  <si>
    <t>Chérnobil</t>
  </si>
  <si>
    <t>Actúo porque pienso que pensar no es productivo. Actor, Improvisador, Director de Escena y Troll oficial del Tomandante Borolas.</t>
  </si>
  <si>
    <t>Déjame adivinar!!! ¿El PAPA DE ESTEFANIA VELOZ Lo PUSO PARA QUE LO MATARAN EN LOMAS TAURINAS? @EstefaniaVeloz RT @LauraSanchezLey: Me preguntan que de qué sirvió que hubiéramos abierto el expediente Colosio 25 años después.Tal vez es poco el aporte, pero creo que lo importante de haberlo hecho a través del @INAImexico es que podemos leerlo y tumbar la famosa verdad histórica.Aquí algo de lo que encontramos👇🏼</t>
  </si>
  <si>
    <t>https://twitter.com/LauraSanchezLey/status/1353141542916120576</t>
  </si>
  <si>
    <t>David, el viejo culero</t>
  </si>
  <si>
    <t>Ojo @EstefaniaVeloz este tema le debe de interesar a la familia RT @LauraSanchezLey: Me preguntan que de qué sirvió que hubiéramos abierto el expediente Colosio 25 años después.Tal vez es poco el aporte, pero creo que lo importante de haberlo hecho a través del @INAImexico es que podemos leerlo y tumbar la famosa verdad histórica.Aquí algo de lo que encontramos👇🏼</t>
  </si>
  <si>
    <t xml:space="preserve">Waterhole, country of Tecamac </t>
  </si>
  <si>
    <t>EXPERTO CASI EN TODO Ganador tres veces del título mejor tuitero de ojo de agua Instructor del baile prohibido La lambada de jueves a domingo únicamente</t>
  </si>
  <si>
    <t>Hvid ædelsten 🇩🇰 (diamante wero)</t>
  </si>
  <si>
    <t>Ya lista la nueva red social musito de los chairos, diseñada por @JesusRCuevas, financiada por @piochiapas, con servidores en 25 casas de @ManuelBartlett y las 5 de @JohnMAckerman, @EstefaniaVeloz y @gibranrr seran los CM's y @HernanGomezB el copy, ven a musitar con estos ratones</t>
  </si>
  <si>
    <t>https://pbs.twimg.com/media/Esg7p4kXMAEKFNr.jpg</t>
  </si>
  <si>
    <t>hermosillo sonora</t>
  </si>
  <si>
    <t>Hijo legítimo del Pávido Návido</t>
  </si>
  <si>
    <t>santiago papasquiaro</t>
  </si>
  <si>
    <t>La 4T será machista, violadora, acosadora o no será. Mientras las "feministas" de las 4T felices con cobrar. @EstefaniaVeloz @genarolozano RT @AntonioAttolini: Con el profesor, militante y amigo @HistoriaPedro estamos reflexionando sobre la potente historia revolucionaria que tiene #Torreón. Recuperar la memoria de historia y gloria que tuvo nuestra Ciudad en la 3T es nuestra principal fuerza. #ElNorteNoOlvida</t>
  </si>
  <si>
    <t>https://twitter.com/AntonioAttolini/status/1353117233191374848</t>
  </si>
  <si>
    <t>pic.twitter.com/8F6eZ5Go2a</t>
  </si>
  <si>
    <t>Jose Lop</t>
  </si>
  <si>
    <t>Éste tipejo escupe odio, notas falsas y violenta contra todo simpatizante de la 4T. Y no es que sea gay, es su actuar de mierda. No soporta argumentos y te bloquea. Es de las cuentas que se han reportado a @TwitterMexico sin resultados. @Ferdelher @EstefaniaVeloz</t>
  </si>
  <si>
    <t>https://pbs.twimg.com/media/EsgsmnzW8AEFFZT.jpg</t>
  </si>
  <si>
    <t>Ingeniero y melómano. Enero 24. Pro 4T por el bien de todas las clases sociales. Emocionalmente inteligente y pacifista. Zap, Jalisco #SomosAmlovers</t>
  </si>
  <si>
    <t>Alberto Rocha</t>
  </si>
  <si>
    <t>Los chayoteros de hoy LES HABLAN: ⁦@fisgonmonero⁩ ⁦⁦@monerohernandez⁩ ⁦@gibranrr⁩ ⁦@JohnMAckerman⁩ ⁦@EstefaniaVeloz⁩ ⁦⁦@julioastillero⁩ ⁦@Navegaciones⁩ ⁦@ahelguera⁩ ⁦@Irma_Sandoval⁩ ⁦⁦</t>
  </si>
  <si>
    <t>https://www.eluniversal.com.mx/opinion/alfonso-zarate/los-chayoteros-de-hoy</t>
  </si>
  <si>
    <t>Jorge Rovelo de Dinamarca 🇩🇰</t>
  </si>
  <si>
    <t>¿Por qué Estefanía Jiménez @EstefaniaVeloz y el resto de su ejército de maraqueras no defienden a la doctora @lximenezfyvie de los ataques en su contra? Sencillo: porque están orquestados desde la oficina del titiritero en jefe. No le gustó que los critiquen a él y a @HLGatell</t>
  </si>
  <si>
    <t>Namaste, motherfuckers</t>
  </si>
  <si>
    <t>@chsmlopez</t>
  </si>
  <si>
    <t>Tómala @lopezobrador_ @JesusRCuevas @jenarovillamil @jgnaredo @SanjuanaNotimex @JohnMAckerman @EstefaniaVeloz @gibranrr @HernanGomezB @NachoRgz @HLGatell @Mx_Diputados @senadomexicano RT @spygerman72: @LaToyaAzua  MI NOMBRE ES EL "CACAS"…..Atte PEJE AMLOCOOO</t>
  </si>
  <si>
    <t>https://twitter.com/spygerman72/status/1353053103109541888</t>
  </si>
  <si>
    <t>pic.twitter.com/iF8ENfLoGD</t>
  </si>
  <si>
    <t>EL MISMO YUCATECO CABEZÓN DE SIEMPRE. ANTICHAIRO</t>
  </si>
  <si>
    <t>Josue Arevalo Meyer</t>
  </si>
  <si>
    <t>Ya bajaron la red social de la #4taTransformación @lopezobrador_ @SimonLevyMx @mario_delgado @RicardoMonrealA @m_ebrard @EstefaniaVeloz @CitlaHM @ManuelBartlett @NGomezUrrutiaMX @Dolores_PL @AntonioAttolini #MorenaCuevaDeLadrones #PRIAN #primor @PartidoMorenaMx #TwitterCensura RT @Miss_teriosa1: La nueva red social de 4ta... bye, bye amlovers</t>
  </si>
  <si>
    <t>https://twitter.com/Miss_teriosa1/status/1353198509848227844</t>
  </si>
  <si>
    <t>https://pbs.twimg.com/media/EseG31aWMAIbiy-.jpg</t>
  </si>
  <si>
    <t>México/LA /Miami</t>
  </si>
  <si>
    <t>Actor/Musico Productor &amp; empresario Manager: Stephanie Ripstein 7863020230 talent@SKRipstein.com http://www.SKRpr.com:</t>
  </si>
  <si>
    <t>https://www.facebook.com/pages/Josue-Arevalo-Meyer/172736986114532?ref=ts&amp;fref=ts</t>
  </si>
  <si>
    <t>Felipe Santillan</t>
  </si>
  <si>
    <t>Algo que leer durante el desayuno??? @HLGatell @lopezobrador_ @EstefaniaVeloz @mario_delgado @RicardoMonrealA</t>
  </si>
  <si>
    <t>https://pbs.twimg.com/media/EsgdR_FXEAINNnR.jpg</t>
  </si>
  <si>
    <t>Alejandro Sepich</t>
  </si>
  <si>
    <t>La nueva #app de la cuarta Aguas! @twitter (@TwitterMexico) here's come the kks Aquí serán felices @LOVREGAJ @CitlaHM @HernanGomezB @gibranrr @fernandeznorona @AntonioAttolini @_VicenteSerrano @MarcoA_Olvera @Hans2412 @NachoRgz @noticieroredes @Naysalvatori @EstefaniaVeloz 😂😂</t>
  </si>
  <si>
    <t>https://pbs.twimg.com/media/EsgZjaTWMAY45L6.jpg</t>
  </si>
  <si>
    <t>Opinión Personal, lo que me nace y me viene. Go #Redsox #Packers #Steelers #Celtics #Bruins ...soy anti 4T x si lo dudas. 🇮🇹🇭🇷🇲🇽🐺#YoNoVoteXelKks</t>
  </si>
  <si>
    <t>http://www.instagram.com/SepichPalace</t>
  </si>
  <si>
    <t>ALFREDO MARTÍNEZ</t>
  </si>
  <si>
    <t>Hace tiempo se pasó al PRD. Y eso es asunto de su padre. @EstefaniaVeloz es una mujer comprometida y consecuente con sus ideas. No M’mar. RT @Oaks07: @tugranmesias @LauraSanchezLey @ChairosY @INAImexico @EstefaniaVeloz No manches!!!! A poco @EstefaniaVeloz es hija de un priista??? No mames no mames no mames! Dime qué no! Estefy muñeca! Y ahora???? Como le hacemos? Atacamos o no al pri? #yameconfundiyo</t>
  </si>
  <si>
    <t>https://twitter.com/oaks07/status/1353211953985040385</t>
  </si>
  <si>
    <t>México, D. F.</t>
  </si>
  <si>
    <t>"El objetivo del psicoanálisis es aliviar a las personas de su infelicidad neurótica para que puedan ser normalmente infelices. (Freud)</t>
  </si>
  <si>
    <t>Mariano Palacios Jiménez</t>
  </si>
  <si>
    <t>Twitter es “sólo 1 red social”. Por qué generalizas? Así son tus análisis? Y cobras por ellos. @HernanGomezB @monerohernandez @abrahamendieta @alvaro_delgado @CitlaHM @jenarovillamil @julioastillero @_VicenteSerrano @SinLinea_Mx @MemeYamelCA @EstefaniaVeloz @EdySmol @fisgonmonero RT @LCUgalde: Hace tiempo @lopezobrador_ perdió la conversación en Twitter. Salvo una ocasión (la visita a EEUU), el sentimiento respecto a AMLO ha sido mayormente negativo en los últimos 15 meses. Quizá por eso el ataque a @TwitterMexico. AMLO ha perdido a las "benditas redes sociales".</t>
  </si>
  <si>
    <t>https://twitter.com/lcugalde/status/1352462591059259392
https://twitter.com/Integralia_Mx/status/1352300513946005504</t>
  </si>
  <si>
    <t>Distrito Federal, México</t>
  </si>
  <si>
    <t>Cazador de derechairos troleadores que tuitean bajo consigna y pago económico. Exhibamos a los “texto-servidores”.</t>
  </si>
  <si>
    <t>GiulianoDeMedici</t>
  </si>
  <si>
    <t>Y qué dirá exactamente de la participación del papá de @EstefaniaVeloz ? RT @LauraSanchezLey: Me preguntan que de qué sirvió que hubiéramos abierto el expediente Colosio 25 años después.Tal vez es poco el aporte, pero creo que lo importante de haberlo hecho a través del @INAImexico es que podemos leerlo y tumbar la famosa verdad histórica.Aquí algo de lo que encontramos👇🏼</t>
  </si>
  <si>
    <t>https://twitter.com/laurasanchezley/status/1353141542916120576</t>
  </si>
  <si>
    <t>Voz malvada. Happiness is a warm gun... Representante artístico de Cofradía irreverente</t>
  </si>
  <si>
    <t>Corazón de Mane❤️</t>
  </si>
  <si>
    <t>Baia, Baia @EstefaniaVeloz que guardadito RT @tugranmesias: @LauraSanchezLey @ChairosY @INAImexico Exacto, si ya sabemos que el "papá" de @EstefaniaVeloz fue el que lo llevó al matadero</t>
  </si>
  <si>
    <t>https://twitter.com/tugranmesias/status/1353182312113049600</t>
  </si>
  <si>
    <t>https://pbs.twimg.com/media/Esd4JCuXIAIPoQ5.jpg</t>
  </si>
  <si>
    <t>LAET posgrado en MKT Con el corazón a la izquierda. En pro de los animales.</t>
  </si>
  <si>
    <t>Sarmiza Bilcescu</t>
  </si>
  <si>
    <t>Que tiempos aquellos cuando @CanalOnceTV transmitía la abeja Maya, hoy solo se pueden ver pendejadas como @EstefaniaVeloz o @JohnMAckerman por mencionar algunos.</t>
  </si>
  <si>
    <t>Una conexión entre la ciencia pura y dura y el espíritu etéreo. Descendiente directa de Sarmiza Bilcescu.</t>
  </si>
  <si>
    <t>Los Mimilocos Mazacote y Orquesta</t>
  </si>
  <si>
    <t>Con todo esto, concluyo que el señor padre de @EstefaniaVeloz conscientemente le tendió una trampa al llevar a Colosio al matadero previamente pactado. La circunstancia de tenerla en estado fetal en esa locación, fue su coartada. RT @LauraSanchezLey: Me preguntan que de qué sirvió que hubiéramos abierto el expediente Colosio 25 años después.Tal vez es poco el aporte, pero creo que lo importante de haberlo hecho a través del @INAImexico es que podemos leerlo y tumbar la famosa verdad histórica.Aquí algo de lo que encontramos👇🏼</t>
  </si>
  <si>
    <t>LGV</t>
  </si>
  <si>
    <t>Y no participará en el Foro Económico Mundial 2021. 🤭 ¡Aplausos para @EstefaniaVeloz ! 👏👏👏</t>
  </si>
  <si>
    <t>pic.twitter.com/20NX8H9tjE</t>
  </si>
  <si>
    <t>Manhattan, NY</t>
  </si>
  <si>
    <t>Lo vertido puede ser personal Dixit o Sic. Nunca representativa. RT c/s texto es meramente vox populi. Sinaloa/Lawyer/Yale. No hago marcos teóricos de tweets.</t>
  </si>
  <si>
    <t>http://Bayer.US</t>
  </si>
  <si>
    <t>El agua de Chihuahua se defiende.</t>
  </si>
  <si>
    <t>La playera está bien chida, se la regaló @EstefaniaVeloz. RT @licrse: Me mandaron una foto que me hizo reír y hasta lloré 🤣🤣🤣🤣</t>
  </si>
  <si>
    <t>https://twitter.com/licrse/status/1353122644934103040</t>
  </si>
  <si>
    <t>https://pbs.twimg.com/media/EsdB34IU4AA61Ja.jpg</t>
  </si>
  <si>
    <t>Chihuahua, México</t>
  </si>
  <si>
    <t>Defendiendo al NORTE 🇲🇽 y todo lo que nos pertenece 💦, en contra del asistencialismo comunista y por lo tanto de López. PRIista anti-chairos populistas 😘.</t>
  </si>
  <si>
    <t>Manuel Alarcón</t>
  </si>
  <si>
    <t>Te hablan @EstefaniaVeloz RT @Destructor24LaR: Aférrense a su cubrebocas como los arrastrados corruptos al cacas @lopezobrador_ hacen lo que les dice aunque sea un delito verdad @EstefaniaVeloz 🤣💩💩💩💩</t>
  </si>
  <si>
    <t>https://twitter.com/destructor24lar/status/1353076978388111361
https://twitter.com/EstefaniaVeloz/status/1352041415006674944</t>
  </si>
  <si>
    <t>https://pbs.twimg.com/media/EscYVy7UYAAjoLm.jpg</t>
  </si>
  <si>
    <t>Fuerte y humano</t>
  </si>
  <si>
    <t>Micheel Granados ⚜️</t>
  </si>
  <si>
    <t>Twitter se sigue limpiando de #AMLOvers. Ahora es el @PadreSolalinde el que ya no existe. 🥳 ¿Qué estarán esperando @CitlaHM, @AntonioAttolini, @GibranRR y @EstefaniaVeloz para irse a Telegram?</t>
  </si>
  <si>
    <t>https://pbs.twimg.com/media/Esd_V9FXcAEqGtk.jpg</t>
  </si>
  <si>
    <t>Antarctica</t>
  </si>
  <si>
    <t>Ego sum lux mundi; qui sequitur me, non ambulat in tenebris, sed habebit lumen vitae.</t>
  </si>
  <si>
    <t>http://geographunk.tumblr.com</t>
  </si>
  <si>
    <t>El @NachoRgz y @Edd_Campe versión americana!!!! 😂😂😂 @_VicenteSerrano @MemeYamelCA @gibranrr @rochaperiodista @EstefaniaVeloz @JohnMAckerman @HernanGomezB @julioastillero @JucaNoticias @juncalssolano RT @JJDiazMachuca: Así imagino a 30 millones en el 2021 y el 2022 😬🤭</t>
  </si>
  <si>
    <t>https://twitter.com/JJDiazMachuca/status/1353060035845210112</t>
  </si>
  <si>
    <t>pic.twitter.com/56nKcvDrSO</t>
  </si>
  <si>
    <t>Twitter Query: -filter:retweets -filter:replies from:GeraldinePonceM</t>
  </si>
  <si>
    <t>Geraldine Ponce</t>
  </si>
  <si>
    <t>⚠️ Cosas que causan una violación 👇🏼</t>
  </si>
  <si>
    <t>https://pbs.twimg.com/media/EsnxZqGVkAYi47V.jpg</t>
  </si>
  <si>
    <t>Nayarit, México</t>
  </si>
  <si>
    <t>Diputada Federal por #Tepic, Nayarit e Ing. en Gestión Empresarial. #AmorPorMéxico 🇲🇽</t>
  </si>
  <si>
    <t>https://geraldineponce.com</t>
  </si>
  <si>
    <t>A propósito de los intentos de @TwitterSeguro para combatir el acoso que permiten en su plataforma, revisen la tendencia actual con mi nombre y dense cuenta de las agresiones que las mujeres vivimos, el uso y robo de mis fotos para fines calumniosos. ¿TwitterSeguro? #DíaNaranja</t>
  </si>
  <si>
    <t>Buenas noticias para México. 🇲🇽 Nuestro presidente no deja de trabajar y en los próximos dos meses, Rusia enviará 24 millones de dosis de la vacuna Sputnik V. RT @lopezobrador_: Conversamos con el presidente de la Federación Rusa, Vladimir Putin, y se mostró genuinamente afectuoso. Lo invité a visitar México y le agradecí por la decisión de enviarnos 24 millones de dosis de la vacuna Sputnik V para los próximos dos meses.</t>
  </si>
  <si>
    <t>Le deseo de todo corazón, una pronta y completa recuperación a nuestro presidente @lopezobrador_, con el favor de Dios y las oraciones de millones de mexicanos que lo esperamos sano y más fuerte para seguir llevando esperanza y bienestar a nuestro país. ¡Ánimo, Presidente!</t>
  </si>
  <si>
    <t>Alrededor del 8%, de la población total de Tepic, vive con alguna discapacidad y juntos han formado diversos colectivos. Hoy me reuní con ellos para compartirles que estoy trabajando en un paquete de iniciativas que presentaré ante la @Mx_Diputados. (1/2)</t>
  </si>
  <si>
    <t>https://pbs.twimg.com/media/EshQsl3UcAETKQB.jpg</t>
  </si>
  <si>
    <t>Es un honor ser parte de la #4T, el cambio que México tanto necesitaba. Con la aprobación de reformas históricas que equivalen a una nueva constitución, las y los diputados demostramos nuestro compromiso con los objetivos de este gran proyecto de nación.</t>
  </si>
  <si>
    <t>pic.twitter.com/3QMWTinGQb</t>
  </si>
  <si>
    <t>Tengo por compañera a una gran promotora de Morena en Nayarit, la diputada @CitlallyMac. Este año, las mujeres vamos al frente en la defensa de la #CuartaTransformación.🇲🇽</t>
  </si>
  <si>
    <t>https://pbs.twimg.com/media/EsY_y7YUUAALZr_.jpg</t>
  </si>
  <si>
    <t>La inclusión es un tema prioritario de la #4T, es por eso que en la @Mx_Diputados aprobamos una nueva ley de población. El derecho a la identidad es garantía de una transformación que avanza.</t>
  </si>
  <si>
    <t>https://pbs.twimg.com/media/EsYUvvWW8AcICC1.jpg</t>
  </si>
  <si>
    <t>Desde la @Mx_Diputados, exhortamos a la @Profeco a vigilar permanentemente los establecimientos que comercialicen oxígeno medicinal. Les solicitamos que sancionen a quienes fijen sobreprecio y denuncien la venta engañosa de oxígeno industrial por medicinal.</t>
  </si>
  <si>
    <t>https://pbs.twimg.com/media/EsTdEo0UYAUyBxw.jpg</t>
  </si>
  <si>
    <t>Queremos que Tepic tenga calles dignas. Sabemos que es una tarea enorme, ¡pero no hay problema que sea más grande que la voluntad! Ya se atendieron dos calles en la colonia Moctezuma y ¡Sigue la avenida Jacarandas!</t>
  </si>
  <si>
    <t>pic.twitter.com/0z68vOxluI</t>
  </si>
  <si>
    <t>Creando leyes que propician condiciones justas, la #4T sigue avanzando en la búsqueda del bienestar social. Seguiremos trabajando en la dignificación del pueblo mexicano.</t>
  </si>
  <si>
    <t>https://pbs.twimg.com/media/EsOIcxyXIAAkfOf.jpg</t>
  </si>
  <si>
    <t>Llegaron a México 5000 lts. de la sustancia activa de la vacuna Covid-19 de AstraZeneca, los cuales serán envasados en una planta farmacéutica dentro del país. Esto representa que se fabriquen 77 millones de dosis a lo largo del año para nuestra población.</t>
  </si>
  <si>
    <t>https://www.elfinanciero.com.mx/salud/llegan-a-mexico-5-mil-litros-de-componente-para-envasar-vacuna-de-astrazeneca</t>
  </si>
  <si>
    <t>En la 4T, la ciudadanía tiene voz y forma parte en la toma de decisiones. ¡La transformación avanza de la mano del pueblo mexicano!</t>
  </si>
  <si>
    <t>https://pbs.twimg.com/media/EsJrYz4VcAEg1wQ.jpg</t>
  </si>
  <si>
    <t>El oficio político no es sencillo y menos ahora que por fortuna, los ciudadanos somos más exigentes con nuestros representantes. Sin embargo, todo vale la pena cuando vemos que las gestiones se materializan y la gente ve los beneficios que la #4T trae hasta sus calles y hogares.</t>
  </si>
  <si>
    <t>pic.twitter.com/Nr8N97GtiZ</t>
  </si>
  <si>
    <t>Gracias @ExpPolitica por la entrevista sobre mi propuesta para tipificar el #AcosoSexual en espacios públicos. En México, solo 16 estados tienen tipificado como delito el acoso sexual. Es una conducta que se normalizó en nuestra sociedad y no podemos permitir que siga pasando. RT @ExpPolitica: #Entrevista 🎙 “Yo y todas las mujeres que conozco hemos sufrido este tipo de agresión”, dice la diputada @GeraldinePonceM, al defender su propuesta de tipificar el acoso sexual callejero</t>
  </si>
  <si>
    <t>https://twitter.com/exppolitica/status/1350948767495806978
https://politica.expansion.mx/congreso/2021/01/17/geraldine-ponce-tipificar-el-acoso-sexual-ayudaria-a-arrancarlo-de-raiz</t>
  </si>
  <si>
    <t>Twitter Query: -filter:retweets -filter:replies @GeraldinePonceM</t>
  </si>
  <si>
    <t>EduardoAguilar</t>
  </si>
  <si>
    <t>Grande @GeraldinePonceM</t>
  </si>
  <si>
    <t>https://pbs.twimg.com/media/Esrz4aaW8AETHgv.jpg</t>
  </si>
  <si>
    <t>...</t>
  </si>
  <si>
    <t>怒り</t>
  </si>
  <si>
    <t>Arariel ♒™🇲🇽</t>
  </si>
  <si>
    <t>.#VirusVsParasito.!! .@lopezobrador_®️ .@BeatrizGMuller®️ .@GeraldinePonceM RT @Akenathon3: Mientras, en Palacio...</t>
  </si>
  <si>
    <t>https://twitter.com/Akenathon3/status/1354099506476797953</t>
  </si>
  <si>
    <t>https://pbs.twimg.com/media/Esq6Uy5XYAgPlTM.jpg</t>
  </si>
  <si>
    <t>allá.!</t>
  </si>
  <si>
    <t>Semper Fi.!! RT's no implican conformidad RT's are not endorsements</t>
  </si>
  <si>
    <t>FENOMENALS</t>
  </si>
  <si>
    <t>Que MANUEL tuvo “FEBRÍCULAS”..? que anda de calenturiento pues; ya ven que a cada rato que va a Nayarit. ⁦@GeraldinePonceM⁩</t>
  </si>
  <si>
    <t>https://pbs.twimg.com/media/EsrpaIrXEAEeZn9.jpg</t>
  </si>
  <si>
    <t>PODER ANTI-AMLO</t>
  </si>
  <si>
    <t>Guillermo Gosol</t>
  </si>
  <si>
    <t>Ah, si... Febrículas tiene el anciano a cada rato que va a Nayarit. Besotes @GeraldinePonceM</t>
  </si>
  <si>
    <t>https://pbs.twimg.com/media/Esrn5xZXYAICHGl.jpg</t>
  </si>
  <si>
    <t>Ciudad de México, D. F.</t>
  </si>
  <si>
    <t>🏳️‍🌈 Mexicano neoliberal y amante del capitalismo. #Orgánico</t>
  </si>
  <si>
    <t>LOSGIROSDERUL</t>
  </si>
  <si>
    <t>BUENOS DIAS,Reconocemos que la capacidad de mentir de el presidente @lopezobrador_ Cada vez cuida mejor los detalles...si hubiera anunciado @BeatrizGMuller que dio positivo no se lo creyera al peje su COVID,pero como fue @GeraldinePonceM al menos ya tienen logica. ESE PEJE .</t>
  </si>
  <si>
    <t>pic.twitter.com/vMhrLQBww4</t>
  </si>
  <si>
    <t>Mal golfista,mucho mejor padre y esposo,Católico por devoción y🐐Rayada por convicción. FIFI100%. NO ME SIGAS... #RepublicaDeFifidonia #ReynasYMosqueteros</t>
  </si>
  <si>
    <t>Gabriel González F.</t>
  </si>
  <si>
    <t>Jajaja... Alguien tiene que ver por el CHOCO-FLAN. Además las comadres. La Zopi-.@BeatrizGMuller y la lésbica de clóset .@GeraldinePonceM ya se perdieron el asco. 🤣🥲😎 RT @La_TiaAngie: La Dip. Geraldine Ponce tiene Covid al igual que @lopezobrador_ curiosamente @BeatrizGMuller no ha presentado síntomas 🤔🤔 #ULTIMAHORA</t>
  </si>
  <si>
    <t>https://twitter.com/La_TiaAngie/status/1354097449569288192</t>
  </si>
  <si>
    <t>https://pbs.twimg.com/media/Esq4c3UXcAADrYD.jpg</t>
  </si>
  <si>
    <t>Distrito Federal, México 🇲🇽</t>
  </si>
  <si>
    <t>Espiritual convencido, comunista. ☭ Libre pensador, escéptico e internacionalista por necesidad. IA Desarrollo científico-humano, Mexicano-Soviético de corazón.</t>
  </si>
  <si>
    <t>http://iterations.org/files/music/albums/hdremix/49%20Sexy%20Trunks%20(Balrog%20Stage).mp3</t>
  </si>
  <si>
    <t>jose</t>
  </si>
  <si>
    <t>Oye scort de 4ta @GeraldinePonceM eres servidora publica, la ley dice que no puedes bloquear a tus patrones, miserable ratera RT @JoseAntonioLo06: Nuevo logro desbloqueado, me bloqueo @GeraldinePonceM la novia del Presidente.. 😁</t>
  </si>
  <si>
    <t>https://twitter.com/joseantoniolo06/status/1353903919290789890</t>
  </si>
  <si>
    <t>https://pbs.twimg.com/media/EsoIcCrW8AIFQgU.jpg</t>
  </si>
  <si>
    <t>McAllen, TX</t>
  </si>
  <si>
    <t>Ex a ITESM, Ex a MIT, Ex Waterpolista Agricultor, Chairos abstenerse #OPCMX</t>
  </si>
  <si>
    <t>La Cenadora</t>
  </si>
  <si>
    <t>Pues está muy raro que a la zopilota no le haya dado covid y a @GeraldinePonceM sí le dio. ¿Será que ya ni cogen? Las cosas como son. Se dice y no hay problema.</t>
  </si>
  <si>
    <t>pic.twitter.com/yhjgmaTUZR</t>
  </si>
  <si>
    <t>En Gordando</t>
  </si>
  <si>
    <t>Cenadora (Parodia), 𝕊á𝕥𝕚𝕣𝕒 ℙ𝕠𝕝í𝕥𝕚𝕔𝕒 || La Big Mama del Senado, Experta en pozole. Pambazos y no balazos. Cuenta alterna @LaCenadora</t>
  </si>
  <si>
    <t>Carlos H. Mendoza</t>
  </si>
  <si>
    <t>Y que me bloquea @GeraldinePonceM. Se une a Fernández Noroña, Ackerman y Epigmenio. Se enojo cuando sugerí que 'coincidencia, no lo creo'. Que aprenda, @BeatrizGMuller no me ha bloqueado.</t>
  </si>
  <si>
    <t>https://pbs.twimg.com/media/Esq5afRXIAAAsIQ.jpg</t>
  </si>
  <si>
    <t>Periodista por el gusto de contar historias. Le hago al podcast. Cofundador de Output Podcast. Mi CV dice 'Digital Storyteller'. El Ganso Fifí en #Spotify</t>
  </si>
  <si>
    <t>Ciudadano 0</t>
  </si>
  <si>
    <t>¿Cómo van @lopezobrador_ y @GeraldinePonceM? ¿Todo bien en casa?</t>
  </si>
  <si>
    <t>https://pbs.twimg.com/media/EsqsF8cXUAsVvUn.jpg</t>
  </si>
  <si>
    <t>Observador ciudadano, crítico de los políticos y la política. Si NO les agrada lo que leen de lo que escribo, ahí está su progenitora para que la importunen.</t>
  </si>
  <si>
    <t>Los Políticos Veracruz</t>
  </si>
  <si>
    <t>EL DIAGNÓSTICO DE AMLO! #LoVisteEnLosPolíticos | Las posturas de varios especialistas en torno a la salud del Presidente...  #Notimemes de @NOTIVER #ParodiaPolitica @lopezobrador_ @HLGatell @morena_veracruz @GeraldinePonceM @EnriqueOchoaR #Veracruz</t>
  </si>
  <si>
    <t>http://www.lospoliticosveracruz.com.mx/?p=67206</t>
  </si>
  <si>
    <t>https://pbs.twimg.com/media/EsqkPBbXIAE0CkL.jpg</t>
  </si>
  <si>
    <t>Nos gusta la política, los perros y gatos así como memes</t>
  </si>
  <si>
    <t>Ancient Rocker</t>
  </si>
  <si>
    <t>Empecemos el día con un poco de humor... 😂😂😂 @lopezobrador_ @BeatrizGMuller @GeraldinePonceM</t>
  </si>
  <si>
    <t>https://pbs.twimg.com/media/EsqZ91-W4AIDoYt.jpg</t>
  </si>
  <si>
    <t>PEDRO FERRIZ H</t>
  </si>
  <si>
    <t>La única contagiada ahora qué @lopezobrador_ está enfermo es @GeraldinePonceM</t>
  </si>
  <si>
    <t>#HagamosHistoria Aquí las cosas como son. ¡PUNTO! NADA ES PERSONAL SEGUNDA EMISIÓN @CentralFM_ de 1 a 3 pm hora del Centro</t>
  </si>
  <si>
    <t>Gamaliel Américo</t>
  </si>
  <si>
    <t>Algo no cuadra @lopezobrador_ @GeraldinePonceM y menos me los imagino cogiendo.</t>
  </si>
  <si>
    <t>https://pbs.twimg.com/media/EsqL29MW8AEOUfu.jpg</t>
  </si>
  <si>
    <t>Por resolver el enigma de como pelar un grano de café. In the process to how to peel a coffee bean.</t>
  </si>
  <si>
    <t>@RogerMetal😈🇲🇽🇩🇰</t>
  </si>
  <si>
    <t>Si @BeatrizGMuller salió negativa de la prueba de Covid19 mientras que @GeraldinePonceM y @lopezobrador_ estan contagiados , esto es muestra de una severa crisis matrimonial en los inquilinos del Palacio Nacional</t>
  </si>
  <si>
    <t>Resistencia de la Repb Chaira</t>
  </si>
  <si>
    <t>Sincero al 100% Metalero al 100% Mexicano Pensante jamas Morenista</t>
  </si>
  <si>
    <t>Más que una coincidencia, piensa mal y acertaras @GeraldinePonceM contagiada de Covid19 @lopezobrador_ con Covid19 Y mientras @BeatrizGMuller salió con prueba negativa , porque la esposa es la última en enterarse que le están poniendo los cachos RT @vladimirgaleana: La Diputada Geraldine Ponce también tiene COVID al igual que el Presidente. Caray, que coincidencia tan lamentable que ambos padezcan de lo mismo cuando Doña Beatriz no presenta síntomas hasta ahora!!</t>
  </si>
  <si>
    <t>https://twitter.com/vladimirgaleana/status/1353821033535598594</t>
  </si>
  <si>
    <t>Rosa Romero</t>
  </si>
  <si>
    <t>No entiendo a las mujeres que dicen predicar y defender los derechos de la mujer y al mismo tiempo sacan memes de @GeraldinePonceM . No estoy en contra de la críticas o del hecho de que no simpaticen con un partido político, pero existen límites para la estupidez humana. RT @RoblesPetersson: Oye @TwitterMexico @TwitterSeguro quieres ayudar y suspender cuentas de enfermos que insultan y propagan odio.Pues revisa la tendencia "Geraldine".Ahí de dan vuelo con machismo, odio, sexismo. ¿Qué fácil, no? ¿O a caso no te importa? Siempre son tan ruines con @GeraldinePonceM</t>
  </si>
  <si>
    <t>https://twitter.com/RoblesPetersson/status/1353574770432995334</t>
  </si>
  <si>
    <t>Mario Vanzzini</t>
  </si>
  <si>
    <t>Dese una vuelta por la configuración de la app @geraldineponcem y vea la parte de privacidad, hay muchas maneras de filtrar todos los insultos y toxicidad en twitter. La plataforma no es la culpable, la ignorancia sí.</t>
  </si>
  <si>
    <t>Monterrey, NL</t>
  </si>
  <si>
    <t>TV Host &amp; Content Creator -- Estratega Digital --</t>
  </si>
  <si>
    <t>https://mariovanzzini.com.mx/</t>
  </si>
  <si>
    <t>Javier Romero</t>
  </si>
  <si>
    <t>Alguien infórmele a @geraldineponcem que los servidores públicos no pueden o deben bloquear a nadie, por ley.</t>
  </si>
  <si>
    <t>Metalero, Cinéfilo Y Un Negro A Toda Madre!! Por supuesto 100% Anti Mesías.</t>
  </si>
  <si>
    <t>Gabriel Esper Caram</t>
  </si>
  <si>
    <t>Con esta fuga de grandes talentos de #televisa a la política, no dudemos que la próxima novela pudiera ser protagonizada por @GeraldinePonceM</t>
  </si>
  <si>
    <t>Puebla</t>
  </si>
  <si>
    <t>Diseñador Gráfico, Arquitecto sin título, coleccionista principiante y soñador contemporáneo...</t>
  </si>
  <si>
    <t>http://containercity.com.mx</t>
  </si>
  <si>
    <t>Antonio de la Vega</t>
  </si>
  <si>
    <t>Me encantaría que @GeraldinePonceM me gobernara... al menos mi vida. #DeAquíSoy no le hace que le aunque que milite en MORENA.</t>
  </si>
  <si>
    <t>https://www.infobae.com/america/mexico/2021/01/25/geraldine-ponce-la-diputada-y-ex-reina-de-belleza-es-victima-de-agresiones-y-calumnias/</t>
  </si>
  <si>
    <t>Naucalpan, México, México</t>
  </si>
  <si>
    <t>Comunicólogo y Escritor mexicano. #IndiciosMetropolitanos https://www.facebook.com/groups/indiciosmetropolitanos/ Sigue http://indiciosmetropolitanos.blogspot.mx</t>
  </si>
  <si>
    <t>https://verdetemplodelamirada.blogspot.com/</t>
  </si>
  <si>
    <t>Víctor Consultor </t>
  </si>
  <si>
    <t>😂😂😂😂 habrá que preguntarle a @GeraldinePonceM RT @Dolby_Joselo: Que @BeatrizGMuller haya salido negativa de prueba Covid19, significa que no coge con AMLO. Bueno, eso ya lo sabíamos 💁🏾‍♂️</t>
  </si>
  <si>
    <t>https://twitter.com/dolby_joselo/status/1353934251356520448</t>
  </si>
  <si>
    <t xml:space="preserve">Mi Iphone </t>
  </si>
  <si>
    <t>Quiero impulsar la mejor versión de los mexicanos, que las personas obtengan resultados y compromiso de los políticos. Mi IG @vickrpb</t>
  </si>
  <si>
    <t>https://m.facebook.com/zonavickpster/</t>
  </si>
  <si>
    <t>🇲🇽Don Porfis Cool Reloaded🇩🇰</t>
  </si>
  <si>
    <t>Si @GeraldinePonceM se contagió..... con gusto la vacuno.... Todo sea por el país...</t>
  </si>
  <si>
    <t>Cuatisimo de la vida | irreverente por diversión | ANTI- KKs | No hablo Chairo | Te❤️ México | #𝕷𝖆𝕷𝖎𝖌𝖆𝕸𝖎𝖙𝖎𝖈a</t>
  </si>
  <si>
    <t>Luis Rangel 🇩🇰</t>
  </si>
  <si>
    <t>Ya quiero ver el tuit de @BeatrizGMuller deseándole “¡Pronta recuperación!” a @GeraldinePonceM</t>
  </si>
  <si>
    <t>Magui</t>
  </si>
  <si>
    <t>O sea ¿Cómo? @GeraldinePonceM si es positiva a Covid pero @BeatrizGMuller ¿No? 🤔🤔🤔 RT @vladimirgaleana: La Diputada Geraldine Ponce también tiene COVID al igual que el Presidente. Caray, que coincidencia tan lamentable que ambos padezcan de lo mismo cuando Doña Beatriz no presenta síntomas hasta ahora!!</t>
  </si>
  <si>
    <t>Cape St. Luke</t>
  </si>
  <si>
    <t>Siempre regresaré... Antichairos, sarcástica, neoliberal y capitalista.</t>
  </si>
  <si>
    <t>Optimus Neo 🤖</t>
  </si>
  <si>
    <t>Pasu makina, así va a salir el chamaco de la @GeraldinePonceM y del kk's!!! 🤣🤣🤣</t>
  </si>
  <si>
    <t>https://pbs.twimg.com/media/Esoe65pWMAErfjW.jpg</t>
  </si>
  <si>
    <t>En algún lugar de un gran país</t>
  </si>
  <si>
    <t>Soy Liberal. Un pasajero del tiempo que va. Anti AnMaLo 100% y no vengan a mamar aquí chairos. NO ME UNO A NINGUN COLECTIVO, NO ESTEN MMNDO!!!</t>
  </si>
  <si>
    <t>FedeTrollAzul</t>
  </si>
  <si>
    <t>Que no se supone que una servidora pública como @GeraldinePonceM no debería bloquear a ciudadanos en esta bonita red social llamada Tuirer???</t>
  </si>
  <si>
    <t>Escandinavo residiendo en Mx | La Divina Comedia no me dio risa | Abuebo Chismecito!!! | BI: Bien Inútil.</t>
  </si>
  <si>
    <t>Chintololo</t>
  </si>
  <si>
    <t>quien da más lástima? @BeatrizGMuller q sabe le ponen el cuerno pero ahí sigue la interesada? la patética vendida de @GeraldinePonceM q tiene q aguantar las bolas arrugadas del #amlo y ya hasta la contagio? o el mentiroso de @lopezobrador_ q desvía la atención con #Covid_19 ??</t>
  </si>
  <si>
    <t>gamer</t>
  </si>
  <si>
    <t>Giorgio Domatore di Chairos (CaribbeanGeorge)</t>
  </si>
  <si>
    <t>Te hablan Titaaaaa… @GeraldinePonceM RT @DomadorDChairos: #AmloCovidiota</t>
  </si>
  <si>
    <t>https://twitter.com/DomadorDChairos/status/1353913477606346752
https://twitter.com/HenryKasarq/status/1353830801641758721</t>
  </si>
  <si>
    <t>Acapulco de Juárez, Guerrero</t>
  </si>
  <si>
    <t>Mexicano, Anti-AMLO, Anti-Chairos Hediondos. Por un Mexico Libre de Pendejos. Sígueme y te sigo. 5a Cta que me cierran por mentársela al puto sudaca Epigmenio.</t>
  </si>
  <si>
    <t>José Antonio Velasco M.</t>
  </si>
  <si>
    <t>#NoLeCreo se fue de vacaciones con @GeraldinePonceM</t>
  </si>
  <si>
    <t>https://pbs.twimg.com/media/EsoO3nIXYAMu0ps.jpg</t>
  </si>
  <si>
    <t>Comitán de Domínguez, Chiapas</t>
  </si>
  <si>
    <t>Hijo de Dios||Ing. Agrónomo||Productor||Promuevo trabajar en la familia como eje motriz de la sociedad||</t>
  </si>
  <si>
    <t>¿¿¡¡Que partido es tan pendejo en poner a una ex reina de belleza para competir por un cargo de elección popular!!?? Exacto, @PartidoMorenaMx ¿ Verdad @GeraldinePonceM ? Y tú también @MarkoCortes @AccionNacional no te hagas pendejo.</t>
  </si>
  <si>
    <t>G. Sanchez</t>
  </si>
  <si>
    <t>Entras a redes sociales y si ves que es tendencia @GeraldinePonceM es porque es el cuertnot* de doña @BeatrizGMuller , y si vemos que es TT Andrea Legarreta, es porque a huevo dijo una pendejada. RT @El_Universal_Mx: Los comentarios de las conductoras Martha Figueroa y Andrea Legarreta con respecto al caso Nath Campos, han desatado una serie de comentarios en su contra</t>
  </si>
  <si>
    <t>https://twitter.com/el_universal_mx/status/1353843843825860611
https://www.eluniversal.com.mx/espectaculos/martha-figueroa-y-andrea-legarreta-molestan-por-comentarios-sobre-denuncia-de-nath</t>
  </si>
  <si>
    <t>Uno siempre vuelve al sitio donde fue feliz. Y por eso volví al https://twitter.com. Dios, mi abogado de oficio.</t>
  </si>
  <si>
    <t>A @PartidoMorenaMx le funcionó la fórmula, ahí tienes a los mediocres, @SergioMayerb y @SusanaHarp, o la ex reina de belleza @GeraldinePonceM o el delincuente @mijisoficial, a un boxeador sin experiencia como @terrible100 y ya no le sigo porque me dieron ganas de vomitar... RT @proceso: La alianza PRI-PAN-PRD, desesperada y perdida en el estado, se encuentra “en pláticas” para lanzar a la exMiss Universo 1991, Lupita Jones, como su candidata por el gobierno de Baja california.</t>
  </si>
  <si>
    <t>https://twitter.com/proceso/status/1353782091092262914
http://ow.ly/Qrb450DhPaH</t>
  </si>
  <si>
    <t>✨Mαrι📱 ⚔️ 💋</t>
  </si>
  <si>
    <t>#MexicoSeHunde y la Zopi más preocupada porque @GeraldinePonceM tiene covid... 🙄 o sea ¿quien se lo pego a quien? #TantitaMadre 🤘🏼</t>
  </si>
  <si>
    <t>https://pbs.twimg.com/media/EsoLUhyU0AM1Laq.jpg</t>
  </si>
  <si>
    <t>VxM | LegiOnLine | Aliados | Implacables | Se trata de sumar 🚫Anti Amlo🚫Anti 4T</t>
  </si>
  <si>
    <t>Héctor del Rancho</t>
  </si>
  <si>
    <t>¿Por qué los está bloqueando @GeraldinePonceM?</t>
  </si>
  <si>
    <t>Político MX</t>
  </si>
  <si>
    <t>“Revisen la tendencia actual con mi nombre y dense cuenta de las agresiones que las mujeres vivimos, el uso y robo de mis fotos para fines calumniosos”: @GeraldinePonceM se quejó de que @TwitterSeguro no logra combatir el acoso que allí ocurre.</t>
  </si>
  <si>
    <t>https://politico.mx/_/rTS</t>
  </si>
  <si>
    <t>https://pbs.twimg.com/media/EsoKx6kXEAAlfeM.jpg</t>
  </si>
  <si>
    <t>La política explicada NL: http://politico.mx/newsletter/ YT: http://bit.ly/3e1gvpL Telegram: http://t.me/politicomx App: http://bit.ly/2rr7406 IG: http://bit.ly/2VFyGLj</t>
  </si>
  <si>
    <t>http://www.politico.mx</t>
  </si>
  <si>
    <t>Aprendiz de Brujo® 💎 (No soy Periodista)</t>
  </si>
  <si>
    <t>Nuevo logro desbloqueado, me bloqueo @GeraldinePonceM la novia del Presidente.. 😁</t>
  </si>
  <si>
    <t xml:space="preserve">Cuajimalpa de Morelos. </t>
  </si>
  <si>
    <t>Ingeniero,Padre,Hijo,Hermano, Amigo del amigo,Divorciado pero no solo, Padre orgulloso de 3 hijos. #AntiAMLO #TodosSomosLatinus</t>
  </si>
  <si>
    <t>AlexCLR</t>
  </si>
  <si>
    <t>Creo que @GeraldinePonceM salió panzona y @lopezobrador_ huyó de la zopi @BeatrizGMuller, también iba a continuar con su pendejada con #BanxicoIndependiente y creo que ya se la hicieron de pedo @JoeBiden y el gobierno americano @ChrisLandauUSA huyó y claro los terroristas de</t>
  </si>
  <si>
    <t>García, Nuevo León</t>
  </si>
  <si>
    <t>Apartidista, Políticamente Incorrecto, Médico, Poeta y Loco Mexicano Universal, Socialista Irredento y Creyente de La Ciencia Y del Creador</t>
  </si>
  <si>
    <t>lessivoemmanuel</t>
  </si>
  <si>
    <t>Ya valiste @lopezobrador_ te cayo el Chahuistle, también que se haga el estudio @fernandeznorona @GeraldinePonceM</t>
  </si>
  <si>
    <t>https://pbs.twimg.com/media/EsoAlXvWMAQ0DIs.jpg</t>
  </si>
  <si>
    <t>El 2021</t>
  </si>
  <si>
    <t>Love is in the air @GeraldinePonceM ?? RT @GeraldinePonceM: Le deseo de todo corazón, una pronta y completa recuperación a nuestro presidente @lopezobrador_, con el favor de Dios y las oraciones de millones de mexicanos que lo esperamos sano y más fuerte para seguir llevando esperanza y bienestar a nuestro país. ¡Ánimo, Presidente!</t>
  </si>
  <si>
    <t>https://twitter.com/geraldineponcem/status/1353508796962750464</t>
  </si>
  <si>
    <t>Mexico, D.F.</t>
  </si>
  <si>
    <t>Con corazon de pollo. Soy un pobre venadito que habita en la serraniaa...No me gustan las carnitas ni los chiclets de menta.</t>
  </si>
  <si>
    <t>Dorheny Cayetano</t>
  </si>
  <si>
    <t>Efectivamente urge revisar los casos de violencia que permite @TwitterSeguro hacia mujeres que estamos haciendo política como mi compañera @GeraldinePonceM que ha sido objeto de injurias en varias ocasiones. #DiaNaranja RT @GeraldinePonceM: A propósito de los intentos de @TwitterSeguro para combatir el acoso que permiten en su plataforma, revisen la tendencia actual con mi nombre y dense cuenta de las agresiones que las mujeres vivimos, el uso y robo de mis fotos para fines calumniosos. ¿TwitterSeguro? #DíaNaranja</t>
  </si>
  <si>
    <t>https://twitter.com/GeraldinePonceM/status/1353790336108138496</t>
  </si>
  <si>
    <t xml:space="preserve">←A la izquierda. </t>
  </si>
  <si>
    <t>Diputada Federal en la #LXIVLegislatura. #Xalapeña, #Hermana de en 1/2, #Obradorista, #Morena en ese orden!</t>
  </si>
  <si>
    <t>http://sil.gobernacion.gob.mx/Librerias/pp_PerfilLegislador.php?Referencia=9223825</t>
  </si>
  <si>
    <t>Valentín López</t>
  </si>
  <si>
    <t>No es por intriga, pero a la zopilota @BeatrizGMuller le están haciendo de chivo los tamales, el kks @lopezobrador_ y @GeraldinePonceM @ChumelTorres @callodehacha @lopezdoriga @brozoxmiswebs @CarlosLoret</t>
  </si>
  <si>
    <t>https://pbs.twimg.com/media/Esn5tc-UUAAE3Tk.jpg</t>
  </si>
  <si>
    <t xml:space="preserve"> Michoacan, Mexico</t>
  </si>
  <si>
    <t>Se gana y se pierde, se sube y se baja, se nace y se muere. Y si la historia es tan simple, ¿por qué te preocupas tanto?.</t>
  </si>
  <si>
    <t>Bananon</t>
  </si>
  <si>
    <t>#AmloCovidiota y de los peores! Ya sea por el lado que finja tener Covid para salirse del radar un rato; como por infectar a los padres de la primera meretriz @GeraldinePonceM</t>
  </si>
  <si>
    <t>Rané 🐸</t>
  </si>
  <si>
    <t>Pues claro, duermen en camas separadas. Ahora que chequen a @GeraldinePonceM RT @ElFinanciero_Mx: #ÚLTIMAHORA Beatriz Gutiérrez Müller da negativo a COVID-19.</t>
  </si>
  <si>
    <t>https://twitter.com/ElFinanciero_Mx/status/1353707621161680896
https://www.elfinanciero.com.mx/nacional/beatriz-gutierrez-mueller-da-negativo-a-covid-19</t>
  </si>
  <si>
    <t>pic.twitter.com/36RlBrWPf8</t>
  </si>
  <si>
    <t>Puebla, México</t>
  </si>
  <si>
    <t>Human, after all.</t>
  </si>
  <si>
    <t>Ricardo Guillermo Tirado</t>
  </si>
  <si>
    <t>Me parece una excelente mancuerna. Con @GeraldinePonceM en la capital y @MiguelANavarroQ en el Gobierno del Estado, la vida de la gente se va a transformar para bien.</t>
  </si>
  <si>
    <t>https://diariodelpueblo.mx/2021/01/25/geraldine-ponce-iria-por-tepic-y-navarro-por-nayarit-formula-ganadora-segun-encuestas/?fbclid=IwAR3iwfU8sorRck2YINfBoP2PbcXaKCObdbTBVBrjbNf2HbX_Ra15EPbfy_I</t>
  </si>
  <si>
    <t xml:space="preserve">Ciudad de México </t>
  </si>
  <si>
    <t>Empresario y Consultor Político.</t>
  </si>
  <si>
    <t>Andrés Salinas</t>
  </si>
  <si>
    <t>Si @BeatrizGMuller salio negativa, perooooo @lopezobrador_ y @GeraldinePonceM salieron positivos, quien estuvo con quien? Sera tan grande la casualidad? Que habra pasado @BaksLive @HatsumiNonaka @GlodeJo07??? RT @El_Universal_Mx: Beatriz Gutiérrez Müller dio negativo a una prueba Covid-19: Sánchez Cordero</t>
  </si>
  <si>
    <t>https://twitter.com/El_Universal_Mx/status/1353751970490757120
http://eluni.mx/fnz0q</t>
  </si>
  <si>
    <t>https://pbs.twimg.com/media/Esl-OXSWMAYNYMh.jpg</t>
  </si>
  <si>
    <t>Sigo creyendo,a pesar de todo, que la gente es realmente buena en el corazón . . .</t>
  </si>
  <si>
    <t>Jajajajaja que gran casualidad que @GeraldinePonceM y @lopezobrador_ se contagiaron....... Dice el dicho : piensa mal y acertaras...... Ni modos habra valido la pena el idilio de amor... RT @Alfanges: Los tórtolos están enfermitos. @GeraldinePonceM @lopezobrador_</t>
  </si>
  <si>
    <t>https://twitter.com/Alfanges/status/1353832249024794625</t>
  </si>
  <si>
    <t>https://pbs.twimg.com/media/EsnHQGPXAAEUD1x.jpg</t>
  </si>
  <si>
    <t>el Rick</t>
  </si>
  <si>
    <t>Conclusiones: @lopezobrador_ tuvo contacto con @GeraldinePonceM y si @BeatrizGMuller salió negativo quiere decir que ya ni la toca :( #AmloCovidiota</t>
  </si>
  <si>
    <t>https://pbs.twimg.com/media/EsnuzqCW4AEkw8E.jpg</t>
  </si>
  <si>
    <t>Gato sobre piedra</t>
  </si>
  <si>
    <t>Workaholic con toque de gamer-cinéfilo-melómano-seriefilo-geek and proud bitches!</t>
  </si>
  <si>
    <t>⁦@GeraldinePonceM⁩ yo no te tengo como tendencia pero si a ⁦@AndreaLegarreta⁩ que le tunden tus huestes de Morena. ¿Te unes a ellos o a Andrea?</t>
  </si>
  <si>
    <t>https://pbs.twimg.com/media/EsnuWqgW4AA7rbz.jpg</t>
  </si>
  <si>
    <t>Raymundo M. Alpizar</t>
  </si>
  <si>
    <t>Entonces @GeraldinePonceM cómo está ?? RT @RicardoAlemanMx: Esposa del presidente, @BeatrizGMuller da negativo a prueba de Covid-19: Segob ▶</t>
  </si>
  <si>
    <t>https://twitter.com/ricardoalemanmx/status/1353827486027624450
http://bit.ly/3qUoETJ</t>
  </si>
  <si>
    <t>https://pbs.twimg.com/media/EsmJrCeXEAIEuBj.jpg</t>
  </si>
  <si>
    <t>San Francisco Ca</t>
  </si>
  <si>
    <t>Puma de Corazón</t>
  </si>
  <si>
    <t>http://m.facebook.com/Elhuyyuyuy?_rdr</t>
  </si>
  <si>
    <t>Cortés Meza Martín</t>
  </si>
  <si>
    <t>Para la derecha y los supuestos intelectuales es importante hablar sobre el contagio de @GeraldinePonceM y @lopezobrador_ que de lo verdaderamente importante. Así las cosas con estos 🙄. #FuerzaPresidente #FuerzaAMLO</t>
  </si>
  <si>
    <t>Guitarrista🇲🇽 |</t>
  </si>
  <si>
    <t>Tía Netas</t>
  </si>
  <si>
    <t>Estimada @BeatrizGMuller me da mucho gusto saber que salió negativo en la prueba #COVID19 , ahora falta saber el resultado de la mujer del presidente @GeraldinePonceM .</t>
  </si>
  <si>
    <t>Nadie como tu tía para decirte la neta de las netas</t>
  </si>
  <si>
    <t>Yuki</t>
  </si>
  <si>
    <t>El resultado negativo en la prueba de covid de la esposa del presidente no es relevante como para que hubiese sido siquiera tomado en cuenta por los medios. Mejor que busquen el resultado de la prueba de la diputada @GeraldinePonceM, ella está en mucho mayor riesgo de contagio.</t>
  </si>
  <si>
    <t>SDP Noticias</t>
  </si>
  <si>
    <t>La diputada @GeraldinePonceM ha sido constantemente acosada en Twitter</t>
  </si>
  <si>
    <t>https://www.sdpnoticias.com/nacional/geraldine-ponce-diputada-morena-acoso-agresiones-en-twitter.html</t>
  </si>
  <si>
    <t>El periódico digital más leído en México</t>
  </si>
  <si>
    <t>http://sdpnoticias.com/</t>
  </si>
  <si>
    <t>Manuel Castillejos</t>
  </si>
  <si>
    <t>Y como todo un cobarde no arrobas a la diputada @GeraldinePonceM. Por personas como ustedes es que la oposición es solo una minoría microscópica. RT @Garcimonero: Geraldine...si se muere el viejito yo te consuelo.</t>
  </si>
  <si>
    <t>https://twitter.com/garcimonero/status/1353506654105563138</t>
  </si>
  <si>
    <t xml:space="preserve"> Nueva República Mexicana</t>
  </si>
  <si>
    <t>Me divierte la Investigación cientifica. Molecular Epidemiologist from Mexico.</t>
  </si>
  <si>
    <t>Lau Herrera 🇲🇽 ⭐💋💅🏻 💃</t>
  </si>
  <si>
    <t>Jajajaja no puedo con este meme @lopezobrador_ @BeatrizGMuller @GeraldinePonceM</t>
  </si>
  <si>
    <t>https://pbs.twimg.com/media/EsnfD1aXEAARnXZ.jpg</t>
  </si>
  <si>
    <t>Duquesa opositora de los mij@s en Pejelandia Anti AMLO y anti 4T mamá, agente de viajes, zumba fitness, make up lover &amp; nails art 🙊🇲🇽⭐👯🤩💅🏻✈️😝💯💋🔥</t>
  </si>
  <si>
    <t>Carlitos Salinas</t>
  </si>
  <si>
    <t>Se dice que @GeraldinePonceM le pidió una prueba de fidelidad a @lopezobrador_, y como el presidente no se anda con medias tintas y es muy dramático, se contagia de #Covid_19, pero @BeatrizGMuller sale negativa del virus... Que mayor prueba de amor?</t>
  </si>
  <si>
    <t>https://pbs.twimg.com/media/EsnY_RyWMAYfi6J.jpg</t>
  </si>
  <si>
    <t>La mano que mece la Cuna</t>
  </si>
  <si>
    <t>Veronica Guerrero</t>
  </si>
  <si>
    <t>Hoy, el nombre de “Geraldine” fue tendencia y con los comentarios tan misóginos que aparecen nos damos cuenta que la lucha contra la violencia de género sigue. ¡Todo el apoyo diputada! @GeraldinePonceM #YaBasta #DiaNaranja</t>
  </si>
  <si>
    <t>Nayarit</t>
  </si>
  <si>
    <t>Juan charrasquedo</t>
  </si>
  <si>
    <t>Tanto pinche pedo con la @GeraldinePonceM ¿Mamara rico? Para mi que es pendeja RT @A_ausdenRuthen: Ando preocupado por su salud, diputada @GeraldinePonceM.</t>
  </si>
  <si>
    <t>https://twitter.com/A_ausdenRuthen/status/1353782436040237057</t>
  </si>
  <si>
    <t>Timbawa, Indonesia</t>
  </si>
  <si>
    <t>🐀🐌🐍🐷</t>
  </si>
  <si>
    <t>El Cara de Hembra</t>
  </si>
  <si>
    <t>Hola @GeraldinePonceM.</t>
  </si>
  <si>
    <t>pic.twitter.com/7OF2MuLKjh</t>
  </si>
  <si>
    <t>St John of the Lakes, Jalisco. Melómano.</t>
  </si>
  <si>
    <t>ALFANGE #RxM #VM #NESSIOS #ObservatorioCiudadano</t>
  </si>
  <si>
    <t>Los tórtolos están enfermitos. @GeraldinePonceM @lopezobrador_</t>
  </si>
  <si>
    <t>En las pesadillas  Chairas</t>
  </si>
  <si>
    <t>Ya sigo rt y mg saludos. Si te sigo y no me sigues, eventualmente te cepillo. ⚠️Fuera Chairos⚠️</t>
  </si>
  <si>
    <t>Está bien bonita. Si @GeraldinePonceM pudo ¿Por qué una Miss Universo no? RT @alarcondibujos: Lupita Jones, candidata del PAN. . Y se burlaban de Morena.</t>
  </si>
  <si>
    <t>https://twitter.com/alarcondibujos/status/1353828979627667458</t>
  </si>
  <si>
    <t>El Lider.</t>
  </si>
  <si>
    <t>Ni pex... @BeatrizGMuller ( - ) @GeraldinePonceM ( + ) #amlocovid</t>
  </si>
  <si>
    <t>https://pbs.twimg.com/media/EsnD4zgW8AE15st.jpg</t>
  </si>
  <si>
    <t>Morelia, Michoacán de Ocampo</t>
  </si>
  <si>
    <t>J u l i á n S a i n t M a r t í n(ADEPT)</t>
  </si>
  <si>
    <t>Ya se lo bajaron a la @GeraldinePonceM RT @MiguelTorrucoG: Me es grato comunicarles que me registré para contender a una diputación federal por #MORENA en el distrito 6 de la Ciudad de México, La Magdalena Contreras y Álvaro Obregón ¡¡¡Si a tu casa llega la encuesta, Miguel Torruco Garza es la respuesta!!! EL DEBER DE HACER LO CORRECTO</t>
  </si>
  <si>
    <t xml:space="preserve">The Cosmodrome </t>
  </si>
  <si>
    <t>F O R E R U N N E R, Fotógrafo de retrato. Ilustrador. Me sigue costando un huevo desabrochar brasieres y dejar de jugar Destiny2 V A N G U A R D S A I N T</t>
  </si>
  <si>
    <t>https://www.artstation.com/juliansaintmartin</t>
  </si>
  <si>
    <t>Diana</t>
  </si>
  <si>
    <t>Qué extraño que @BeatrizGMuller haya dado negativo, esperemos que @GeraldinePonceM @lopezobrador_ se encuentren estables y se recuperen lo antes posible. #4taTransformacion #AMLO #amlocovid #Covid_19 #Covid_19mx</t>
  </si>
  <si>
    <t>¿Me podrían decir que marca de grasa para bolear zapatos se pone en la lengua esta mujer (@GeraldinePonceM) amante de la geriatria presidencial, entiéndase @lopezobrador_? Es para un estudio de mercado, porque esos zapatos tan boleados no los calza ni Obama! RT @GeraldinePonceM: Buenas noticias para México. 🇲🇽 Nuestro presidente no deja de trabajar y en los próximos dos meses, Rusia enviará 24 millones de dosis de la vacuna Sputnik V.</t>
  </si>
  <si>
    <t>https://twitter.com/GeraldinePonceM/status/1353745958736019456
https://twitter.com/lopezobrador_/status/1353732942904709123</t>
  </si>
  <si>
    <t>Josécito</t>
  </si>
  <si>
    <t>Fue @GeraldinePonceM 😁😁😁 RT @jesusnicolas: Salta una duda. ¿Quién contagio al presidente?.</t>
  </si>
  <si>
    <t>https://twitter.com/jesusnicolas/status/1353539088217993217</t>
  </si>
  <si>
    <t>No confundas mi actitud con mi personalidad...</t>
  </si>
  <si>
    <t>🇧🇻DENUNCIAGOB🇧🇻</t>
  </si>
  <si>
    <t>En el supuesto caso que #ElRifas estuviera positivo a COVID-19 fue irresponsable al viajar en avión y a entrevistarse con candidatos de su partido entre ellas @GeraldinePonceM #LopezEnfermoMental #LopezMiente #LopezMiserable</t>
  </si>
  <si>
    <t>https://pbs.twimg.com/media/EsmwRPzVcAUF9Vd.jpg</t>
  </si>
  <si>
    <t>🇧🇻Halvdelen af danske anti-Cacas og dens korruption🇧🇻</t>
  </si>
  <si>
    <t>Darth Sadeus</t>
  </si>
  <si>
    <t>Hasta que por fin el #kks le sale algo positivo en su vida #AMLOEnfermoMental #AMLOCorrupto, espero no darle mis condolencia a la #primeradama @GeraldinePonceM</t>
  </si>
  <si>
    <t>Smogtitlan</t>
  </si>
  <si>
    <t>Viajero urbano, freky de la tecnologia, politico amateur, acido, vivo y disfruto la locura, no soy lo que tu papá quiere para ti</t>
  </si>
  <si>
    <t>MiMo Cabaretero</t>
  </si>
  <si>
    <t>Oiga @GeraldinePonceM la Sra. @BeatrizGMuller salió negativa ¿Y usted? .</t>
  </si>
  <si>
    <t>San Luis Potosí, México</t>
  </si>
  <si>
    <t>Sé hacer burbujas de saliva con la boca. Soy de pensamiento disléxico y tengo una cabra llamada Leopolda. Tuiteo desde un anexo. #ForeverPendejo.</t>
  </si>
  <si>
    <t>http://www.tuputamadre.com</t>
  </si>
  <si>
    <t>Pinche Va Por México</t>
  </si>
  <si>
    <t>López ya le había aplicado la vacuna a @GeraldinePonceM</t>
  </si>
  <si>
    <t>#LaLigaMitica</t>
  </si>
  <si>
    <t>❤️HijitaDeLaShingada❤️</t>
  </si>
  <si>
    <t>Pues alguien ya anda haciendo limpieza sanitizante... @GeraldinePonceM.</t>
  </si>
  <si>
    <t>https://pbs.twimg.com/media/EsmmbOnU0AElw_K.jpg</t>
  </si>
  <si>
    <t>Arturo Jacques</t>
  </si>
  <si>
    <t>¿Alguien sabe si nuestra querida diputada @GeraldinePonceM ha dado positivo a COVID-19?</t>
  </si>
  <si>
    <t>Abogado de @DerechoUNAMmx | LL.M. de @ColumbiaLaw | @CLS_LaLSA y @cumexsa 2018-2019 | Sonorense | Apartidista</t>
  </si>
  <si>
    <t>Pipo Cervantes</t>
  </si>
  <si>
    <t>Ni la fea, pero varonil esposa, y ahora ni la vulgar, pero sexosa amantita, me quieren cerca. @beatrizgmuller @geraldineponcem . Benditas redes sociales.</t>
  </si>
  <si>
    <t>https://pbs.twimg.com/media/EsmizfEUYAAtakb.jpg</t>
  </si>
  <si>
    <t>Abogado de la Libre. Maestro de Columbia. Mexicanisimo. Futbolerisimo. Juventino.</t>
  </si>
  <si>
    <t>BañeseCochambres</t>
  </si>
  <si>
    <t>Obvio la zopiputa @BeatrizGMuller jamas tendes covid xq ni toca al vgt de @lopezobrador_ ... cuiden a mi @GeraldinePonceM</t>
  </si>
  <si>
    <t>https://pbs.twimg.com/media/EsmesuAWMAAgSI8.jpg</t>
  </si>
  <si>
    <t>PARODIA - Diputado roñoña bañese !!</t>
  </si>
  <si>
    <t>Carlos Enrique</t>
  </si>
  <si>
    <t>Cuando les dijeron que tenían que hacerle la prueba de Covid a la Primera Dama, no supieron leer entre líneas. Debía de hacerse la prueba a @GeraldinePonceM RT @Foro_TV: Beatriz Gutiérrez Müller, esposa de AMLO, da negativo a COVID-19</t>
  </si>
  <si>
    <t>https://twitter.com/Foro_TV/status/1353718753830318080
http://ow.ly/hRB450DhtBG</t>
  </si>
  <si>
    <t>https://pbs.twimg.com/media/EslgCB_XcAEmAMI.jpg</t>
  </si>
  <si>
    <t>Chihuahua</t>
  </si>
  <si>
    <t>Bibliotecario de lo inútil.</t>
  </si>
  <si>
    <t>Alex Romero</t>
  </si>
  <si>
    <t>¿Y a todo esto, nadie piensa en la salud de @GeraldinePonceM?</t>
  </si>
  <si>
    <t>#maratonista x6 #lifelover #libertario #oftalmo #antichairo</t>
  </si>
  <si>
    <t>Arne</t>
  </si>
  <si>
    <t>Ando preocupado por su salud, diputada @GeraldinePonceM.</t>
  </si>
  <si>
    <t>Labores agroindustriales. Ingeniero de profesión. He trabajado en la administración pública (Parodia)</t>
  </si>
  <si>
    <t>Israel Camacho</t>
  </si>
  <si>
    <t>Soñé que le invitaba un elotito a @GeraldinePonceM, pero me faltó preguntarle cómo le gustaba, si con mayonesa o con crema, si con chile del que pica o del que no pica 🤔.</t>
  </si>
  <si>
    <t>San Luis Potosi</t>
  </si>
  <si>
    <t>Veintiséis años cosidos a retazos.</t>
  </si>
  <si>
    <t>Evelyn Olvera</t>
  </si>
  <si>
    <t>Las "sugerencias" de que la diputada federal @GeraldinePonceM debe hacerse la prueba de COVID-19 porque el Presidente @lopezobrador_ dio positivo y otras mofas son en realidad agresiones. Eso es violencia política de género.</t>
  </si>
  <si>
    <t>Guadalajara, Jalisco</t>
  </si>
  <si>
    <t>Periodista. Editora en EL INFORMADOR @informador</t>
  </si>
  <si>
    <t>https://www.informador.mx/staff/eolvera</t>
  </si>
  <si>
    <t>Poninas</t>
  </si>
  <si>
    <t>claro! ni la toca nomás del puro asco! háganle la prueba a la @GeraldinePonceM! que a ésa sí le da sus buenos arrimones!  RT @El_Universal_Mx: Beatriz Gutiérrez Müller dio negativo a una prueba Covid-19: Sánchez Cordero</t>
  </si>
  <si>
    <t>https://pbs.twimg.com/media/EsmUT9LXYAED1pM.jpg
https://pbs.twimg.com/media/Esl-OXSWMAYNYMh.jpg</t>
  </si>
  <si>
    <t>Florida, USA</t>
  </si>
  <si>
    <t>Contra la 4T, todo; con la 4T, nada.</t>
  </si>
  <si>
    <t>La diabla ツ♎</t>
  </si>
  <si>
    <t>Ella si @BeatrizGMuller @GeraldinePonceM ella no RT @El_Universal_Mx: Beatriz Gutiérrez Müller dio negativo a una prueba Covid-19: Sánchez Cordero</t>
  </si>
  <si>
    <t>Mi madre la Constitución mi padre el derecho!</t>
  </si>
  <si>
    <t>Ramza Mondragon 😷</t>
  </si>
  <si>
    <t>También @BeatrizGMuller, pero nadie dice que pedo con @GeraldinePonceM, esa es la que nos debería preocupar. RT @LaMismaTats: Doña @M_OlgaSCordero salió negativa. Ven, López is faking.</t>
  </si>
  <si>
    <t>https://twitter.com/LaMismaTats/status/1353770635793735681</t>
  </si>
  <si>
    <t xml:space="preserve">
Behind the veil</t>
  </si>
  <si>
    <t>Inválido emocional De una vez aviso que voy a andar de mamón But there's no sense crying over every mistake you just keep on trying till you run out of cake</t>
  </si>
  <si>
    <t>The Influencerman</t>
  </si>
  <si>
    <t>Por qué no me da @GeraldinePonceM a mi en lugar de Andrés Manuel🥺🥺🥺 RT @bethcastilloo: Por qué no me da COVID a mi en lugar de Andrés Manuel🥺🥺🥺</t>
  </si>
  <si>
    <t>https://twitter.com/bethcastilloo/status/1353504935611162624</t>
  </si>
  <si>
    <t>Bello, bello, bello, peligroso y bello mucho más de la cuenta No DM</t>
  </si>
  <si>
    <t>Rey Fifí 👑</t>
  </si>
  <si>
    <t>Disculpe, doña @BeatrizGMuller, los papás de @GeraldinePonceM dieron positivo por #Covid_19. Digo, nada más se lo comento de manera casual. Buen día. - Palabra del Rey</t>
  </si>
  <si>
    <t>Reino de Fifilandia</t>
  </si>
  <si>
    <t>Rey Fifí y de sangre azul. Mi Senescal es @RealistaHiper.</t>
  </si>
  <si>
    <t>Salvador Rodríguez</t>
  </si>
  <si>
    <t>El día de ayer se volvió TT el "Geraldine" ¿ quien es Geraldine ? Es una diputada por el estado de nayarit, sujetos como @Garcimonero se han encargado de denostar la persona de @GeraldinePonceM, URGE frenar ese tipo de conductas. Ccp. @luisghernan @gabrielguerrac @julioastillero</t>
  </si>
  <si>
    <t>https://pbs.twimg.com/media/EsmGGW9XMAwjdRd.jpg</t>
  </si>
  <si>
    <t>Torreón, Coahuila de Zaragoza</t>
  </si>
  <si>
    <t>MIENTRAS @FELIPECALDERON SIGA SUELTO, MÉXICO NO TENDRÁ PAZ</t>
  </si>
  <si>
    <t>Triste que Nayarit sea noticia por @GeraldinePonceM y su "Cercanía" a @lopezobrador_. Qué pasó @AntonioEcheG no hay nada que dejes para el estado; yo vote por ti y creí en ti, llene planillas de apoyo para ti y nunca te pedí nada. Esta vez si te pido que hagas algo por el estado</t>
  </si>
  <si>
    <t>Cristobal.C</t>
  </si>
  <si>
    <t>Geraldine @GeraldinePonceM gracias por la aportación científica de que el Viagra no te hace inmune al Coronavirus</t>
  </si>
  <si>
    <t>Tenochtitlán</t>
  </si>
  <si>
    <t>I am a gentleman, I am a critic of the government it doesn’t matter the president or the politic vision, I love travel.</t>
  </si>
  <si>
    <t>Ara Romero</t>
  </si>
  <si>
    <t>Oye @TwitterSeguro tienes una TENDENCIA que hace un acoso directo y puntual en contra de la diputada @GeraldinePonceM y NO HACES NADA! ccp @twitter @jack @TwitterLatAm @TwitterMexico #HazAlgoTwitter</t>
  </si>
  <si>
    <t>Escandón I Sección</t>
  </si>
  <si>
    <t>👩‍🔬 Ingeniera en Biotecnología egresada de la UNAM #RedEnDefensaDeAMLO #CdMX #EsUnHonorEstarConObrador</t>
  </si>
  <si>
    <t>EL GUAPO©</t>
  </si>
  <si>
    <t>Beatriz Gutiérrez Müller @BeatrizGMuller da negativo de covid, ahora háganle la prueba a Geraldine Ponce @GeraldinePonceM y saldrá positiva.</t>
  </si>
  <si>
    <t>Valles, S.L.P. México</t>
  </si>
  <si>
    <t>Amo a México por lo tanto me caga el abuelo. ¿Algo más que decir?</t>
  </si>
  <si>
    <t>Reina de Izcalli</t>
  </si>
  <si>
    <t>La que va a dar positivo es @GeraldinePonceM RT @ElFinanciero_Mx: #ÚLTIMAHORA Beatriz Gutiérrez Müller da negativo a COVID-19.</t>
  </si>
  <si>
    <t>Cuautitlán Izcalli, México</t>
  </si>
  <si>
    <t>la reina madre de Cuautitlan Izcalli desde 1973 Chingue a su madre López Obrador.</t>
  </si>
  <si>
    <t>El Pinche Orco</t>
  </si>
  <si>
    <t>Aquí está la clara muestra de que #LaZopilota @BeatrizGMuller no duerme a lado del vgt de @lopezobrador_ , mejor háganle la prueba a @GeraldinePonceM ahí debe de estar la verdad RT @Foro_TV: Beatriz Gutiérrez Müller, esposa de AMLO, da negativo a COVID-19</t>
  </si>
  <si>
    <t>https://twitter.com/foro_tv/status/1353718753830318080
http://ow.ly/hRB450DhtBG</t>
  </si>
  <si>
    <t>Helvete</t>
  </si>
  <si>
    <t>Jodón por naturaleza, deportista, melómano, sneaker lover y sobre todo #AntiAMLO #𝕷𝖆𝕷𝖎𝖌𝖆𝕸𝖎𝖙𝖎𝖈𝖆 #VxM #TeamBrozo</t>
  </si>
  <si>
    <t>Saúl Nava</t>
  </si>
  <si>
    <t>Por cierto, no se ha leído a las 'feministas de ocasión' de los medios de desinformación pronunciarse contra el acoso y las mentiras hacia @GeraldinePonceM por su amistad y trabajo con el presidente. Esto también implica un daño moral a @BeatrizGMuller. Hipócritas sinvergüenzas.</t>
  </si>
  <si>
    <t>Valle de Bravo, México</t>
  </si>
  <si>
    <t>Empresario Cannabico. Activista Político. Verde que te quiero verde @Tolucannabis420</t>
  </si>
  <si>
    <t>BJ Connor</t>
  </si>
  <si>
    <t>Bien raro, @GeraldinePonceM salió premiada con #COVID19 y @BeatrizGMuller no. Eso suena a un revolcón nayarita. RT @proceso: Sin abundar en detalles, Sánchez Cordero aseveró que la esposa del presidente , Beatriz Gutiérrez Müller, salió negativa a la prueba del covid-19 y está bien.</t>
  </si>
  <si>
    <t>https://twitter.com/proceso/status/1353734436374896642
http://ow.ly/VD8D50DhzCN</t>
  </si>
  <si>
    <t>Telegram: @JuanitoConnor parody</t>
  </si>
  <si>
    <t>Esperemos que @GeraldinePonceM se encuentre bien. Debería hacerse una prueba de Covid. Me imagino que ella ha tenido más contacto con @lopezobrador_ que @BeatrizGMuller</t>
  </si>
  <si>
    <t>JR 🦖</t>
  </si>
  <si>
    <t>Oiga doña Zopi @BeatrizGMuller, qué feo debe ser que salga usted negativo a COVID y @GeraldinePonceM no, ¿verdad? #VirusVSParasito</t>
  </si>
  <si>
    <t>El derechairo fifí más maravilloso de internet. 😎</t>
  </si>
  <si>
    <t>...oye .#Andrés... #TenTuCovid.!! .@BeatrizGMuller®️ .@lopezobrador_®️ .@GeraldinePonceM .#NoLeCreo que .#tuvocovid  RT @proceso: Sin abundar en detalles, Sánchez Cordero aseveró que la esposa del presidente , Beatriz Gutiérrez Müller, salió negativa a la prueba del covid-19 y está bien.</t>
  </si>
  <si>
    <t>https://pbs.twimg.com/media/Esl5mIqWMAcv-5t.jpg</t>
  </si>
  <si>
    <t>Daniel Herrera</t>
  </si>
  <si>
    <t>¿Y cómo estará de salud @GeraldinePonceM ?</t>
  </si>
  <si>
    <t>Torreón, Coahuila, México</t>
  </si>
  <si>
    <t>Escritor y sufrido padre. Autor de Quisiera ser John Fante y Huevos calientes. Norteño. Tuits a título personal. No discuto en Twitter, no insista.</t>
  </si>
  <si>
    <t>http://www.puratolvanera.blogspot.com</t>
  </si>
  <si>
    <t>El César</t>
  </si>
  <si>
    <t>¿Se imaginan? La NO-Primera Dama @BeatrizGMuller ya dio negativo, pero que tal y si @GeraldinePonceM da positivo ¿Curioso caso sería, no? Teoría digna del @pasquinmx</t>
  </si>
  <si>
    <t>Michoacán de Ocampo, México</t>
  </si>
  <si>
    <t>♍|👷‍♂️|🚧|☕|👨‍👩‍👧|📝|⚽| Purista, hasta que el Orden Mundial diga lo contrario.</t>
  </si>
  <si>
    <t>Twitter Query: -filter:retweets -filter:replies from:CitlaHM</t>
  </si>
  <si>
    <t>Citlalli Hernández M</t>
  </si>
  <si>
    <t>Estamos frente a una nueva conquista social: exigir que se piense en las audiencias como ciudadanos que forman parte del desarrollo de un país, pensar que el acceso a la información y a contenidos de calidad también caben en la lógica de justicia social.</t>
  </si>
  <si>
    <t>http://www.excelsior.com.mx/opinion/citlalli-hernandez/una-nueva-conquista-ciudadana/1429117</t>
  </si>
  <si>
    <t>Militante de tiempo completo en funciones de Secretaria General del @partidomorenamx | Sangre roja, corazón a la izquierda ★ | Una nueva forma de hacer política</t>
  </si>
  <si>
    <t>http://citlallihernandez.mx</t>
  </si>
  <si>
    <t>Eso pregúntaselo a las fiscalías de otros estados; en el caso de la Ciudad, conoces la calidad moral de @ErnestinaGodoy_. Por supuesto coincidió con el tema del INE, pero no tiene nada que ver con que intentes limpiar la imagen de quien representa lo peor de la política en la Cd RT @fernandeznorona: Bienvenida la diferencia. Solo que lo hubieran desaforado desde el inicio y no a meses de la elección. Son lentos, lentos para actuar. ¿Algún día lo harán contra priistas y panistas? ¿O también difieres del juicio político a @lorenzocordovav y @CiroMurayamaINE?</t>
  </si>
  <si>
    <t>https://twitter.com/fernandeznorona/status/1353898172796465152
https://twitter.com/citlahm/status/1353857414899015681</t>
  </si>
  <si>
    <t>Difiero en esta ocasión con @fernandeznorona. Persecución fue lo que @mauriciotoledog se dedicó a hacer con compañeros de morena y otras personas en Coyoacán. Celebro que haya pruebas suficientes de parte de la @FiscaliaCDMX para solicitar a @mx_diputados se le retire el fuero</t>
  </si>
  <si>
    <t>Una tuitera como Miriam June emite opiniones políticas, es sancionada y aún no le restituyen su cuenta. En cambio, un doctor “bromea” sobre cómo asesinar al presidente, suspende horas la cuenta y al otro día como si nada. ¿Qué pasó ahí @TwitterMexico? RT @_MarianaE_: Actualización:👇🏽 @TwitterMexico ha regresado la cuenta del doctor @drdargaray que ayer domingo difundió en redes sociales cómo matar al presidente de México @lopezobrador_ luego de dar positivo a #Covid19. 👇🏽 Increíble que hayan regresado su cuenta y no haya perdido la cédula.</t>
  </si>
  <si>
    <t>https://twitter.com/_marianae_/status/1353788688828948481</t>
  </si>
  <si>
    <t>https://pbs.twimg.com/media/EsmfoO9W4AQNkFy.jpg</t>
  </si>
  <si>
    <t>FGJ CdMx va contra ex jefe delegacional de Coyoacán por enriquecimiento ilícito. @ErnestinaGodoy_ , informó que se registró un "incremento inexplicable en patrimonio, lo que resulta incongruente" con los ingresos de Mauricio Toledo.</t>
  </si>
  <si>
    <t>https://www.milenio.com/policia/mauricio-toledo-fgj-cdmx-jefe-delegacional-coyoacan</t>
  </si>
  <si>
    <t>Con sorpresa me entero del fallecimiento de un compañero de lucha, de Avelino Méndez. Lo lamento muchísimo. Mis condolencias para sus amigos, compañeros y familiares. RT @Claudiashein: Hasta siempre a nuestro querido compañero, subsecretario de gobierno Avelino Méndez Rangel. Tu entrega, alegría y entusiasmo siempre estará con nosotros. A tu familia, amig@s, compañer@s nuestro cariño sincero. Hasta siempre amigo querido.</t>
  </si>
  <si>
    <t>https://twitter.com/claudiashein/status/1353717839618830341</t>
  </si>
  <si>
    <t>https://pbs.twimg.com/media/EslfM0aXMAIV33S.jpg</t>
  </si>
  <si>
    <t>¿Será que respetan su política contra el abuso, @TwitterSeguro? RT @TwitterSeguro: Nuestra política contra el comportamiento abusivo señala, entre otras cosas, que no toleramos contenido que promueva, incite o exprese el deseo o esperanza de que una persona o grupo de personas se mueran, sufran daños físicos graves o se vean afectados por enfermedades severas.</t>
  </si>
  <si>
    <t>https://twitter.com/twitterseguro/status/1353507120424112129</t>
  </si>
  <si>
    <t>Si @TwitterSeguro no ha podido ubicar a los difusores de odio, le doy un tip: échenle ojo el ht ‘no le creo’ promovido por la derecha mexicana; ahí andan quienes encuentran diversión en la vileza, ruindad y miseria humana. Ah, más fácil, llegarán a este tuit 👇🏽 #FuerzaPresidente</t>
  </si>
  <si>
    <t>Todavía hay gente que cree que el presidente ya se vacunó, porque pues es el presidente. Les cuesta trabajo acostumbrarse a la nueva ética política y a la convicción de no tener privilegios. Se entiende, pero a veces me pregunto: ¿les molesta ese nuevo enfoque del poder?</t>
  </si>
  <si>
    <t>El pueblo contigo, presidente. ¡Pronta recuperación! Que los síntomas sigan leves. Te queremos mucho. RT @lopezobrador_: Lamento informarles que estoy contagiado de COVID-19. Los síntomas son leves pero ya estoy en tratamiento médico. Como siempre, soy optimista. Saldremos adelante todos. Me representará la Dra. Olga Sánchez Cordero en las mañaneras para informar como lo hacemos todos los días.</t>
  </si>
  <si>
    <t>Felicidades a la @AALMAC_Mx por este 2do Encuentro Nacional de Mujeres impulsando la 4T, ‘mujeres caminando juntas’. Y felicidades a su anfitriona, Jerónima Toledo Villalobos, presidenta municipal de San Cristobal de las Casas. RT @AALMAC_Mx: Alcaldesas de #AALMAC participan en el 2do. Encuentro Nacional de #Mujeres Impulsando la #4T “Mujeres Caminando Juntas”, que se realiza en el municipio de San Cristóbal de las Casas, #Chiapas, teniendo como anfitriona a la alcaldesa Jerónima Toledo Villalobos. #SomosAALMAC</t>
  </si>
  <si>
    <t>https://twitter.com/AALMAC_Mx/status/1353066312986025986</t>
  </si>
  <si>
    <t>https://pbs.twimg.com/media/EscOn2XVcAEstJk.jpg</t>
  </si>
  <si>
    <t>En el siglo XIX, al saberse derrotados los conservadores, se arrojaron en brazos de Maximiliano de Habsburgo. En nuestra actualidad, los políticos que el pueblo sacó del poder buscan que los rescate el nuevo Presidente de EE.UU ¿Y la soberanía y la dignidad? No la conocen.</t>
  </si>
  <si>
    <t>pic.twitter.com/smYbnHBFWy</t>
  </si>
  <si>
    <t>Es urgente que @TwitterMexico transparente sus criterios para la suspensión de cuentas de diversos usuarios. No puedo entender cómo dan de baja a usuarias que emiten su opinión política y no a colectivos que promueven el acoso en está red social y en otras.</t>
  </si>
  <si>
    <t>Más allá de los malsanos deseos que profesan nuestros opositores, el @GobiernoMX va a privilegiar el diálogo, el respeto y la cooperación con el Gobierno de EE. UU., en los temas de migración, recuperación económica y lucha contra la pandemia. Soberanía SÍ, sumisión NO.</t>
  </si>
  <si>
    <t>pic.twitter.com/nOU8F3iVq3</t>
  </si>
  <si>
    <t>Lo dicho: hay una altísima vocación democrática en el presidente @lopezobrador_; gobierna para todos, con todos y a pesar de algunos. La #oposicióntóxica y sus aliados jamás reconocerán que a pesar de los agravios que recibe, AMLO no actúa con mezquindad sino con amor al pueblo. RT @EnriqueAlfaroR: Hoy tuve una muy buena reunión con el presidente de México, @lopezobrador_. Tratamos temas de primera importancia para Jalisco y pudimos restablecer un espacio de diálogo respetuoso e institucional.</t>
  </si>
  <si>
    <t>https://twitter.com/enriquealfaror/status/1351962737358811139</t>
  </si>
  <si>
    <t>https://pbs.twimg.com/media/EsMeuY1W8AAOAsC.jpg</t>
  </si>
  <si>
    <t>Estamos pendientes de lo sucedido a @sandyaguilera. Un abrazo a ella, sus compañeros periodistas y familiares. RT @Hans2412: Lo último que sabemos de nuestra amiga @sandyaguilera</t>
  </si>
  <si>
    <t>https://twitter.com/Hans2412/status/1351940736976117764
https://twitter.com/PDesplazadosMX/status/1351938524531056642</t>
  </si>
  <si>
    <t>Del nuevo lote de la vacuna Pfizer contra el Covid-19 que se destinará a la Ciudad de México, se contará con 5 mil 200 dosis que se aplicarán al personal de salud de los hospitales particulares a partir de este miércoles.</t>
  </si>
  <si>
    <t>https://www.jornada.com.mx/2021/01/20/capital/028n1cap</t>
  </si>
  <si>
    <t>https://pbs.twimg.com/media/EsLO9moVcAcIlmF.jpg</t>
  </si>
  <si>
    <t>En la arena política no hubo tregua para pensarnos como una nación diversa pero solidaria que hiciera todo lo posible por salir adelante y pasarla menos mal. Algunas de las voces de oposición al gobierno, en sus filias y fobias, han sido mezquinas.</t>
  </si>
  <si>
    <t>https://m.excelsior.com.mx/opinion/citlalli-hernandez/vacunas-para-que/1427828</t>
  </si>
  <si>
    <t>Twitter Query: -filter:retweets -filter:replies @CitlaHM</t>
  </si>
  <si>
    <t>El PathoK</t>
  </si>
  <si>
    <t>Pero vamos bien ... @jgnaredo @CitlaHM @mario_delgado RT @avieu: México 🇲🇽 ocupa el lugar 53 de 53 en el manejo de la pandemia ccp @lopezobrador_ @HLGatell</t>
  </si>
  <si>
    <t>https://twitter.com/avieu/status/1354151333192843265</t>
  </si>
  <si>
    <t>https://pbs.twimg.com/media/EsrpdYFVkAEOMWF.jpg</t>
  </si>
  <si>
    <t>#Politólogo #Godin</t>
  </si>
  <si>
    <t>https://t.me/C_SSM</t>
  </si>
  <si>
    <t>Les hablan @mario_delgado @jgnaredo @RicardoMonrealA @CitlaHM @JohnMAckerman @AntonioAttolini RT @Antor333: Los fanáticos de Amlo, hoy están a prueba. En un principio se burlaron de la pandemia, igual que Amlo. Repitieron hasta la saciedad, mueran los privilegios de la clase dominante. Hoy piden la mejor atención medica privada para Amlo, cueste lo que cueste. Congruencia les pido.</t>
  </si>
  <si>
    <t>https://twitter.com/Antor333/status/1354098933539106818</t>
  </si>
  <si>
    <t>Rosa María Hernández Espejo🌹</t>
  </si>
  <si>
    <t>Como regidora de cultura en el Ayto de #Veracruz 1998-2000,impulsé el apoyo a la #cultura local desde todas sus manifestaciones.Hay experiencia. @RicardoMonrealA @mario_delgado @martibatres @gibranrr @CitlaHM @JaimeHumbertoPB @javicavi83 @Ricardo_Exsome @XochitlZagalMX</t>
  </si>
  <si>
    <t>https://pbs.twimg.com/media/Esrpg7iVEAAZg_i.jpg</t>
  </si>
  <si>
    <t>Veracruz, Mexico</t>
  </si>
  <si>
    <t>Mujer, humanista, periodista y académica. Totalmente entregada y enamorada de #Veracruz #ConElPuebloTodoSinElPuebloNada #EsUnHonorEstarConObrador</t>
  </si>
  <si>
    <t>http://espejohernandez.blogspot.com</t>
  </si>
  <si>
    <t>Je je... @lopezobrador_ @Edd_Campe @CitlaHM @mario_delgado @AntonioAttolini RT @LuisArm28147370: 🤔 Como habrá pasado la noche el chocoflan haciendo fila por el oxígeno para su "apa"</t>
  </si>
  <si>
    <t>https://twitter.com/LuisArm28147370/status/1354093183769079809</t>
  </si>
  <si>
    <t>aldo farrugia</t>
  </si>
  <si>
    <t>todos lo sabíamos, la prioridad de estos parásitos no es la gente, sino ellos mismos y sus votos. @HLGatell @mario_delgado @m_ebrard @CitlaHM @martibatres @zoerobledo @Claudiashein @lopezobrador_ #AmloParasitoInhumano</t>
  </si>
  <si>
    <t>https://es-us.noticias.yahoo.com/la-cientifica-de-harvard-que-explica-como-lopez-gatell-ha-hecho-una-gestion-criminal-de-la-pandemia-en-mexico-020139158.html</t>
  </si>
  <si>
    <t>http://www.comunal.social</t>
  </si>
  <si>
    <t>El Versacruzano</t>
  </si>
  <si>
    <t>. A #morena va de nuez mi reclamo de otros meses pues cumpliendo nomás es mucho ruido y pocas nueces ¡Bomba! @CENMorenaMX @CitlaHM #TomenChocolate</t>
  </si>
  <si>
    <t>Boca del Río, Veracruz</t>
  </si>
  <si>
    <t>Cantautor y versador de veras. Orgulloso P4Triota Cu4Troteísta. Obradorista jarocho y mexicano.</t>
  </si>
  <si>
    <t>http://www.youtube.com/ByronBarranco/</t>
  </si>
  <si>
    <t>Lo más relevante de la mañanera @RicardoMonrealA @mario_delgado @martibatres @gibranrr @CitlaHM @JaimeHumbertoPB @Ricardo_Exsome @XochitlZagalMX @javicavi83 @CuauhtmocBecer @EnriqueDussel @CFigueroaDDHH @JoseFelipeAgui3 @TarianaCloutier @Lopezobrador_ @M_OlgaSCordero @m_ebrard</t>
  </si>
  <si>
    <t>https://pbs.twimg.com/media/EsreQ1UUUAIa8Sp.jpg</t>
  </si>
  <si>
    <t>Elia BB</t>
  </si>
  <si>
    <t>En el noticiario #MOMENTUM de @RompevientoTV @PdPagina revelan que el director de @TwitterMexico no solo fue asesor del #PAN también de #DiegoFernándezdeCevallos así que vayamos migrando a otra red social o exigir que se apegue a las leyes de #Mexico @HistoriaPedro @CitlaHM</t>
  </si>
  <si>
    <t>Sé que es más fácil la descalificación generalizada, como la generalización de una opinión no calificada para la tolerancia. EBB</t>
  </si>
  <si>
    <t>http://elcolordelaletra.blogspot.com</t>
  </si>
  <si>
    <t>REVOCACION DE MANDATO JUAREZ 2020</t>
  </si>
  <si>
    <t>La herencia de ⁦⁦@armando_cabada⁩ #FueraCabada ⁦@IEEChihuahua⁩ ⁦@INEMexico⁩ ⁦@Pajaropolitico⁩ ⁦⁦@juarez_sos⁩ ⁦@jesus_salaiz⁩ ⁦@proceso⁩ ⁦@paezvarela⁩ ⁦@mario_delgado⁩ ⁦@PartidoMorenaMx⁩ ⁦@CitlaHM⁩</t>
  </si>
  <si>
    <t>https://pbs.twimg.com/media/EsrZfZ9WMAEeE-C.jpg</t>
  </si>
  <si>
    <t>Juárez, Chihuahua</t>
  </si>
  <si>
    <t>CIUDADANOS DE CD. JUAREZ SOLICITAMOS LA REVOCACIÓN DE MANDATO DE HECTOR ARMANDO CABADA ALVÍDREZ POR SU PESIMO DESEMPEÑO COMO ALCALDE INDEPENDIENTE 2016-2021</t>
  </si>
  <si>
    <t>LEONOR FONTAINE</t>
  </si>
  <si>
    <t>#FuerzaPresidente @marff48 @DeFuen3 @rasocas @irmadlc1 @Armando8arreiro @MiguelA85141151 @Fugue2C @semujmorenacmx @Principerra @Fugue2C @anaizquirda2018 @CitlaHM @JovenesObrador @ingrolis @nurialpik @carlosrochapela @catiuxB @CarlosRezayAra2 @AMmoBJ_ @europaenllamas @Brau56 RT @Regia_Alexandra: MI PRESIDENTE AMLO ⁦@lopezobrador_⁩ ...recuerda que NO estás solo , millones de mexicanos estamos orando por ti , deseando tu pronta recuperación... ten ánimo y siente el AMOR del TIGRE , te esperamos CAMPEÓN !👏👊 Bendiciones!🇲🇽♥️🙏 #FuerzaPresidente #AmloNoEstasSolo</t>
  </si>
  <si>
    <t>https://twitter.com/Regia_Alexandra/status/1354132343229829120</t>
  </si>
  <si>
    <t>https://pbs.twimg.com/media/EsrYMDqVoAAzqep.jpg</t>
  </si>
  <si>
    <t>MÉXICO</t>
  </si>
  <si>
    <t>Feminista, Lopezobradorista</t>
  </si>
  <si>
    <t>Fabián Gómez Hdez</t>
  </si>
  <si>
    <t>Fuerte la 4T con el senador @armentaconmigo ccp @CruzPerzCuellar @mtra_lupita @imeldacastromx @MaAntoniaCar @CaraveoBertha @ClauBalderasMX @RocioAbreuA @CitlaHM @SusanaHarp @_MarthaGuerrero @mariamercedg @galaz_eva @monicaferbal @LillyTellez RT @contrapartemx: #LaRadiografía @armentaconmigo: el influyente senador que marca la agenda política Anote usted el nombre del influyente senador Alejandro Armenta como el adversario a vencer... 🔴Mira el video completo👉  Por: @fabiangomezh</t>
  </si>
  <si>
    <t>https://twitter.com/contrapartemx/status/1353984681386119169
https://cutt.ly/6j0ZwOS</t>
  </si>
  <si>
    <t>pic.twitter.com/C1qznlVkgE</t>
  </si>
  <si>
    <t>Director en el Corporativo http://Contraparte.mx, bendecido eternamente por Dios</t>
  </si>
  <si>
    <t>http://www.contraparte.mx</t>
  </si>
  <si>
    <t>De esto sí hay que hablar Romper el silencio sobre la violencia sexual es romper complicidades.Sobre #NathCampos y #UNISTMO  @JesusRCuevas @alejandromurat @delfinagomeza @RocioMR_08 @Elisa_ZepedaOax @EufrosinaCruz @CitlaHM @msalguerb @lydiacachosi @CIMOEA</t>
  </si>
  <si>
    <t>La Bitácora Política</t>
  </si>
  <si>
    <t>Hablando de Guadalajara: Es amago o exabrupto?. Manda decir la regidora de Guadalajara @ClaudDelgadillo al @PartidoMorenaMx, léase @mario_delgado y @CitlaHM @CENMorenaMX, que si no va de candidata a Gdl, como no va, que “ahí se ven, que mejor descansa”. Gracias por participar.</t>
  </si>
  <si>
    <t>Occidente, Pacifico y Centro, México</t>
  </si>
  <si>
    <t>Periodismo Digital 2.0 análisis del entorno político sin mesura y sin límites, por @BienInformad15</t>
  </si>
  <si>
    <t>https://www.facebook.com/www.elentornopolitico.com.mx/</t>
  </si>
  <si>
    <t>ALBERTO</t>
  </si>
  <si>
    <t>Deja de decir tonterías, queremos candidatos de calidad, no la basura que están tomando. @CitlaHM resultó florero @mario_delgado es un traidor RT @CitlaHM: Estamos frente a una nueva conquista social: exigir que se piense en las audiencias como ciudadanos que forman parte del desarrollo de un país, pensar que el acceso a la información y a contenidos de calidad también caben en la lógica de justicia social.</t>
  </si>
  <si>
    <t>https://twitter.com/citlahm/status/1354093222788644869
http://www.excelsior.com.mx/opinion/citlalli-hernandez/una-nueva-conquista-ciudadana/1429117</t>
  </si>
  <si>
    <t>Diles que si se visten de payasos te vas a Chiapas.</t>
  </si>
  <si>
    <t>rocco</t>
  </si>
  <si>
    <t>Estoy DECEPCIONADO¡ El MESÍAS BANANERO no está enfermó (Del cerebro si, pero del virus no) de COVID19 Todo para chantajear y manipular a,sus MASCOTAS NACAS Elevar su decaida popularidad y así obtener más simpatizantes= votos Verdad? @CitlaHM @_VicenteSerrano @MemeYamelCA</t>
  </si>
  <si>
    <t>ANTI AMLO ANTI4T</t>
  </si>
  <si>
    <t>Hormigas somos todos, solo cambia el hormiguero.光</t>
  </si>
  <si>
    <t>Morena;@mario_delgado @CitlaHM siguen dejando las puertas abiertas a lo que juraron combatir, cada día pierden su orientación y compromiso. Los intereses de grupos siguen pisoteando a los Militantes y Simpatizantes. @CENMorenaMX @HistoriaPedro @diazpol</t>
  </si>
  <si>
    <t xml:space="preserve">Nibiru. </t>
  </si>
  <si>
    <t>Mis principios no coinciden con mis fines. All we need is love. All we need is hope. 光 #Obradorista #LatinoamericaUnida #NeoliberalismoNuncaMas #Bgners光Fam</t>
  </si>
  <si>
    <t>Oiga "Secre"corruptaza @CitlaHM Si su MESÍAS DICTADOR LÍDER SUPREMO se tardó 13 años en terminar la Licenciatura reprobado economía y terminando con promedió de 7 (dicho por el mismo) Usted todavía tiene esperenzas¡¡ Tiene oportunidad¡¡ Superarse, crecer y mejorar, no creé?</t>
  </si>
  <si>
    <t>#FuerzaPresidente @marff48 @DeFuen3 @rasocas @irmadlc1 @Armando8arreiro @MiguelA85141151 @Fugue2C @semujmorenacmx @Principerra @Fugue2C @anaizquirda2018 @CitlaHM @JovenesObrador @ingrolis @nurialpik @carlosrochapela @catiuxB @CarlosRezayAra2 @AMmoBJ_ @europaenllamas @Brau56 RT @guruchuirer: A este pseudo médico se le debería retirar su licencia para dar consulta ¿Estás de acuerdo?</t>
  </si>
  <si>
    <t>https://twitter.com/guruchuirer/status/1353829285551861763
http://ow.ly/Rh4s30rua0O</t>
  </si>
  <si>
    <t>Patricia</t>
  </si>
  <si>
    <t>👏👏👍👍 @fernandeznorona @PartidoMorenaMx qesMAYORÍA×DESICIÓN DELPUEBLO DMÉXICO desde2018 NOlegislaron en suMomento p/NOPERMITIR ARBITROELECTORAL AUTORITARIO,PROTAGONISTA YQNO ES IMPARCIAL,SIN CREDIBILIDAD @mario_delgado @CitlaHM @CENMorenaMX @DiputadosMorena @MorenaSenadores RT @Reforma: El diputado Gerardo Fernández Noroña presentó una solicitud de juicio político contra Lorenzo Córdova y Ciro Murayama, por coartar libertad de expresión del Presidente Andrés Manuel López Obrador #RegístrateGratis</t>
  </si>
  <si>
    <t>https://twitter.com/Reforma/status/1353896692035317760
https://reforma.com/F56D5r</t>
  </si>
  <si>
    <t>👏👏👍👍 @fernandeznorona @PartidoMorenaMx qesMAYORÍA×DESICIÓN DELPUEBLO DMÉXICO desde2018 NOlegislaron en suMomento p/NOPERMITIR ARBITROELECTORAL AUTORITARIO,PROTAGONISTA YQNO ES IMPARCIAL,SIN CREDIBILIDAD @mario_delgado @CitlaHM @CENMorenaMX @DiputadosMorena @MorenaSenadores RT @Lennonbecqer: Lorenzo Córdova se burla del pueblo de México En nuestras narices va a cometer fraude con sus aliados del Prian Buena noticia que ya haya alguien que los quiera parar Diputado Fernández Noroña tiene todo el respaldo de los millones que nos sentimos agraviados por el INE</t>
  </si>
  <si>
    <t>https://twitter.com/Lennonbecqer/status/1354078362927587330</t>
  </si>
  <si>
    <t>https://pbs.twimg.com/media/EsqnGEOXAAYjf9_.jpg</t>
  </si>
  <si>
    <t>👏👏👍👍 @fernandeznorona @PartidoMorenaMx qesMAYORÍA×DESICIÓN DELPUEBLO DMÉXICO desde2018 NOlegislaron en suMomento p/NOPERMITIR ARBITROELECTORAL AUTORITARIO,PROTAGONISTA YQNO ES IMPARCIAL,SIN CREDIBILIDAD @mario_delgado @CitlaHM @CENMorenaMX @DiputadosMorena @MorenaSenadores RT @_VicenteSerrano: MORENA TIENE TODO EL PODER PARA QUITAR A @lorenzocordovav Y A @CiroMurayamaINE: @fernandeznorona</t>
  </si>
  <si>
    <t>https://twitter.com/_VicenteSerrano/status/1353998692643172352
https://youtu.be/c6LHhe4smDc</t>
  </si>
  <si>
    <t>👏👍Reportero Miguel Arzate @PartidoMorenaMx qesMAYORÍA×DESICIÓN DELPUEBLO DMÉXICOdesde2018 NOlegislaron en suMomento p/NOPERMITIR ARBITROELECTORAL AUTORITARIO,PROTAGONISTA YQNO ES IMPARCIAL,SIN CREDIBILIDAD @mario_delgado @CitlaHM @CENMorenaMX @DiputadosMorena @MorenaSenadores RT @CeliaCC11: Bien por el reportero Miguel Arzate, levantó una queja en derechos humanos en contra de Lorenzo Córdova por censurar su libertad de expresión, el INE se está tomando atribuciones que no le corresponden como pedir dirección, sueldo de reporteros, parece la Santa inquisición!! 🤨🤨</t>
  </si>
  <si>
    <t>https://twitter.com/CeliaCC11/status/1353958344617304066</t>
  </si>
  <si>
    <t>#FuerzaPresidente @marff48 @DeFuen3 @rasocas @irmadlc1 @Armando8arreiro @MiguelA85141151 @Fugue2C @semujmorenacmx @Principerra @Fugue2C @anaizquirda2018 @CitlaHM @JovenesObrador @ingrolis @nurialpik @carlosrochapela @catiuxB @CarlosRezayAra2 @AMmoBJ_ @europaenllamas @Brau56 RT @jgnaredo: ¿Acaso la Sociedad Europea de Cardiología (@escardio y @ESCardioNews) considera ético que uno de sus embajadores en Twitter, el Dr. Diego Araiza (@drdargaray) le haya deseado la muerte al Presidente de México? ¿No se van a pronunciar al respecto?</t>
  </si>
  <si>
    <t>https://twitter.com/jgnaredo/status/1354097326290300930
https://twitter.com/escardio/status/1299301218892816384</t>
  </si>
  <si>
    <t>👏👏👍👍 @fernandeznorona @PartidoMorenaMx qesMAYORÍA×DESICIÓN DELPUEBLO DMÉXICO desde2018 NOlegislaron en suMomento p/NOPERMITIR ARBITROELECTORAL AUTORITARIO,PROTAGONISTA YQNO ES IMPARCIAL,SIN CREDIBILIDAD @mario_delgado @CitlaHM @CENMorenaMX @DiputadosMorena @MorenaSenadores RT @revistapolemon: Por meterse con @lopezobrador_ y las mañaneras, @fernandeznorona va con todo contra @lorenzocordovav y @CiroMurayamaINE 😱 El diputado del PT presentó una demanda en el Congreso para que ambos consejeros del @INEMexico sean juzgados políticamente👇</t>
  </si>
  <si>
    <t>https://twitter.com/revistapolemon/status/1353910308205637634
https://bit.ly/39kp53L</t>
  </si>
  <si>
    <t>Feministas 4T</t>
  </si>
  <si>
    <t>Échenle un ojo👀 a la columna semanal de la compañera @CitlaHM 💜 sobre la importancia de la democratización de los medios en la transformación de la vida pública👇🏼 RT @CitlaHM: Estamos frente a una nueva conquista social: exigir que se piense en las audiencias como ciudadanos que forman parte del desarrollo de un país, pensar que el acceso a la información y a contenidos de calidad también caben en la lógica de justicia social.</t>
  </si>
  <si>
    <t>https://twitter.com/CitlaHM/status/1354093222788644869
http://www.excelsior.com.mx/opinion/citlalli-hernandez/una-nueva-conquista-ciudadana/1429117</t>
  </si>
  <si>
    <t>Feministas que luchan en la 4T. «Por el bien de todxs, primero las pobres» #Feministas4TContraLaViolencia 💜</t>
  </si>
  <si>
    <t>Santa Gomez 🇲🇽 #RedAMLOVE</t>
  </si>
  <si>
    <t>Excelente artículo , de la perredisacion de MORENA. @Claudiashein @CitlaHM @OficialMorenaVC @mario_delgado RT @HistoriaPedro: De verdad ya no quería seguir escribiendo de este tema, pero las acciones de @mario_delgado me obligaron. Tercera y última entrega:</t>
  </si>
  <si>
    <t>https://twitter.com/HistoriaPedro/status/1354045486290767872
https://www.jornada.com.mx/2021/01/26/opinion/016a1pol</t>
  </si>
  <si>
    <t>Ciudadana comprometida con las mejores acciones por el bien de México.</t>
  </si>
  <si>
    <t>#FuerzaPresidente @marff48 @DeFuen3 @rasocas @irmadlc1 @Armando8arreiro @MiguelA85141151 @Fugue2C @semujmorenacmx @Principerra @Fugue2C @anaizquirda2018 @CitlaHM @JovenesObrador @ingrolis @nurialpik @carlosrochapela @catiuxB @CarlosRezayAra2 @AMmoBJ_ @europaenllamas @Brau56</t>
  </si>
  <si>
    <t>https://pbs.twimg.com/media/Esq-a6JW8AICyNM.png</t>
  </si>
  <si>
    <t>Erick Valdepeñas</t>
  </si>
  <si>
    <t>Les recomiendo mucho la columna de @CitlaHM "...en esta era digital, una conquista pendiente es el pleno acceso a la información, el respeto a nuestros derechos como audiencias y la promoción de la paz en medios de comunicación y redes sociales." #CiberEspacioMX RT @CitlaHM: Estamos frente a una nueva conquista social: exigir que se piense en las audiencias como ciudadanos que forman parte del desarrollo de un país, pensar que el acceso a la información y a contenidos de calidad también caben en la lógica de justicia social.</t>
  </si>
  <si>
    <t xml:space="preserve">Estado de México </t>
  </si>
  <si>
    <t>Abogado | Maestrando en Comunicación Política y Pública | Cumbias | Tlalnepantla| @clubleonfc | ✍🏽 @GlucMx y @MXidentidad | 4T | Ajustando el ciberespacio</t>
  </si>
  <si>
    <t>#FuerzaPresidente @marff48 @DeFuen3 @rasocas @irmadlc1 @Armando8arreiro @MiguelA85141151 @Fugue2C @semujmorenacmx @Principerra @Fugue2C @anaizquirda2018 @CitlaHM @JovenesObrador @ingrolis @nurialpik @carlosrochapela @catiuxB @CarlosRezayAra2 @AMmoBJ_ @europaenllamas @Brau56 RT @Revolucion3_0: Don Manuel García, el hombre más longevo del mundo elogia a AMLO; “ningún Presidente hace eso de saludar a los pobres”</t>
  </si>
  <si>
    <t>https://twitter.com/Revolucion3_0/status/1354081791527833602
http://ow.ly/xv3230ru1mD</t>
  </si>
  <si>
    <t>Macruz</t>
  </si>
  <si>
    <t>Para Atención del Sr Mario Delgado Carrillo su usted es una persona con DIGNIDAD espero que sea prudente este Sr Julio César Moreno Rivera es un Mercenario de la Política y TRAIDOR le esto por favor,@mario_delgado ,@CitlaHM ,@GuadalupeMorRub ,@venceslav ,@fAtila_198973</t>
  </si>
  <si>
    <t>https://pbs.twimg.com/media/Esq7QMGXAAEGk-f.jpg</t>
  </si>
  <si>
    <t>soy Veracruzano,desde joven fui rebelde siempre en contra de la Corrupción e IMPUNIDAD y tengo una Licenciatura porque no hubo para mas</t>
  </si>
  <si>
    <t>"Licenciada"¡¡ Perdón¡¡ Me equivoque¡¡ "Secre" @CitlaHM Q opina de q su LÍDER SUPREMO no compró las vacunas q dijo si había comprado? Q nos dice, del falso contagio del MESÍAS BANANERO? No q tengo Derecho a estar informado? Y usted calla como MOMIA¡¡</t>
  </si>
  <si>
    <t>Veanlo bien, este es el paraiso que @lopezobrador_ quiere para México, de la mano de @fernandeznorona @yeidckol @CitlaHM @mario_delgado @martibatres , ahi es a donde nos quieren llevar, el dinero y el poder solo en ellos, y los demas peleando por pan para su diversion, eso es... RT @la_cardiel: Ahh por cierto encontré estas fotos en mi cámara... a ver “ socialistas” que de bueno tiene cuba que piensan que nos puede convenir estar igual... ahí un hospital normal sin pandemia... y sus calles...</t>
  </si>
  <si>
    <t>EduardoH</t>
  </si>
  <si>
    <t>Debe pedirse la expulsión de @mario_delgado de #Morena, está haciendo un desastre del partido, dando candidaturas a lo más corrupto del pvem y prd. 🤦🏻‍♂️🤦🏻‍♂️🤦🏻‍♂️🤦🏻‍♂️ ¿Dirá algo Secretaría General @CitlaHM? ¿Le corresponde, no?</t>
  </si>
  <si>
    <t>Vendedor de #Café ☕ y 🎂, UNAM, política, medios, cultura; música 🎸; 🚲 impulso campaña #NoTiresColillas</t>
  </si>
  <si>
    <t>El campo y la pesca, nuestra potencial que la 4T ha comenzado a reactivar. @RicardoMonrealA @mario_delgado @martibatres @gibranrr @CitlaHM @JaimeHumbertoPB @Ricardo_Exsome @XochitlZagalMX @CFigueroaDDHH @JoseFelipeAgui3 @TarianaCloutier @Lopezobrador_ @M_OlgaSCordero</t>
  </si>
  <si>
    <t>https://pbs.twimg.com/media/EsqytOsVkAEcZSq.jpg</t>
  </si>
  <si>
    <t>CG MG</t>
  </si>
  <si>
    <t>Es la especialidad de @lopezobrador_ @AntonioAttolini @CitlaHM @RicardoMonrealA @mario_delgado , etc, etc, etc... RT @paobresi: El gobierno no debiera tener la capacidad de reservar información de interés público por ninguna circunstancia. No lo hacen por "seguridad nacional" sino para tapar su ineptitud.</t>
  </si>
  <si>
    <t>https://twitter.com/paobresi/status/1354089202183528451</t>
  </si>
  <si>
    <t>No me interesa ser el queda bien con nadie...</t>
  </si>
  <si>
    <t>! LA VERDAD !</t>
  </si>
  <si>
    <t>Toda la vida este parásito de López Obrador y su familia se an mantenido de nuestro dinero pura porquería de abortos. @Gabybarra_ @CitlaHM @mario_dico50 @  RT @tripa1974: Los borregos dice SI a lo que diga AMLO, y repita Morena! No a la tecnología y Ciencia! No a la cultura! No a la reforma educativa! No a FODEN! No al tratamiento de quimioterapias! NO al cubrebocas! No a energías renovables y limpias! SI a Dos Bocas, Aeropuerto, y Tren Maya!</t>
  </si>
  <si>
    <t>https://twitter.com/tripa1974/status/1354084819324559360</t>
  </si>
  <si>
    <t>https://pbs.twimg.com/media/EsquXT-XIAEM_-j.jpg
https://pbs.twimg.com/media/Esqr9pAXYAMcjDR.png</t>
  </si>
  <si>
    <t>Siempre con la verdad ante todo y como buen mexicano ver por mis hermanos y compatriotas</t>
  </si>
  <si>
    <t>Todos es la palabra de nuestra filosofía @RicardoMonrealA @mario_delgado @martibatres @gibranrr @CitlaHM @JaimeHumbertoPB @Ricardo_Exsome @XochitlZagalMX @javicavi83 @EnriqueDussel @CFigueroaDDHH @JoseFelipeAgui3 @TarianaCloutier @Lopezobrador_ @M_OlgaSCordero @m_ebrard</t>
  </si>
  <si>
    <t>https://pbs.twimg.com/media/Esqt2BnXIAIRzlT.jpg</t>
  </si>
  <si>
    <t>LinaRosario</t>
  </si>
  <si>
    <t>Quién en su sano juicio llevo al congreso hacer el ridículo a esta lela tellez, no tiene culpa ella sino quien le dio cabida @PartidoMorenaMx para que se fijen a quien meten @mario_delgado @CitlaHM RT @DiegodelBosqueV: Ya Senadora, deje de hacer el ridículo.</t>
  </si>
  <si>
    <t>https://twitter.com/DiegodelBosqueV/status/1354082100627054592
https://twitter.com/LillyTellez/status/1354074671411458048</t>
  </si>
  <si>
    <t>https://pbs.twimg.com/media/Esqqfn5XYAUHsVi.jpg</t>
  </si>
  <si>
    <t>¡ALTO al acoso sexual, al abuso de poder y a la violencia de género en las instituciones...! El camino para la Paz es la Justicia, #NoImpunidadNoCorrupción</t>
  </si>
  <si>
    <t>Juan Manuel</t>
  </si>
  <si>
    <t>De donde saca @Parametria que @FerVilchisMx tiene una aceptación de casi 50 %?? Ni entre los ciudadanos ni entre los compañeros creo que este más allá del 25.. @CitlaHM espero defienda la paridad de género...</t>
  </si>
  <si>
    <t>Esclavo en fuga</t>
  </si>
  <si>
    <t>Reunión #PlenariaMorena o/ los temas de #AgendaLegislativa. @RicardoMonrealA @mario_delgado @martibatres @gibranrr @CitlaHM @JaimeHumbertoPB @Ricardo_Exsome @XochitlZagalMX @EnriqueDussel @CFigueroaDDHH @JoseFelipeAgui3 @TarianaCloutier @Lopezobrador_ @M_OlgaSCordero @m_ebrard</t>
  </si>
  <si>
    <t>https://pbs.twimg.com/media/EsqnpUDUYAACD-v.jpg</t>
  </si>
  <si>
    <t>Glouss</t>
  </si>
  <si>
    <t>Ojo aquí @CitlaHM Ulises ha hecho un gran trabajo como Presidente Municipal representa a la 4T al 100 yo opino que debería poder reelegirse... RT @UlisesMejiaH_: Jornada de limpieza nocturna en la avenida Hidalgo, partiendo del Portal de Rosales, donde a través de hidrolavado y barrido manual se intervino este espacio para generar óptimas condiciones de higiene, tanto en el paso peatonal como en los establecimientos comerciales.</t>
  </si>
  <si>
    <t>https://twitter.com/ulisesmejiah_/status/1353933916927737856</t>
  </si>
  <si>
    <t>https://pbs.twimg.com/media/EsojtYMUwAE2oo4.jpg</t>
  </si>
  <si>
    <t>zacatecas Mexico</t>
  </si>
  <si>
    <t>Reir, vivir, soñar, aprender, caer, experimentar y ser feliz...Chaira, pejezombie, etc etc...y Chivista de ❤️ #RedAmlo</t>
  </si>
  <si>
    <t>El traidor de @mario_delgado a hecho mucho daño, si no lo sacamos terminará con el partido. @CitlaHM solo resultó un florero inútil. RT @HistoriaPedro: @paquitorugerio @JohnMAckerman @mario_delgado</t>
  </si>
  <si>
    <t>https://twitter.com/historiapedro/status/1354073804079648768
https://www.jornada.com.mx/2020/09/22/opinion/016a2pol</t>
  </si>
  <si>
    <t>Juan Adán</t>
  </si>
  <si>
    <t>Indispensable señor Nieto, incluso más allá, sugiero que la UIF fiscalice las cuentas de los aspirantes o precandidatos de todos los partidos. Obviamente con consecuencias. @lopezobrador_ @CitlaHM @PartidoMorenaMx @mario_delgado @SanAmilcar @Irma_Sandoval RT @SNietoCastillo: Coincido. @C_Humphrey_J La necesaria colaboración entre la UIF y el INE</t>
  </si>
  <si>
    <t>https://twitter.com/snietocastillo/status/1354073721292648448
https://www.eluniversal.com.mx/opinion/carla-humphrey/la-necesaria-colaboracion-entre-la-uif-y-el-ine</t>
  </si>
  <si>
    <t>Ing Comunicaciones Electrónica IPN. Maestría Ingeniería UNAM, fué Rector U.T. Gro. Dir ICAT GAM CDMX, Dip. local, síndico en Iguala, Director TICs. Futbolista</t>
  </si>
  <si>
    <t>Christian Garcia</t>
  </si>
  <si>
    <t>Échenle una lectura opinión de nuestra compañera @CitlaHM</t>
  </si>
  <si>
    <t>https://www.excelsior.com.mx/opinion/citlalli-hernandez/una-nueva-conquista-ciudadana/1429117</t>
  </si>
  <si>
    <t>Tlalpan D.F</t>
  </si>
  <si>
    <t>UAMero, tlalpense y de buen corazón.</t>
  </si>
  <si>
    <t>https://www.facebook.com/khrispsy</t>
  </si>
  <si>
    <t>jorge barrientos</t>
  </si>
  <si>
    <t>Y es Senadora, gracias @yeidckol por estos regalazos. Ojo @mario_delgado @CitlaHM porque aparentemente se siguen "colando" en el partido RT @LillyTellez: La vacuna #SputnikV solo funciona en papel, en teoría se ve bien. No se ha probado que sirva en la práctica. La OMS apenas la está analizando, Rusia ha sido cuestionada por la comunidad científica por presentar información falsa.</t>
  </si>
  <si>
    <t>Por el bien de todos primero los pobres, no es frase de campaña, es consejo práctico!! Analista Columnista en: @IndicePolitico @SinLineaMx @ElSoberano_mx</t>
  </si>
  <si>
    <t>Jesús Michel Narváez</t>
  </si>
  <si>
    <t>Irrespetuoso con los Poderosos:  @CitlaHM</t>
  </si>
  <si>
    <t>https://misionpolitica.com/2021/01/26/irrespetuoso-con-los-poderosos/</t>
  </si>
  <si>
    <t>Director del semanario Misión Política @misionpolitica</t>
  </si>
  <si>
    <t>http://www.misionpolitica.com</t>
  </si>
  <si>
    <t>Encabezados diarios nacionales @RicardoMonrealA @mario_delgado @martibatres @gibranrr @CitlaHM @JaimeHumbertoPB @Ricardo_Exsome @XochitlZagalMX @javicavi83 @CuauhtmocBecer @EnriqueDussel @CFigueroaDDHH @JoseFelipeAgui3 @TarianaCloutier @Lopezobrador_ @M_OlgaSCordero @m_ebrard</t>
  </si>
  <si>
    <t>https://pbs.twimg.com/media/EsqiyalVcAU9SU8.jpg</t>
  </si>
  <si>
    <t>Raúl Montero</t>
  </si>
  <si>
    <t>Oiga @CitlaHM ¿Ya vio el precio del gas y la gasolina? ¿No sabe a qué hora se va a poner a gobernar Morena?</t>
  </si>
  <si>
    <t>No sé lo que es la corrección política, por lo tanto, me expreso con libertad. Soy responsable de lo que se escribe en esta cuenta.</t>
  </si>
  <si>
    <t>Precio del dólar p/Veracruz @RicardoMonrealA @mario_delgado @martibatres @gibranrr @CitlaHM @JaimeHumbertoPB @Ricardo_Exsome @XochitlZagalMX @javicavi83 @CuauhtmocBecer @EnriqueDussel @CFigueroaDDHH @JoseFelipeAgui3 @TarianaCloutier @Lopezobrador_ @M_OlgaSCordero @m_ebrard</t>
  </si>
  <si>
    <t>https://pbs.twimg.com/media/EsqhBZQUUAEyD_J.jpg</t>
  </si>
  <si>
    <t>Excélsior</t>
  </si>
  <si>
    <t>Citlalli Hernández (@CitlaHM) escribe: Una nueva conquista ciudadana.</t>
  </si>
  <si>
    <t>https://bit.ly/3t8iaT8</t>
  </si>
  <si>
    <t>https://pbs.twimg.com/media/EsqgcZiXEAE-Buk.png</t>
  </si>
  <si>
    <t>Ciudad Imagen</t>
  </si>
  <si>
    <t>El periódico de la vida nacional.</t>
  </si>
  <si>
    <t>https://www.excelsior.com.mx/</t>
  </si>
  <si>
    <t>Luis D.</t>
  </si>
  <si>
    <t>Si los arrastrados de la 4ta demuestran que esto es falso, darían un golpe contundente a un fiero opositor del mentiroso compulsivo de palacio, pueden hacerlo?? @_VicenteSerrano @NachoRgz @CitlaHM @RedAMLOmx @Viri_Rios @juliangt2011 @HatsumiNonaka @jluis_orozco69 @draveropdeg RT @Garcimonero: La ONU da a conocer la lista de países que han comprado vacunas para el COVID a los diferentes laboratorios cuanto, cuando y a quienes compraron, MEXICO no está en esa lista. NUNCA COMPRARON NADA y ahora que el presidente tiene que aclarar esto se enferma !Que conveniente!</t>
  </si>
  <si>
    <t xml:space="preserve">Coyoacan </t>
  </si>
  <si>
    <t>Mexicano, crítico y denunciante de las porquerias de cualquier mal gobierno.</t>
  </si>
  <si>
    <t>Manuel Díaz</t>
  </si>
  <si>
    <t>Conquista “Exigir que se piense en las audiencias como ciudadanas y ciudadanos que forman parte del desarrollo de un país, pensar que el acceso a la información y a contenidos de calidad también caben en la lógica de justicia social” ⁦@CitlaHM⁩</t>
  </si>
  <si>
    <t>Aquí y ahora</t>
  </si>
  <si>
    <t>Compañero, empresario, columnista, conferencista, vegano y camarada, empeñado en un mejor planeta. #Síganle 🤦🏽‍♂️</t>
  </si>
  <si>
    <t>https://manueldiaz.online/</t>
  </si>
  <si>
    <t>Pedro Salmerón Sanginés</t>
  </si>
  <si>
    <t>Sobre @mario_delgado y sus muy desafortunadas declaraciones en Zacatecas, escribe @raymundoch. cc @UlisesMejiaH_ @CitlaHM @martibatres @luciamedinas @raycv @julioastillero</t>
  </si>
  <si>
    <t>https://ljz.mx/2021/01/25/mario-delgado-y-la-division-en-las-filas-de-morena-zacatecas/?platform=hootsuite</t>
  </si>
  <si>
    <t>México.</t>
  </si>
  <si>
    <t>El block más rápido del oeste. Historiador independiente.</t>
  </si>
  <si>
    <t>https://elpresentedelpasado.com/</t>
  </si>
  <si>
    <t>Ardua Tarea en Estados Unidos Borrar las Imposiciones de Trump:  @CitlaHM</t>
  </si>
  <si>
    <t>https://misionpolitica.com/2021/01/26/ardua-tarea-en-estados-unidos-borrar-las-imposiciones-de-trump/</t>
  </si>
  <si>
    <t>Hector Castro</t>
  </si>
  <si>
    <t>La columna de @CitlaHM // Una nueva conquista ciudadana Via. @Excelsior</t>
  </si>
  <si>
    <t>Sonora</t>
  </si>
  <si>
    <t>Ing. Hector Castro Gallegos Quien controle la información controlará el mundo</t>
  </si>
  <si>
    <t>https://castrogallegos.wordpress.com</t>
  </si>
  <si>
    <t>Mesa Plural</t>
  </si>
  <si>
    <t>Hermosillo Sonora, México</t>
  </si>
  <si>
    <t>Coordinadora Nacional Comites de Base Morena</t>
  </si>
  <si>
    <t>no sabes ni que hablas, tus dias estan contados en la politica, no se ni para que entraste, ocupaste un lugar d un verdadero morenista @mario_delgado @CitlaHM @CENMorenaMX @PartidoMorenaMx @ConsejoMorenaMX @CNHJ_Morena @yeidckol @BerthaLujanMx oportunista RT @LillyTellez: México no requiere “afecto” de Rusia; un país antidemocrático, autoritario, sin libertad de expresión y corrupto. Menos necesitamos sus vacunas de mala calidad, no subestimen al pueblo.</t>
  </si>
  <si>
    <t>https://www.youtube.com/watch?v=aMbjOoO0uOg
https://twitter.com/LillyTellez/status/1353741627576127490</t>
  </si>
  <si>
    <t>Herlindo Alberto</t>
  </si>
  <si>
    <t>La Fuerza de los Trabajadores Organizados defendemos la #CuartaTeansformación de México.  /: @mario_delgado @CitlaHM @PartidoMorenaMx @lopezobrador_</t>
  </si>
  <si>
    <t>https://youtu.be/1919Kbfgoa0</t>
  </si>
  <si>
    <t>www.facebook.com/herlindoalberto.roblesperez.9</t>
  </si>
  <si>
    <t>Sindicalista Revolucionario, Secretario General de la Casa del Obrero Mundial, Presidente de ONG's http://www.casadelobreromundial.org.mx</t>
  </si>
  <si>
    <t>http://www.hrlegalcontable.com/</t>
  </si>
  <si>
    <t>HomeroBet</t>
  </si>
  <si>
    <t>Los CORRUPTOS @mario_delgado y @CitlaHM están vendiendo las candidaturas. RT @hmbrhrmg: Ya tenemos a un diputado PANISTA disfrazado de MORENA @heder_guzman. Ahora pretenden que tengamos a más representantes de @AccionNacional dentro del Movimiento. #Aguascalientes</t>
  </si>
  <si>
    <t>https://twitter.com/hmbrhrmg/status/1353929477290647554</t>
  </si>
  <si>
    <t>https://pbs.twimg.com/media/Esofrm9W4AI-hp1.jpg</t>
  </si>
  <si>
    <t>Free Palestina</t>
  </si>
  <si>
    <t>José Luis Cortes T.</t>
  </si>
  <si>
    <t>Qué hace @fisgonmonero "respaldando" precandidatura a diputacion federal x distrito 19 del Edomex por Morena?? //@CNHJ_Morena @GPMorenaEdomex @CENMorenaMX @mario_delgado @CitlaHM</t>
  </si>
  <si>
    <t>https://pbs.twimg.com/media/EsopquwVEAAKQMI.jpg</t>
  </si>
  <si>
    <t>Tlalnepantla, México</t>
  </si>
  <si>
    <t>Nativo de la tierra de en medió, Tlalnepantla, México. Comprometido por lograr un mejor país, tratando de extirpar el cáncer de la corrupción e impunidad.</t>
  </si>
  <si>
    <t>Que raro que @mario_delgado y @CitlaHM cometan otra de sus cagadas, estúpidos buenos para nada. RT @hmbrhrmg: Supuestamente @mario_delgado mando a @CuauhtliBadillo a poner orden en @CEEMorenaAgs. Pero vino a darle luz verde al PANISMO por medio de @SalmaLuevano y a parafrasear al Presidente. Senador @DanielGtzAgs ¿De que lado esta?. Deje de apoyar a @AccionNacional. #Aguascalientes</t>
  </si>
  <si>
    <t>https://twitter.com/hmbrhrmg/status/1353928831577567234</t>
  </si>
  <si>
    <t>https://pbs.twimg.com/media/EsofGABXMAohimu.jpg</t>
  </si>
  <si>
    <t>el diablo y asociado</t>
  </si>
  <si>
    <t>Ayudemos por favor #pulmonesparaAntolín @Fridaguerrera @VocesDLAusencia @michihart @monn_cherry @IbethParga @PPmerino @gaby_cam @jrsestaca @TorrucoTurismo @QueImportaTV @CitlaHM @CSaizar @LuisaAlcalde @M_OlgaSCordero @eliniestae @EVIDEGARAY @lacornetafm @veronicatouss @IvanNavaMx RT @diabloyasociado: Por favor ayudemos, estamos lejos de la meta y el tiempo se acaba #pulmonesparaAntolín @herly_rg @SNietoCastillo @SergioSarmiento @weribarbie @Lapinshekass @rosaicela_ @telediario @AleLadyBird @SkyAlertMx @AnaBotin @HLGatell @MarianaOE @highvanillacoke @gabrielguerrac</t>
  </si>
  <si>
    <t>https://twitter.com/diabloyasociado/status/1353929263729283072
https://twitter.com/cquirarte/status/1353881106077134849</t>
  </si>
  <si>
    <t>Cipriano Charrez</t>
  </si>
  <si>
    <t>DESEO PRONTA RECUPERACIÓN AL PRESIDENTE ANDRES MANUEL LÓPEZ OBRADOR. @lopezobrador_ @CitlaHM @AntonioAttolini @mario_delgado @Julio_Menchaca @ssimey @arturoavila_mx @CNHJ_Morena @ArmandoContCast @tatclouthier @m_ebrard @sdpnoticias @JesusRCuevas @SofGonzalez @ElNopalTimes</t>
  </si>
  <si>
    <t>https://pbs.twimg.com/media/EsobgIEXIAAfGrE.jpg</t>
  </si>
  <si>
    <t>Ixmiquilpan, Hidalgo</t>
  </si>
  <si>
    <t>Ing. en Economía, orgullosamente egresado de la universidad de Chapingo, Diputado Federal de Morena representante del estado de Hidalgo en la LXIV Legislación.</t>
  </si>
  <si>
    <t>Román</t>
  </si>
  <si>
    <t>Mira @CitlaHM este sí es un reporte de COVID , no como el que te inventaste , chinche gordis RT @M_OlgaSCordero: Acabo de recibir los resultados de mi prueba PCR para detectar SARS-CoV-2 (COVID-19), siendo estos negativos. Continuaré cumpliendo mis funciones y siguiendo las instrucciones del presidente @lopezobrador_. #FuerzaPresidente</t>
  </si>
  <si>
    <t>https://twitter.com/m_olgascordero/status/1353868414255833094</t>
  </si>
  <si>
    <t>TLAXIACO OAXACA</t>
  </si>
  <si>
    <t>Chaparro, de piel morena, mis encantos son la química y la medicina, 41 años arrancando oxígeno a los árboles, búscame cuando quieras comer bien</t>
  </si>
  <si>
    <t>i olmedo</t>
  </si>
  <si>
    <t>El dizque honesto enriqueciendo a su familia. @mario_delgado @CitlaHM @Irma_Sandoval RT @GeneralaRebelde: #MexicoSeHunde y unos cuantos se enriquecen en medio de una trágica pandemia💩🐀💩💩🐀💩💩💩🐀</t>
  </si>
  <si>
    <t>https://twitter.com/GeneralaRebelde/status/1353888806236286976</t>
  </si>
  <si>
    <t>https://pbs.twimg.com/media/Esn6sHzWMAYXfXV.jpg</t>
  </si>
  <si>
    <t>Amo a mi México. Para lograr algo en la vida hay que trabajar duro.</t>
  </si>
  <si>
    <t>Lo que no quieren ver los dizque honestos de la 4t. @mario_delgado @CitlaHM @lopezobrador_ @Irma_Sandoval RT @mas_critica: No le busquen más pretextos aplaudidores de la 4T. Ya sabemos porqué #MexicoSeHunde. Los que tienen #LealtadCiega al #PinchiPresidente son los únicos que no lo quieren ver... 👉</t>
  </si>
  <si>
    <t>https://twitter.com/mas_critica/status/1353871836212301824</t>
  </si>
  <si>
    <t>https://pbs.twimg.com/media/EsnrQeUW4AAtOEX.jpg</t>
  </si>
  <si>
    <t>Lo que hacen los dizque honestos de la 4t. @mario_delgado @CitlaHM @Irma_Sandoval RT @HAYUSO46:</t>
  </si>
  <si>
    <t>https://twitter.com/HAYUSO46/status/1353915362383949824</t>
  </si>
  <si>
    <t>https://pbs.twimg.com/media/EsoS2JjW8AID_Uh.jpg</t>
  </si>
  <si>
    <t>Gerardo Guasso</t>
  </si>
  <si>
    <t>Cenadora @CitlaHM, ¿no que ya se iba de Twitter? O necesita a Twitter para avisar que ya va de Twitter y seguir criticando a Twitter?</t>
  </si>
  <si>
    <t>Con determinación aunque duela</t>
  </si>
  <si>
    <t>RAUL ESPINOSA  TORRE</t>
  </si>
  <si>
    <t>que delicada nota , es para analizarse antes de votar @CitlaHM ,@CENMorenaMX ,@BerthaLujanMx ,@lopezobrador_ ,@Claudiashein ,@m_ebrard ,@mario_delgado ,@yeidckol ,@MorenaNLMX ,@pt_nuevoleon ,@ptnuevoleon RT @RAULESPINOSATO3: Les recomiendo la nota Vinculan a Clara Luz con NXIVM en  @PanyCircoMx</t>
  </si>
  <si>
    <t>https://twitter.com/RAULESPINOSATO3/status/1353913237864112134
https://panycirco.com/columna/desde-el-olimpo/vinculan-a-clara-luz-con-nxivm?fbclid=IwAR1C8ImluVWphNuwVdlRCBCy36GSF0E-FKdXCORYoBPhca_rmjplsYwVNh0</t>
  </si>
  <si>
    <t>Erick Reyes</t>
  </si>
  <si>
    <t>En #Calakmul la fuerza y ánimo son característica, la unidad de los compañeros del municipio es notoria. Ánimo, las cosas saldrán bien. La #4T se consolidará en todo #Campeche. #EsLayda @LaydaSansores @aostoaortega @Campeche_morena @CitlaHM @mario_delgado @andre4T1</t>
  </si>
  <si>
    <t>https://pbs.twimg.com/media/EsoRDECW4AINOwP.jpg</t>
  </si>
  <si>
    <t>mexico df</t>
  </si>
  <si>
    <t>Delegado del CEN de @PartidoMorenaMX en Campeche| Politólogo| Constitucionalista| Ex Delegado Int y Ex Dir. Gral. Gob. Pro🐶</t>
  </si>
  <si>
    <t>https://www.facebook.com/ErickReyesAO/</t>
  </si>
  <si>
    <t>Todo esto que denunció puede estar mi vida en Peligro pero no tengo otra opción por tal motivo culpo a las Autoridades de la Alcaldía de Venustiano Carranza empezando por su actual titular aún este día,@julioc_moreno ,@mario_delgado ,@CitlaHM ,@NashieliRamirez ,@fAtila_198973  RT @Macruz76701932: Escucha Mario Delgado Carrillo a los vecinos de la Alcaldía de Venustiano Carranza quienes vivimos este lamentable DESGOBIERNO de Julio César Moreno Rivera,@fAtila_198973 ,@RuizGal8 ,@EdithAparicioR ,@allendista14 ,@venceslav ,@A_VCarranza ,@Vampiroperver ,@mario_delgado,@CitlaHM</t>
  </si>
  <si>
    <t>https://twitter.com/Macruz76701932/status/1353903962899042304
https://twitter.com/RuizGal8/status/1353902711767490560</t>
  </si>
  <si>
    <t>https://pbs.twimg.com/media/EsoQXjGXAAArxlY.jpg</t>
  </si>
  <si>
    <t>Son sus TÍTERES y VOLANTERAS al mando de ellas quizá las Golpeadoras de Adultos Mayores las HERMANAS KARINA y CONSUELO MACÍAS RIVERA,@mario_delgado ,@CitlaHM ,@evelyn111parra ,@Claudiashein ,@Grame47853033 ,@fAtila_198973 ,@allendista14 ,@julioc_moreno ,@A_VCarranza,@Denuncia_Vca  RT @Grame47853033: @Macruz76701932 @VientoEnrique Así es macruz nadie la conoce xtoda la Merced tapizaron de cartelones de Evelyn Parra agradeciendo no se k le agradecen si nunca se ha parado xahi esk UD no sabe cómo trabajan los enlaces con el alcalde</t>
  </si>
  <si>
    <t>https://twitter.com/Grame47853033/status/1353909549879746560</t>
  </si>
  <si>
    <t>https://pbs.twimg.com/media/EsoOhdPW4AQOmi6.jpg</t>
  </si>
  <si>
    <t>Escucha Mario Delgado Carrillo a los vecinos de la Alcaldía de Venustiano Carranza quienes vivimos este lamentable DESGOBIERNO de Julio César Moreno Rivera,@fAtila_198973 ,@RuizGal8 ,@EdithAparicioR ,@allendista14 ,@venceslav ,@A_VCarranza ,@Vampiroperver ,@mario_delgado,@CitlaHM RT @RuizGal8: @Macruz76701932 La familia entera Moreno debe salir de la función pública . FUERA CORRUPTOS Y SUS FAMILIARES.</t>
  </si>
  <si>
    <t>https://twitter.com/RuizGal8/status/1353902711767490560</t>
  </si>
  <si>
    <t>https://pbs.twimg.com/media/EsoHVkNWMAg5Dkv.jpg</t>
  </si>
  <si>
    <t>La Mafia del Poder</t>
  </si>
  <si>
    <t>A ti también te la han perdonado @CitlaHM  RT @CitlaHM: Una tuitera como Miriam June emite opiniones políticas, es sancionada y aún no le restituyen su cuenta. En cambio, un doctor “bromea” sobre cómo asesinar al presidente, suspende horas la cuenta y al otro día como si nada. ¿Qué pasó ahí @TwitterMexico?</t>
  </si>
  <si>
    <t>https://twitter.com/CitlaHM/status/1353825919358676993
https://twitter.com/_marianae_/status/1353788688828948481</t>
  </si>
  <si>
    <t>https://pbs.twimg.com/media/EsoIT23WMAAZv6E.jpg</t>
  </si>
  <si>
    <t>Planeando el nuevo orden mundial, graduados con honores del Instituto el Inombrable.</t>
  </si>
  <si>
    <t>NO SOY FIFI NI LADRO</t>
  </si>
  <si>
    <t>Una inútil más y competencia de Gordas..@CitlaHM ya tiene competencia.. RT @Maricela_Arnaiz: ¡No mamen! ya paren de hacer mi3rda nuestra política, ahora resulta que cualquier pndejo puede legislar y gobernar. #TantitaMadre 🤬</t>
  </si>
  <si>
    <t>https://twitter.com/Maricela_Arnaiz/status/1353863904615657473
https://twitter.com/proceso/status/1353797462411063297</t>
  </si>
  <si>
    <t>Ahuizote</t>
  </si>
  <si>
    <t>Jajajajaja no mamen esto debe ser una broma, una broma muy cruel Geraldine. @CitlaHM RT @GeraldinePonceM: Tengo por compañera a una gran promotora de Morena en Nayarit, la diputada @CitlallyMac. Este año, las mujeres vamos al frente en la defensa de la #CuartaTransformación.🇲🇽</t>
  </si>
  <si>
    <t>https://twitter.com/geraldineponcem/status/1352838904106258432</t>
  </si>
  <si>
    <t>Cruz Azul LA Rams</t>
  </si>
  <si>
    <t>CASEMIRO DE CERQUITA</t>
  </si>
  <si>
    <t>Que van a hacer @mario_delgado @CitlaHM esperamos que se impugne este atropello en contra de @PartidoMorenaMx RT @INEMexico: Consulta los resultados del monitoreo de noticiarios de precampañas electorales 2020-2021 realizado por la @UNAM_FCPyS. #Elecciones2021 💻</t>
  </si>
  <si>
    <t>https://twitter.com/INEMexico/status/1353898884335067137
http://monitoreo2021.ine.mx/inicio</t>
  </si>
  <si>
    <t>https://pbs.twimg.com/media/EsoDkuwXUAAbACL.jpg</t>
  </si>
  <si>
    <t>Gisela O. Álvarez</t>
  </si>
  <si>
    <t>¿Y VENUSTIANO CARRANZA @CitlaHM?  RT @CitlaHM: Difiero en esta ocasión con @fernandeznorona. Persecución fue lo que @mauriciotoledog se dedicó a hacer con compañeros de morena y otras personas en Coyoacán. Celebro que haya pruebas suficientes de parte de la @FiscaliaCDMX para solicitar a @mx_diputados se le retire el fuero</t>
  </si>
  <si>
    <t>https://twitter.com/CitlaHM/status/1353857414899015681</t>
  </si>
  <si>
    <t>pic.twitter.com/0I9J3HkKzk</t>
  </si>
  <si>
    <t xml:space="preserve">CDMX </t>
  </si>
  <si>
    <t>"Aquí no lloró nadie, aquí queremos vivir la vida y no morirla"</t>
  </si>
  <si>
    <t>M Dolores Rodríguez</t>
  </si>
  <si>
    <t>Reunión por la Unidad. Tenemos una responsabilidad histórica con México. Siempre en torno al proyecto del Presidente. Sigamos avanzando #4tResponsabilidadColectiva #AMLO @NarroJose @lopezobrador_ @CitlaHM @DrCarlosLomeli</t>
  </si>
  <si>
    <t>https://fb.watch/3fd2iq5h87/</t>
  </si>
  <si>
    <t>https://pbs.twimg.com/media/EsoFSZjXYAAYGWp.jpg</t>
  </si>
  <si>
    <t>Jalisco, México</t>
  </si>
  <si>
    <t>Psicóloga, doctorante en Derechos Humanos. #AMLOVER #4tCompromisoColectivo</t>
  </si>
  <si>
    <t>Una González</t>
  </si>
  <si>
    <t>Enriquecimiento ilícito como @M_OlgaSCordero? @JohnMAckerman? y toda esa pandilla??? ¿Por qué la @PDI_FGJCDMX no ha ido contra ellos también? Soltaron a @ElbaEsther_G, Lozoya y Cienfuegos, ahí no dices nada @CitlaHM? RT @CitlaHM: FGJ CdMx va contra ex jefe delegacional de Coyoacán por enriquecimiento ilícito. @ErnestinaGodoy_ , informó que se registró un "incremento inexplicable en patrimonio, lo que resulta incongruente" con los ingresos de Mauricio Toledo.</t>
  </si>
  <si>
    <t>https://twitter.com/citlahm/status/1353732768455225345
https://www.milenio.com/policia/mauricio-toledo-fgj-cdmx-jefe-delegacional-coyoacan</t>
  </si>
  <si>
    <t>Tequilover. Extraño CDMX.</t>
  </si>
  <si>
    <t>La guerra sucia de algunos “morenistas” contra la diputada local @ErikaPerezMx es por esto: Por su crecimiento en las preferencias electorales, tanto dentro del @PartidoMorenaMx @4TMorenaJalisco @morena_tlq como ante la ciudadanía. @mario_delgado @CitlaHM @NarroJose @yeidckol</t>
  </si>
  <si>
    <t>https://pbs.twimg.com/media/EsoAqntU4AMLZCE.jpg</t>
  </si>
  <si>
    <t>Este sujeto me tiene BLOQUEADO desde el día 9 de Enero del 2019 por denunciar tanta PORQUERÍA y ASQUEROSIDAD de CORRUPCIÓN e IMPUNIDAD y por escrito,@mario_delgado ,@CitlaHM ,@fAtila_198973 ,@Grame47853033 ,@EdithAparicioR ,@evelyn111parra y al 90% de vecinos los,@RuizGal8</t>
  </si>
  <si>
    <t>https://pbs.twimg.com/media/Esn-xQFXYAEnDDC.jpg</t>
  </si>
  <si>
    <t>En #Hopelchén sabemos que puede haber diferencias, el objetivo de @PartidoMorenaMx es hacer todo el esfuerzo para que la UNIDAD prevalezca. Hoy @LaydaSansores en revisión de estructura comprueba qué hay ánimo de avanzar. @mario_delgado @CitlaHM @aostoaortega</t>
  </si>
  <si>
    <t>https://pbs.twimg.com/media/Esn9HRwW4AAuIpW.jpg</t>
  </si>
  <si>
    <t>En 7 colonias que visite hoy nadie la conoce es un verdadero ASCO que a los Ciudadanos que les dan apoyos oficiales casi las obligan a pegar cartulinas misma letra diferentes Domicilios,@evelyn111parra ,@mario_delgado ,@CitlaHM ,@fAtila_198973 ,@EdithAparicioR ,@RuizGal8  RT @RuizGal8: GENTE LLAMADA ERRÓNEAMENTE FUNCIONARIOS PÚBLICOS QUE SÓLO SE APARECEN PARA PEDIR EL VOTO CIUDADANO. CUÁNTO SE GASTARON EN UN INFORME DE UNA SEÑORA QUE NI SIQUIERA ES VISUALIZADA POR CIUDADANOS EN @A_VCarranza ??? HARTAZGO CON #GuadalupeMorales</t>
  </si>
  <si>
    <t>https://twitter.com/RuizGal8/status/1353885793522249728
https://twitter.com/macruz76701932/status/1353884990476574726</t>
  </si>
  <si>
    <t>https://pbs.twimg.com/media/Esn7bziW4AMgt97.jpg</t>
  </si>
  <si>
    <t>Un pinche Diablo</t>
  </si>
  <si>
    <t>Empatia.... Ojalá aprendan @BeatrizGMuller @CitlaHM @HLGatell @mario_delgado Algo que ustedes no tienen</t>
  </si>
  <si>
    <t>https://pbs.twimg.com/media/Esn3f4MXcAAZdbY.jpg</t>
  </si>
  <si>
    <t>el Infierno</t>
  </si>
  <si>
    <t>Chilango, Diario de un Chilango, Dueño de del burdel, hijo de lucifer.</t>
  </si>
  <si>
    <t>Pinocho88</t>
  </si>
  <si>
    <t>No nos tenga miedo senadora @CitlaHM RT @ErnestoViveros8: @CitlaHM 🤣🤣🤣🤣🤣🤣🤣🤣🤣 La señora dice no a la censura y NO PERMITE que le respondamos y demos nuestras opiniones! 🤣🤣🤣🤣🤣🤣🤣🤣🤣 Este grupo cómico es Morena!!! 🤣🤣🤣🤣🤣🤣🤣🤣🤣 #NiUnVotoAMORENA2021</t>
  </si>
  <si>
    <t>https://twitter.com/ErnestoViveros8/status/1352728564135849990</t>
  </si>
  <si>
    <t>https://pbs.twimg.com/media/EsXbdNSXAAAiJ7M.jpg</t>
  </si>
  <si>
    <t>Mr Sarcasmo</t>
  </si>
  <si>
    <t>Cesar Vadillo</t>
  </si>
  <si>
    <t>Se que ahorita el tema es el "Covid" del porro mitómano, pero senadora @CitlaHM cuando va a bajar la gasolina a 10 pesos el litro? Tenemos más de 2 años esperando. Como dijo usted que desde que Mugrena entrará a gobernar desde el 1er. Día así costaría... #MexicoSeHunde #NoLeCreo</t>
  </si>
  <si>
    <t>Antichairo 1000%!!! Que López Hablador se vaya a su rancho! Queremos un México libre de mentiras de políticos populistas y corruptos! Sígueme y te sigo!</t>
  </si>
  <si>
    <t>Juan Carlos Plancarte</t>
  </si>
  <si>
    <t>Se aproxima la madre de todas las guerras en #MORENA, por las diputaciones y por las regidurías en #Guerrero Dicen que el delegado político nacional @salomonj ya se trajo a vivir a su hermano a nuestro estado y que el está vendiendo las candidaturas. $$$ @mario_delgado @CitlaHM</t>
  </si>
  <si>
    <t>Inclusión y Derechos Humanos 🏳️‍🌈🇲🇽 Activista y defensor de los Derechos Humanos.</t>
  </si>
  <si>
    <t>MARTHA BARRAGAN, Mar</t>
  </si>
  <si>
    <t>#YoSiTeCreo #NoEsNo @enmaobrador @CFE_CDMX @VocesFeminista @PatyOlamendi @MarthaTagle @wzuloag @ONUMujeresMX @nadgasman @CitlaHM @museodelamujer @BrujaFeminista @gema_joven @FondoSemillas @ISBeauvoir @feministesbcn @redmujeres @NiUnaMas @onumujeresEcu @DebateFeminista</t>
  </si>
  <si>
    <t>https://pbs.twimg.com/media/EsnxuBlVcAUUIgC.jpg</t>
  </si>
  <si>
    <t>Martha Barragán Mar</t>
  </si>
  <si>
    <t>Meta Coach &amp; Caricaturista, Defensora de los DH Feminista de corazón, caricaturista revolucionaria con humor. Directora de Hablemos Unidos podemos.</t>
  </si>
  <si>
    <t>https://www.facebook.com/MarthaBarraganMar</t>
  </si>
  <si>
    <t>cesc octapel</t>
  </si>
  <si>
    <t>Pinche gorda traicionera, ponte a trabajar, o es tu trabajo defender a los uchuarios de Twitter? Por cierto ya deja el miedo y da opción de respuesta @CitlaHM RT @CitlaHM: Una tuitera como Miriam June emite opiniones políticas, es sancionada y aún no le restituyen su cuenta. En cambio, un doctor “bromea” sobre cómo asesinar al presidente, suspende horas la cuenta y al otro día como si nada. ¿Qué pasó ahí @TwitterMexico?</t>
  </si>
  <si>
    <t>https://twitter.com/citlahm/status/1353825919358676993
https://twitter.com/_marianae_/status/1353788688828948481</t>
  </si>
  <si>
    <t>chiva de corazon, fan del rock. #RedMasUno. #ViveLaResistance</t>
  </si>
  <si>
    <t>🇩🇰 abuelita soy tu nieto</t>
  </si>
  <si>
    <t>Con todo respeto @CitlaHM de Roa de ocuparse para lo que se le paga, el bienestar del país, atender lo dicho por su presidente @lopezobrador_ , cumplir con algo, así, algo... aunque sea RT @CitlaHM: Una tuitera como Miriam June emite opiniones políticas, es sancionada y aún no le restituyen su cuenta. En cambio, un doctor “bromea” sobre cómo asesinar al presidente, suspende horas la cuenta y al otro día como si nada. ¿Qué pasó ahí @TwitterMexico?</t>
  </si>
  <si>
    <t>fotógrafo, bebedor compulsivo amante de lo bello, agrio incongruente, analfabeto, destructor de neuronas.</t>
  </si>
  <si>
    <t>http://medulafp.com</t>
  </si>
  <si>
    <t>Rixie</t>
  </si>
  <si>
    <t>Evidentemente no puedes cerrar la boca, ni para una cosa ni para la otra, @CitlaHM cumples a cabalidad el perfil de los pinches mugrosos de @morena RT @CitlaHM: Una tuitera como Miriam June emite opiniones políticas, es sancionada y aún no le restituyen su cuenta. En cambio, un doctor “bromea” sobre cómo asesinar al presidente, suspende horas la cuenta y al otro día como si nada. ¿Qué pasó ahí @TwitterMexico?</t>
  </si>
  <si>
    <t>Miguel Hidalgo, Distrito Feder</t>
  </si>
  <si>
    <t>Mejor Imposible...</t>
  </si>
  <si>
    <t>Don Sputnik</t>
  </si>
  <si>
    <t>Y se atendió en un hospital público. ¡Vaya ejemplo del “capitalismo”! ¿Qué opinas @CitlaHM? Tu qué eres de “izquierda”. RT @veronicalderon: Carlos Slim Helú, el empresario más rico de América Latina y el quinto más rico del mundo, tiene #covid19. #México</t>
  </si>
  <si>
    <t>https://twitter.com/veronicalderon/status/1353810869675847681
https://twitter.com/elceo__/status/1353810316770074624</t>
  </si>
  <si>
    <t>Nada por aquí y nada por allá.</t>
  </si>
  <si>
    <t>Siempre importante el conocimiento @RicardoMonrealA @mario_delgado @martibatres @gibranrr @CitlaHM @JaimeHumbertoPB @Ricardo_Exsome @XochitlZagalMX @javicavi83 @CuauhtmocBecer @EnriqueDussel @CFigueroaDDHH @JoseFelipeAgui3 @TarianaCloutier @Lopezobrador_ @M_OlgaSCordero @m_ebrard</t>
  </si>
  <si>
    <t>https://pbs.twimg.com/media/EsnjnTsUYAAf8G-.jpg</t>
  </si>
  <si>
    <t>Nuevo Régimen Chimalhuacán - NRCH</t>
  </si>
  <si>
    <t>En Chimalhuacán se expresa rechazo a Dionicio Diaz Guevara y a Antorcha, siendo del mismo equipo. @CitlaHM @mario_delgado @PartidoMorenaMx @daniel_ser ¡Fuera Mofravi! ¡Fuera Dionicio! ¡Fuera Antorcha!</t>
  </si>
  <si>
    <t>https://pbs.twimg.com/media/EsnhI-PW8AA7qfI.jpg</t>
  </si>
  <si>
    <t>Chimalhuacán, México</t>
  </si>
  <si>
    <t>Medio informativo independiente con alcance en el Valle de México, enfocados en Chimalhuacán, llevamos información verídica, sin financiamiento alguno.</t>
  </si>
  <si>
    <t>http://facebook.com/JChimalhuacan/</t>
  </si>
  <si>
    <t>cv</t>
  </si>
  <si>
    <t>Es cierto @RicardoMonrealA y tu @CitlaHM RT @CarlosTorresF_: Por esto @RicardoMonrealA quiere legislar Twitter, porque aquí no pueden controlar el repudio contra @lopezobrador_ por sus nulos resultados. #AmloCovidiota</t>
  </si>
  <si>
    <t>https://twitter.com/carlostorresf_/status/1353855531606274049</t>
  </si>
  <si>
    <t>https://pbs.twimg.com/media/EsncbX_XIAArOVH.jpg</t>
  </si>
  <si>
    <t>Arlington, TX</t>
  </si>
  <si>
    <t>obradoristascoacalco</t>
  </si>
  <si>
    <t>Lolita Lebrón: 25 años de prisión por asaltar el Capitolio de los Estados Unidos "Yo no vine a matar a nadie, vine a morir por Puerto Rico", gritó Dolores Lebrón @ObradoristasMx @infpmorena @CitlaHM @DrLorenzoMeyer @Foro_TV #FuerzaPresidente</t>
  </si>
  <si>
    <t>https://www.kamchatka.es/es/lolita-lebron-carcel-asaltar-capitolio-estados-unidos</t>
  </si>
  <si>
    <t>Coacalco Estado de México</t>
  </si>
  <si>
    <t>Somos ciudadanos que promovemos la participación democrática para empujar la 4T.</t>
  </si>
  <si>
    <t>Empezando por los CC Julio César Moreno Rivera y Evelyn Parra mi apoyo incondicional es para la Diputada,@GuadalupeMorRub MORENA para Alcaldesa de Venustiano Carranza petición muy personal y quiera hacerlo VIRALL,@mario_delgado ,@CitlaHM ,@fAtila_198973 ,@Grame47853033 RT @Macruz76701932: Estimados Compatriotas seguidores de la 4T,les comento después de todo el MIERDERO y PROSTITUCIÓN que hay en el CEN de MORENA al Aceptar a las LACRAS Y CORRUPT0S que solo buscan su Beneficio personal aquí en la Alcaldía de Venustiano Carranza empezando por,@fAtila_198973 "SPM"</t>
  </si>
  <si>
    <t>https://twitter.com/Macruz76701932/status/1353738039835684864</t>
  </si>
  <si>
    <t>Abraham Lopez Gatell Nieto</t>
  </si>
  <si>
    <t>Es muy lamentable Senadora @CitlaHM que en México se aplaude estos actos en esta red social. Hasta los premian. Muy desafortunado el comportamiento de @drdargaray y se justifica argumentando que es a título "personal". Cerró su cuenta, eliminó el tuit y regreso como si nada. RT @CitlaHM: Una tuitera como Miriam June emite opiniones políticas, es sancionada y aún no le restituyen su cuenta. En cambio, un doctor “bromea” sobre cómo asesinar al presidente, suspende horas la cuenta y al otro día como si nada. ¿Qué pasó ahí @TwitterMexico?</t>
  </si>
  <si>
    <t>Amo a mi País México. Apoyando la 4T. No soy un bot, soy un ciudadano de a pie.</t>
  </si>
  <si>
    <t>https://vk.com/soymexicano_1</t>
  </si>
  <si>
    <t>trish alastor</t>
  </si>
  <si>
    <t>Desde la #SecretaríaDiverSexNal mandamos las mejores vibras y buenos deseos para su pronta recuperación #FuerzaPresidente @CENMorenaMX estamos con usted y desde Sonora reciba nuestros cordiales Saludos !! @CitlaHM @mario_delgado @JAIMELOPEZVELA @AlfonsoDurazo RT @DivsexM: Desde la #SecretaríaDiverSexNal mandamos las mejores vibras y buenos deseos para su pronta recuperación #FuerzaPresidente @CENMorenaMX estamos con usted y desde Sonora reciba nuestros cordiales Saludos !! @CitlaHM @mario_delgado @JAIMELOPEZVELA @AlfonsoDurazo</t>
  </si>
  <si>
    <t>https://twitter.com/DivsexM/status/1353811225864376326</t>
  </si>
  <si>
    <t>https://pbs.twimg.com/media/Esm0IqTW8AE6wUq.jpg</t>
  </si>
  <si>
    <t>Twitter Query: -filter:retweets -filter:replies from:LillyTellez</t>
  </si>
  <si>
    <t>Lilly Téllez</t>
  </si>
  <si>
    <t>Dije la verdad: la vacuna rusa no tiene autorización de la OMS ni de la comunidad científica internacional. Alemania va a ayudar a los rusos a que cumplan los requisitos y solo entonces les comprarán vacunas. La respuesta de Morena es llamarme terrorista 👇🏻 RT @CaraveoBertha: Es @LillyTellez, que ejerce el terrorismo digital.</t>
  </si>
  <si>
    <t>https://twitter.com/caraveobertha/status/1354153947230072841
https://twitter.com/agustinaragonl1/status/1354153692279185408</t>
  </si>
  <si>
    <t>Senadora de la República por Sonora. Periodista 💙💙 Esposa de Jesús, mamá de Leonardo J.</t>
  </si>
  <si>
    <t>http://lillytellez.mx</t>
  </si>
  <si>
    <t>Lo celebro. Él encubrió caso Paullette. RT @ElFinanciero_Mx: #ÚLTIMAHORA Inhabilitan por 10 años a Alfredo Castillo, extitular de la Conade en sexenio de Peña.</t>
  </si>
  <si>
    <t>https://twitter.com/elfinanciero_mx/status/1354117099644309504
https://elfinanciero.com.mx/nacional/inhabilitan-por-10-anos-a-alfredo-castillo-extitular-de-la-conade-en-sexenio-de-pena</t>
  </si>
  <si>
    <t>pic.twitter.com/FtTBVOYbMn</t>
  </si>
  <si>
    <t>La 4T pide a Twitter que cierren mi cuenta por decir la verdad sobre la vacuna rusa: NO está aprobada por la comunidad científica internacional y Alemania NO les compró vacunas, solo les ofreció ayuda porque su vacuna NO aprueba requisitos para entrar a la UE.</t>
  </si>
  <si>
    <t>Lo peor está por venir, advierte Angela Merkel sobre pandemia Covid-19</t>
  </si>
  <si>
    <t>https://www.eluniversal.com.mx/mundo/lo-peor-esta-por-venir-advierte-angela-merkel-sobre-pandemia-covid-19</t>
  </si>
  <si>
    <t>Alemania NO compró vacunas rusas. Alemania ofreció ayuda porque la vacuna NO cumple los requisitos para entrar a la Unión Europea. RT @rodriguezmonos: "En aprietos por la experta PANdemióloga" #lillytellez #AngelaMerkel #SputnikV #Infodemia #Covid_19 @LillyTellez</t>
  </si>
  <si>
    <t>https://twitter.com/rodriguezmonos/status/1353978807007535109</t>
  </si>
  <si>
    <t>https://pbs.twimg.com/media/EspLl9HXYAALLtK.jpg</t>
  </si>
  <si>
    <t>Ojo: Angela Merkel ofreció AYUDA a Rusia porque la vacuna NO cumplió los requisitos y SOLO si esta vacuna es aprobada por la EMA, hasta entonces hablarán de una producción conjunta y también de su utilización.</t>
  </si>
  <si>
    <t>https://www.milenio.com/internacional/angela-merkel-impulsara-aval-vacuna-rusa</t>
  </si>
  <si>
    <t>La vacuna rusa NO está aprobada por la Comunidad Científica Internacional pero la aprobará la Cofepris en México. Es la vacuna barata, por eso la eligió el Gobierno.</t>
  </si>
  <si>
    <t>Solo México, Bielorrusia, Venezuela y Argentina apuestan por la vacuna rusa.</t>
  </si>
  <si>
    <t>Dos veces han negado el exhorto a Cofepris los @moreansenadores Si el Presidente necesita remdesivir para su tratamiento ¿lo comprarán en el mercado negro? RT @DrPacoMoreno1: Más de 150,000 fallecidos por #COVID19 en México y @COFEPRIS no aprueba el uso de remdesivir, bamlaminimav y baricitinib (requiere remdesivir para usarse). Esto favorece el mercado negro y retrasa el tratamiento médico. La salud de México requiere ayuda, no obstáculos.</t>
  </si>
  <si>
    <t>https://twitter.com/drpacomoreno1/status/1353899275416199169</t>
  </si>
  <si>
    <t>La vacuna #SputnikV solo funciona en papel, en teoría se ve bien. No se ha probado que sirva en la práctica. La OMS apenas la está analizando, Rusia ha sido cuestionada por la comunidad científica por presentar información falsa.</t>
  </si>
  <si>
    <t>Vacunas COVID para maestros de Campeche en lugar de personal médico. ¡Qué desprecio del Gobierno al personal de salud!</t>
  </si>
  <si>
    <t>🚨 COVID: México es el número uno en letalidad y en personal de salud muerto a nivel mundial.</t>
  </si>
  <si>
    <t>¿porqué por la vacuna rusa cuando no han terminado de hacerse las pruebas ni validaciones sobre la misma y los resultados no son los óptimos?No se tiene claridad sobre su eficacia y seguridad,aún no se tienen los estudios de la fase 3 y de la fase 2 se entregaron cifras alteradas RT @maloguzmanvero: ¿Para q ir tan lejos, cuando nuestro principal socio comercial podría ayudarnos? La q nos espera con este nuevo amigo y c/ las rusas variante región 4T. @m_ebrard @SRE_mx @SSalud_mx @lopezobrador_ @HLGatell Marcelo: ¡en la Matrushka!  /: @maloguzmanvero</t>
  </si>
  <si>
    <t>https://twitter.com/maloguzmanvero/status/1353738105644314624
https://www.sdpnoticias.com/columnas/veronica-malo-guzman-marcelo-en-la-matrushka.html</t>
  </si>
  <si>
    <t>México no requiere “afecto” de Rusia; un país antidemocrático, autoritario, sin libertad de expresión y corrupto. Menos necesitamos sus vacunas de mala calidad, no subestimen al pueblo.</t>
  </si>
  <si>
    <t>Por los 150 mil muertos COVID y para evitar que siga la masacre, es urgente que el Presidente @lopezobrador_ lea este libro. Así comprenderá las razones por las que México tiene la mayor tasa de mortalidad por caso en el mundo. ¿El Presidente fue engañado por López Gatell?</t>
  </si>
  <si>
    <t>https://pbs.twimg.com/media/EsllqbmU0AAoGYe.jpg</t>
  </si>
  <si>
    <t>Héctor De Mauleón via El Universal Sobre la ineptitud y la miseria de Lopez Gatell, indispensable texto de ⁦@hdemauleon⁩</t>
  </si>
  <si>
    <t>https://www.eluniversal.com.mx/opinion/hector-de-mauleon/la-tumba-de-gatell</t>
  </si>
  <si>
    <t>En mis oraciones para que la enfermedad sea leve y recupere pronto su salud Señor Presidente @lopezobrador_</t>
  </si>
  <si>
    <t>“Como tesis principal este libro advierte que el crimen no ha sido intencional ni premeditado, pero es el resultado de un grupo de médicos que renunciaron a la ciencia porque su móvil principal se volvió la política” ⁦@ricardomraphael⁩</t>
  </si>
  <si>
    <t>https://www.milenio.com/opinion/ricardo-raphael/politica-zoom/un-dano-irreparable</t>
  </si>
  <si>
    <t>Todos los que amenazan con dejar twitter, ya se tardaron. Nada más nos ilusionan 🤣</t>
  </si>
  <si>
    <t>Otra vez @MorenaSenadores se negaron a aprobar mi punto de acuerdo para exhortar a @COFEPRIS a autorizar el uso del Remdesivir contra el COVID-19, a pesar de la evidencia científica que lo respalda. Sen. @AntaresVazAla beneficia mercado negro a costa de la salud pública.</t>
  </si>
  <si>
    <t>Que en Paz Descanse tu mamá, en la Gloria de Dios 🙏🏻 Un abrazo solidario @jorgesuarezv</t>
  </si>
  <si>
    <t>https://pbs.twimg.com/media/EsQ-notVEAAnGC8.jpg</t>
  </si>
  <si>
    <t>El miedo no anda en burro 🤨 RT @CarlosTorresF_: ✋🏻⛔️ Morena frena comparecencia de Alcocer y López-Gatell en el Congreso para rendir cuentas por la pandemia 🥼 -  via @realidadsietemx</t>
  </si>
  <si>
    <t>https://twitter.com/carlostorresf_/status/1352034421042343936
https://bit.ly/38XzGkN</t>
  </si>
  <si>
    <t>No hay mal que dure cien años 😉</t>
  </si>
  <si>
    <t>Ella es Karol 🤓 necesita 3,500 dólares, ¡hay que ayudarle a juntarlos! 🚀</t>
  </si>
  <si>
    <t>https://pbs.twimg.com/media/EsM7zNFUYAAPrmE.jpg</t>
  </si>
  <si>
    <t>Y así pasaron a la historia Morena y la 4T: politizaron la salud. Gracias por evidenciarlos @lximenezfyvie</t>
  </si>
  <si>
    <t>https://pbs.twimg.com/media/EsJifaNVEAARhkp.jpg</t>
  </si>
  <si>
    <t>Honor a quien honor merece: la @sedena contestó bien y en 72 horas las preguntas que le hice sobre los contratos sin licitar relativos a los damnificados por lluvias en Tabasco. Reconozco al Secretario de la Defensa @Luis_C_Sandoval por la transparencia y rapidez de su respuesta.</t>
  </si>
  <si>
    <t>https://pbs.twimg.com/media/EsHAn_BVoAAP2Yn.jpg</t>
  </si>
  <si>
    <t>45.- ¿Cómo van a asegurar la aplicación de la segunda dosis a la población?</t>
  </si>
  <si>
    <t>44.-¿Se tiene previsto implementar un sistema de citas por internet o vía telefónica para una mejor organización en la vacunación? Indicar sí o no y brindar la información correspondiente.</t>
  </si>
  <si>
    <t>43.-¿Quién y cómo supervisa que los procesos de registro de las listas de vacunación que se elaboran en las instituciones de salud, no se encuentren alteradas?</t>
  </si>
  <si>
    <t>42.- Se solicita copia digitalizada del documento que establezca los lineamientos o criterios o en su caso, una explicación amplia del cómo se piensa llevar a cabo la vacunación del personal de salud que atiende a pacientes COVID-19 en los hospitales o clínicas privadas.</t>
  </si>
  <si>
    <t>41.- ¿Se tiene alguna estrategia o lineamientos para aplicar la vacuna a adultos mayores o personas con discapacidad que se les dificulte poder acudir a los centros de vacunación? Si es así, se solicita copia digitalizada del documento respectivo...</t>
  </si>
  <si>
    <t>40.- ¿Cuáles son las jornadas de trabajo que se tienen contempladas para el personal que llevará a cabo la vacunación? ¿Tendrán una remuneración adicional? ¿De cuánto?</t>
  </si>
  <si>
    <t>39.- En caso de que se apoye de personal de instituciones privadas, ¿cómo y por qué se determinará que así sea?</t>
  </si>
  <si>
    <t>38.- ¿Cómo se va a garantizar el suficiente número de personas encargadas para aplicar las vacunas COVID-19, así como que cuenten con la experiencia para ello? ¿Provienen sólo de instituciones públicas o también de privadas?</t>
  </si>
  <si>
    <t>37.-¿Cuáles son las medidas de seguridad que se han implementado para evitar el robo o la sustracción de las vacunas y así evitar su venta ilegal?</t>
  </si>
  <si>
    <t>36.- En caso de rentar los inmuebles en que se albergarán las máquinas de refrigeración o preservación de las vacunas, ¿cuál es el costo? Se solicita copia digitalizada de los contratos respectivos.</t>
  </si>
  <si>
    <t>35.- ¿Qué tipo de máquinas se compraron para tales efectos? Se requiere copia digitalizada de los contratos.</t>
  </si>
  <si>
    <t>34.- Se solicita el nombre, cargo y capacidad técnica de los servidores públicos, encargados de llevar a cabo ese proceso.</t>
  </si>
  <si>
    <t>33.-¿Cómo es el proceso de descongelamiento de las vacunas COVID-19?</t>
  </si>
  <si>
    <t>32.- ¿Se tiene contemplado algún tipo de responsabilidad en especial y cuál o cuáles serían para el caso de que se presenten efectos secundarios o de comprobarse la poca o nula eficacia de las vacunas?</t>
  </si>
  <si>
    <t>31.-¿Cuál es el nombre, cargo y la capacitación técnica de los servidores públicos encargados de cumplir con los procedimientos anteriores?</t>
  </si>
  <si>
    <t>30.- Se solicita copia digitalizada de la documentación que contenga los protocolos para el resguardo de las vacunas compradas, así como para su refrigeración, proceso de descongelamiento, aplicación y dosis para los sectores de la población.</t>
  </si>
  <si>
    <t>29.- Copia digitalizada del documento que contenga las indicaciones del tratamiento del material usado y desechable con motivo de la aplicación de las vacunas contra la COVID-19.</t>
  </si>
  <si>
    <t>solicita copia digitalizada de los contratos, convenios o acuerdos que celebró el Gobierno Federal con las empresas proveedoras para la compra de los suministros mencionados anteriores...</t>
  </si>
  <si>
    <t>http://28.Se</t>
  </si>
  <si>
    <t>27.- ¿Cuál es el costo que tendrán en forma unitaria y en total cada uno de los suministros o equipos necesarios para la aplicación de la vacuna como jeringas y agujas estériles, gasas, alcohol, gel antibacterial, cubrebocas, algodón, etc.?</t>
  </si>
  <si>
    <t>26.- Copias digitalizadas del documento que contenga el plan para garantizar los estándares de seguridad sanitaria de la vacuna contra la COVID-19, así como de las investigaciones o estudios clínicos que demuestren la eficacia de la vacuna.</t>
  </si>
  <si>
    <t>25.-¿Cuál es el costo de la transportación aérea de las vacunas desde el país de origen, así como en el interior de nuestro país?</t>
  </si>
  <si>
    <t>24.- Que se explique detalladamente si las vacunas que se han comprado son adecuadas para combatir la nueva variante o cepa del coronavirus SARS-CoV-2 que origina la enfermedad COVID-19, conocida como B117, que fue detectada originalmente en el Reino Unido.</t>
  </si>
  <si>
    <t>23.- Se solicita copia digitalizada de la información que contenga el número de vacunas que se han comprado hasta la fecha, así como el desglose que indique cómo se han aplicado.</t>
  </si>
  <si>
    <t>22.- Se solicita copia digitalizada de la documentación que establezca el proceso de "vacunación masiva" y en qué porcentaje real podrá cumplirse.</t>
  </si>
  <si>
    <t>21.- Se solicita copia digitalizada de la planeación presupuestal para el mantenimiento de las vacunas y para su implementación dentro de lo que se ha denominado “Campaña de vacunación masiva”.</t>
  </si>
  <si>
    <t>20.-¿Quién y cómo se determina que una vacuna se encuentra en condiciones óptimas para su aplicación, considerando que siempre mantuvo la temperatura adecuada?</t>
  </si>
  <si>
    <t>19.- ¿Cómo se va a garantizar que no se rompa la red de frío que requieren las vacunas cuando se trasladen en el interior del país?</t>
  </si>
  <si>
    <t>18.- Se solicita copia digitalizada de los contratos de compra o de renta de los depósitos o aparatos indicados en el punto anterior, en donde se pueda apreciar el gasto que está erogando el Gobierno Federal.</t>
  </si>
  <si>
    <t>17.- Los depósitos como congeladores o ultracongeladores que cumplan con las características técnicas de temperatura para la preservación de las vacunas, ¿son públicos o privados?</t>
  </si>
  <si>
    <t>16.- ¿Cuál y cómo es la investigación que se ha hecho para asegurar que las vacunas cuenten con la temperatura de preservación adecuada o red de frío?</t>
  </si>
  <si>
    <t>15.- Que se indique si el Gobierno Federal solicitó algún tipo de garantía y en su caso, se señale ¿cuál o cómo es, para que las empresas cumplan con la producción de las vacunas?</t>
  </si>
  <si>
    <t>14.- ¿Quién o quiénes serán los servidores públicos responsables de la vigilancia del cumplimiento de los procesos de compraventa?</t>
  </si>
  <si>
    <t>13.- ¿Cuáles son las sanciones o responsabilidades que se tienen contempladas para las partes involucradas en el caso del incumplimiento del número de vacunas o de su efectividad?</t>
  </si>
  <si>
    <t>12.- ¿Cuál es la dependencia que asumirá el gasto para la compra de las vacunas?</t>
  </si>
  <si>
    <t>11.- ¿Exactamente cuántas vacunas se han comprado, cuántas se piensan comprar y a qué empresas, así como el costo unitario de cada una de ellas y el total, según los documentos de compraventa respectivos?</t>
  </si>
  <si>
    <t>10.- Se solicita copia digitalizada del documento que contenga el proceso, plan o lineamientos para la implementación de las vacunas.</t>
  </si>
  <si>
    <t>9.- Se solicita la copia digitalizada de la autorización, documentos administrativos y/o jurídicos que se elaboraron para emitir la convocatoria o hacer la adjudicación directa para la compra de las vacunas.</t>
  </si>
  <si>
    <t>8.- Se solicita copia digitalizada del proceso de planeación y/o toma de decisiones para la compra de las vacunas.</t>
  </si>
  <si>
    <t>7.- ¿Qué instancia se está encargando de vigilar a los servidores públicos que pueden encontrarse en los supuestos anteriores?</t>
  </si>
  <si>
    <t>6.- ¿Cómo se ha garantizado que esos servidores públicos no tengan ningún tipo de conflicto de interés, ni mucho menos tengan beneficio en dinero o en especie de forma directa, indirecta o por interpósita persona que sea producto de soborno, cohecho o algún tipo de dádiva?</t>
  </si>
  <si>
    <t>5.- ¿Cuál es la responsabilidad y/o participación que esos servidores públicos han tenido y tienen en todo ese proceso de compra?</t>
  </si>
  <si>
    <t>4.- Se solicita el nombre y el cargo de los servidores públicos que han participado en todo el proceso de la compra de las vacunas, así como las dependencias o instituciones a las que se encuentran adscritos.</t>
  </si>
  <si>
    <t>3.- Se solicita copia digitalizada de los contratos, convenios o acuerdos que celebró el Gobierno Federal con las empresas farmacéuticas para la compra de la vacuna contra la COVID-19.</t>
  </si>
  <si>
    <t>2.- Si las farmacéuticas impusieron algún tipo de condición o acuerdos para la celebración de los documentos que respalden la compraventa de las vacunas, ¿cuáles son?</t>
  </si>
  <si>
    <t>1.- ¿Cuáles fueron las negociaciones previas para la firma de los contratos, convenios o acuerdos que celebró el Gobierno Federal con las empresas farmacéuticas para la compra de la vacuna contra la COVID-19?</t>
  </si>
  <si>
    <t>La @SSalud_mx no ha contestado nada de la información que le pedí sobre la compra de vacunas y la campaña de vacunación COVID. Publicaré aquí cada una de las preguntas que no responden...</t>
  </si>
  <si>
    <t>Twitter Query: -filter:retweets -filter:replies @LillyTellez</t>
  </si>
  <si>
    <t>𝐕𝐞𝐫ó𝐧𝐢𝐜𝐚 𝐆𝐨𝐧𝐳á𝐥𝐞𝐳</t>
  </si>
  <si>
    <t>La desinformación sobre la vacuna #SputnikV es parte de la propaganda negra entre los grandes especuladores que ven en la tragedia humana un negro negocio. En México usan a @LillyTellez para desprestigiar el esfuerzo de los científicos exponiendo gravemente a la población.</t>
  </si>
  <si>
    <t>https://pbs.twimg.com/media/Esrq6euXAAEk_e1.jpg</t>
  </si>
  <si>
    <t>México D.F. y Санкт-Петербург</t>
  </si>
  <si>
    <t>Una militante de #morena, que aspira a ser una representante popular y que se encuentra feliz de contribuir al cambio pacífico en mi país. ¡VIVA LA 4T!</t>
  </si>
  <si>
    <t>Bertha Caraveo</t>
  </si>
  <si>
    <t>Miren el nivel del "periodismo" y rigor de @LillyTellez: no tiene idea. La @COFEPRIS —así como otras agencias internacionales— sigue a analizando la autorización de la vacuna. Ya deje el terrorismo digital: da lástima, querida #LadyAntiVacunas. ❤️  RT @LillyTellez: @CaraveoBertha Tramposa y mentirosa usted. Aplaude la autorización en México de la vacuna rusa que aún no tiene el aval de la OMS ni de la comunidad científica internacional.</t>
  </si>
  <si>
    <t>https://www.reforma.com/continua-cofepris-analisis-de-vacuna-rusa-gatell/ar2112936?v=2
https://twitter.com/lillytellez/status/1354151418513346561</t>
  </si>
  <si>
    <t>Senadora por Chihuahua | Presidenta de la Comisión de Asuntos Fronterizos y Migratorios | Fundadora de Morena | Maestra universitaria| Feminista 💚</t>
  </si>
  <si>
    <t>http://www.senado.gob.mx/64/senador/1071</t>
  </si>
  <si>
    <t>Martín Arellano</t>
  </si>
  <si>
    <t>Van por la Sputnik V sólo esperan autorización de @LillyTellez RT @luisghernan: ¡¡¡PARALIZAN campaña de Vacunación... en Alemania!!! 😱 No les surten vacunas... apenas va 2% protegido.... Evidencia de un Estado Fallido ¡¡¡Gatell asesino debe irse!!! #AzíNoMerquel #AlemaniaSeHunde</t>
  </si>
  <si>
    <t>https://twitter.com/luisghernan/status/1354150447758548992
https://twitter.com/dw_espanol/status/1354115634913812481</t>
  </si>
  <si>
    <t>Produce y conduce en "Tuister y las Benditas Redes", entrevistas, información, análisis, un nuevo espacio diverso para la Redes Sociales.</t>
  </si>
  <si>
    <t>https://www.facebook.com/TuisteryBenditasRedes</t>
  </si>
  <si>
    <t>Juan sin Miedo</t>
  </si>
  <si>
    <t>Yo le creo más a @LillyTellez... A @HLGatell no le creo ni madres porque está contagiado del #PejeVidPinochus un Virus más dañino y difícil de eliminar que el Covid-19...</t>
  </si>
  <si>
    <t>https://www.facebook.com/100028434450300/posts/552881915669619/?sfnsn=scwspmo</t>
  </si>
  <si>
    <t>100% Anti-Amlo y Anti-Comunismo...</t>
  </si>
  <si>
    <t>Cecy Ortiz</t>
  </si>
  <si>
    <t>De lectora de telepromter de TV Azteca, chapulinear en el Senado a candidata para dirigir la OMS, WOW pinshi carrera meteórica de @LillyTellez . Quítaaaatee Tedros 😜😜😜</t>
  </si>
  <si>
    <t>Mr. Ed</t>
  </si>
  <si>
    <t>ccp : @LillyTellez RT @agustinyluca: En todos los países hay complicaciones serias. Ojalá los latinoamericanos lo entiendan</t>
  </si>
  <si>
    <t>https://twitter.com/agustinyluca/status/1354141880234160133
https://twitter.com/dw_espanol/status/1354115634913812481</t>
  </si>
  <si>
    <t>Ama a México.</t>
  </si>
  <si>
    <t>A besos entiendo : )</t>
  </si>
  <si>
    <t>A la idiota de @LillyTellez #NingunaVacunaLeEmbona Es miserable.</t>
  </si>
  <si>
    <t>https://pbs.twimg.com/media/EsrpsnyXMAUdlFF.jpg</t>
  </si>
  <si>
    <t xml:space="preserve"> México. </t>
  </si>
  <si>
    <t>Emegas</t>
  </si>
  <si>
    <t>Chales @LillyTellez ya no más!!!!</t>
  </si>
  <si>
    <t>https://pbs.twimg.com/media/EsrpkjkU4AA1sxi.jpg</t>
  </si>
  <si>
    <t>Alex Espinosa Toledo</t>
  </si>
  <si>
    <t>Es tan evidente el actuar de @LillyTellez que da pena, ignorancia total RT @AitorValls20: Cuando los empresarios y goberladrones de la @AFederalista buscaban afanosos la vacuna Sputnik y @lopezobrador_ permitió su compra, la lela @LillyTellez no decía nada, todo era perfecto. Ahora que sus amos no pudieron comprarla, que quedaron en ridículo, está rabiosa 🤷‍♂️</t>
  </si>
  <si>
    <t>https://twitter.com/AitorValls20/status/1354091446014382080</t>
  </si>
  <si>
    <t>El Espinal, Oaxaca</t>
  </si>
  <si>
    <t>Amante del campo Apoyo total AMLO Istmo de Tehuantepec Oaxaca</t>
  </si>
  <si>
    <t>C.P. Beatriz Rocha</t>
  </si>
  <si>
    <t>jjjjjjjjjjjjjjjjjjjajajajajajaja @LillyTellez ya te está haciendo caso el mundo jajajajajajaja RT @AitorValls20: Uff Premier Canciller Angela Merkel, igual en México @lopezobrador_ se la está pensando mucho, pues la opinión de tan docta y reconocida científica @LillyTellez nos hace dudar mucho, ajá 🤭 jijiji 🤣👇</t>
  </si>
  <si>
    <t>https://twitter.com/AitorValls20/status/1354103994415722498</t>
  </si>
  <si>
    <t>https://pbs.twimg.com/media/Esq-Z2KXUAElEHI.jpg</t>
  </si>
  <si>
    <t>Contador Pública y Docente en Finanzas, postgrado con especialidad en Dirección General Socia Fundadora de Rocha Consulting S.C.</t>
  </si>
  <si>
    <t>Benito Collado Gomez</t>
  </si>
  <si>
    <t>Esq para la pendejez no se estudia pero @LillyTellez tiene maestria en este rubro RT @guruchuirer: Lilly Téllez calificó la vacuna rusa Spuntnik V como la “vacuna barata” del mundo. “Por eso la eligió México para aprobarla”, aseguró.</t>
  </si>
  <si>
    <t>https://twitter.com/guruchuirer/status/1354139152397324289
http://ow.ly/euxl30rui0n</t>
  </si>
  <si>
    <t>Solidaridad, Quintana Roo</t>
  </si>
  <si>
    <t>A quien le explicas!</t>
  </si>
  <si>
    <t>No quieren a pacucha jajaja, pero si votaron por @LillyTellez la chapulina, que da clases de Arco, a los futuros Robin Hood, que desgracia de país.</t>
  </si>
  <si>
    <t>https://pbs.twimg.com/media/EsrpD-YXMAAmhPu.jpg</t>
  </si>
  <si>
    <t xml:space="preserve"> Lugar de la serpiente. </t>
  </si>
  <si>
    <t>Let it be! Love!</t>
  </si>
  <si>
    <t>J.G.Gómez#FuerzaPresidente</t>
  </si>
  <si>
    <t>¿Ya le pidieron permiso a @LillyTellez? RT @jenarovillamil: El cronograma del tercer vuelo que traerá vacunas desde Rusia se define en las próximas horas - Télam - Agencia Nacional de Noticias</t>
  </si>
  <si>
    <t>https://twitter.com/jenarovillamil/status/1354142686756835329
https://www.telam.com.ar/notas/202101/542507-el-cronograma-del-tercer-vuelo-que-traera-vacunas-desde-rusia-se-definira-en-las-proximas-horas.html</t>
  </si>
  <si>
    <t xml:space="preserve">Puebla de los Ángeles </t>
  </si>
  <si>
    <t>Diseñador Gráfico, catedrático y profesiónista independiente. No trabajo ni trabajé en gobierno, vivo sólo de lo que gano. Mi única fuerza y guía es Dios.</t>
  </si>
  <si>
    <t>https://www.facebook.com/DEI-253649804807053/</t>
  </si>
  <si>
    <t>jjjjjjjjjjjjjjjjjjjjjjjajajajajajajaja @LillyTellez ya podrá dormir tranquila jajajajajajajajajajaja RT @SamyAlvarezGtz: 🤣 🤣 🤣 🤣 🤣 El sueño guajiro de cierta Senadora Chapulina</t>
  </si>
  <si>
    <t>https://twitter.com/SamyAlvarezGtz/status/1354095271890751495</t>
  </si>
  <si>
    <t>https://pbs.twimg.com/media/Esq2eT7XMAI-woF.jpg</t>
  </si>
  <si>
    <t>Aquí elaboré un hilo para que todo el pueblo de México tenga certeza y seguridad respecto al terrorismo digital de #LadyAntiVacunas @LillyTellez. A los hechos no le importan sus sentimientos, ni filias o fobias. RT @CaraveoBertha: Es muy sencillo desmentir el terrorismo digital y la infodemia de @LillyTellez. En primer lugar, México adquirió 24 millones de dosis de la vacuna Sputnik V para garantizar el abasto a todo México.</t>
  </si>
  <si>
    <t>https://twitter.com/caraveobertha/status/1354124235422064640
https://www.eluniversal.com.mx/nacion/vacuna-sputnik-v-podria-llegar-este-mes-pero-esperara-aval-de-cofepris-lopez-gatell</t>
  </si>
  <si>
    <t>Elena Edmonson</t>
  </si>
  <si>
    <t>ESTA INFORMACION LE CORTAN LA LENGUA VIPERINA A LA TREPADORA PUTRIDA POLCA @LillyTellez RT @camaney19: Mire este video señora oportunista, trepadora y divulgadora de #FakeNews como toda buena PANISTA.</t>
  </si>
  <si>
    <t>https://twitter.com/camaney19/status/1354135336163618822</t>
  </si>
  <si>
    <t>pic.twitter.com/WzjgIAdzRn</t>
  </si>
  <si>
    <t>Ｅｄｇａｒ Ｇａｒｃíａ</t>
  </si>
  <si>
    <t>Para la senadora @LillyTellez ahora es especialista en pandemias y virus, la chapulina</t>
  </si>
  <si>
    <t>https://pbs.twimg.com/media/EsrofKZW8AAJSnZ.jpg</t>
  </si>
  <si>
    <t>Cᴏᴍᴜɴɪᴄᴏ́ʟᴏɢᴏ ᴀᴘᴀsɪᴏɴᴀᴅᴏ ᴅᴇʟ ⚽️. Esᴄʀɪᴛᴏʀ ʏ ʟᴇᴄᴛᴏʀ ᴇɴ ᴍᴇᴅɪᴏs ᴇʟᴇᴄᴛʀᴏ́ɴɪᴄᴏs. Sᴏᴄɪᴀʟ Mᴇᴅɪᴀ Mᴀɴᴀɢᴇʀ. Sɪ́ɢᴜᴇᴍᴇ ʏ ᴛᴇ sɪɢᴏ.</t>
  </si>
  <si>
    <t>susy</t>
  </si>
  <si>
    <t>Mira @LillyTellez gran noticia!! Se vale llorar!! #LillyTellezNoMeRepresenta #OposicionMiserable #NiUnVotoAlPRIANPRDMC2021 RT @lajornadaonline: .@COFEPRIS autorizó hoy el uso de emergencia de la #vacuna rusa contra el #COVID19, #SputnikV, por lo que el siguiente paso es la firma del contrato con el Fondo de Inversión Ruso, informó @HLGatell.</t>
  </si>
  <si>
    <t>https://twitter.com/lajornadaonline/status/1354118397018206218
https://bit.ly/2MoEneE</t>
  </si>
  <si>
    <t>APOYO A MEXICO 🇲🇽 APOYO A AMLO 🇲🇽NO SOY BOT AUNQUE LES DUELA</t>
  </si>
  <si>
    <t>ASNO CRITICO</t>
  </si>
  <si>
    <t>Con la novedad PRRESIDENTE PUTIN,que la @LillyTellez no acepta la vacuna que enviarremos a México ¿Y ahorra que hacemos? -A jijos de la Matrushca y ¿Quién chingadros es esa? Que no mamushque...juar juar,jugar...</t>
  </si>
  <si>
    <t>https://pbs.twimg.com/media/EsroZm6XEAE7kej.jpg</t>
  </si>
  <si>
    <t>Yo apoyo al Presidente AMLO y la 4T. YouTube</t>
  </si>
  <si>
    <t>https://www.youtube.com/channel/UCAbKORztxHcvLXQ8akhzINA?view_as=subscriber</t>
  </si>
  <si>
    <t>Axel Roce</t>
  </si>
  <si>
    <t>Pregunta: Puede la @SFP_mx investigar , a La "senadora" @LillyTellez ,por su actuar ,de q en vez de trabajar como se debe, se dedique solo a fomentar el Odio Clasismo Racismo Fomentar Mentiras En contra de un gobierno LEGITIMO , respaldado por el 98 % de los Mexicanos ,se puede</t>
  </si>
  <si>
    <t>🇮🇹🇮🇹🌟OBRADORISTA DE CORAZÓN🌟‼️‼️‼️🌟🇮🇹🇮🇹</t>
  </si>
  <si>
    <t>Asador, Ahumador y Loco. 😎🍖🥩 carnívoro.</t>
  </si>
  <si>
    <t>Se me vienen a la mente, @LillyTellez , @CarlosLoret, @brozoxmiswebs ,@CiroGomezL, @FelipeCalderon etc etc etc #OposicionMiserable</t>
  </si>
  <si>
    <t>cuenta víctima de Twitter... asador, ahumador y loco... la #4T va... partido Obradorista.</t>
  </si>
  <si>
    <t>Martínez Guzmán</t>
  </si>
  <si>
    <t>Te hablan @LillyTellez</t>
  </si>
  <si>
    <t>https://pbs.twimg.com/media/EsroC2vXIAE7cTz.jpg</t>
  </si>
  <si>
    <t>Tlalnepantla de Baz, México</t>
  </si>
  <si>
    <t>#RedChairoMx #RedEnDefensaDeAMLO #RedChairosUnidos</t>
  </si>
  <si>
    <t>hernandez miguel</t>
  </si>
  <si>
    <t>La Salud sin ideologías. Grave postura de @LillyTellez valorar la Salud y un gobierno de Confianza como el de AMLO justo lo que México necesita. Se debe de comprar Pfizer, la de Johnson &amp; Johnson, hasta un remedio casero de prevención (valoro medicina milenaria) @lajornadaonline RT @CALOLUNA: Merkel ofrece apoyo a Moscú para entrada de vacuna rusa Sputnik V a UE La canciller Angela Merkel ofreció apoyo técnico en el proceso para que la Unión Europea autorice la vacuna rusa Sputnik V.</t>
  </si>
  <si>
    <t>https://twitter.com/CALOLUNA/status/1354145945017978880
https://www.forbes.com.mx/mundo-merkel-apoyo-moscu-vacuna-rusa-sputnik-v-ue/</t>
  </si>
  <si>
    <t>Sin Censura</t>
  </si>
  <si>
    <t>La senadora traidora del @AccionNacional @LillyTellez ahora trae campaña contra la vacuna rusa Sputnik V. Lo platicamos con la diputada de @PartidoMorenaMx @irmajuancarlos</t>
  </si>
  <si>
    <t>https://youtu.be/w5XGzOkGS7Q</t>
  </si>
  <si>
    <t>Chicago, IL</t>
  </si>
  <si>
    <t>Informando como los chayoteros no se atreven o no les conviene porque no van a morder la mano que les da tragar. Suscríbete: http://Youtube.com/SinCensuraMedia</t>
  </si>
  <si>
    <t>http://www.youtube.com/SinCensuraMedia</t>
  </si>
  <si>
    <t>El Hincha Rojo ☭</t>
  </si>
  <si>
    <t>Pregúntele primero a @LillyTellez si está de acuerdo. No se vaya a enojar. ☝🏾 RT @jenarovillamil: Merkel ofrece apoyo a Moscú para entrada de vacuna rusa Sputnik V a UE</t>
  </si>
  <si>
    <t>https://twitter.com/jenarovillamil/status/1354129243014221825
https://www.forbes.com.mx/mundo-merkel-apoyo-moscu-vacuna-rusa-sputnik-v-ue/</t>
  </si>
  <si>
    <t>Los vecinos lo querían porque él era marrón y blanco, como el Platense; el club de fútbol del barrio, que casi nunca ganaba.</t>
  </si>
  <si>
    <t>gatopoliticomx</t>
  </si>
  <si>
    <t>No solo es eso senadora @LillyTellez es que dice muchas estupideces y la verdad creo que es una mujer con daño moral.</t>
  </si>
  <si>
    <t>https://pbs.twimg.com/media/Esrn5xCXYAQUOap.jpg</t>
  </si>
  <si>
    <t>gato interesado en la politica de Mexico...</t>
  </si>
  <si>
    <t>Flor de Maria Cortes de la Vega</t>
  </si>
  <si>
    <t>Perdón pero ya sabemos Quién no sabe leer verdad?? @LillyTellez Ni hablar ni vestirse ni caminar lo único que sabe es sonreírle a Peña y hacerle la barba a nuestro presidente Para llegar a dónde está Hipocrita!!! RT @CaraveoBertha: Eso quiere decir impulsar el aval: apoyo técnico y de gestión para que la Agencia Europea del Medicamento logre una homologación en la vacuna Sputnik V. Ninguna vacuna se aplicará sin la autorización de @COFEPRIS. Deje de infundirle miedo al pueblo, no haga terrorismo digital.</t>
  </si>
  <si>
    <t>https://twitter.com/CaraveoBertha/status/1354120364578672640
https://twitter.com/lillytellez/status/1354119169776599040</t>
  </si>
  <si>
    <t>Nicolás Corte 🇲🇽</t>
  </si>
  <si>
    <t>😷Cuando en la boleta vean a los candidatos de la farándula que lanzaron toooodos los partidos, recuerden las gestiones de @LillyTellez y @cuauhtemocb10... Solo por dar ejemplos, manos.</t>
  </si>
  <si>
    <t>pic.twitter.com/viiliUFUf6</t>
  </si>
  <si>
    <t>Mexicano de Morelos y chilango de corazón. 📷 También soy un @amigostrota ✈️. Las opiniones en este perfil son personales☝🏼🧐.</t>
  </si>
  <si>
    <t>http://nicolascorte.tumblr.com/</t>
  </si>
  <si>
    <t>Fuser</t>
  </si>
  <si>
    <t>You are a disgrace @LillyTellez ! Hope you learn your lesson! RT @Noti_Beka: #lillytellez quizá esto te sirva, países solicitando vacuna Rusa tras eficacia y enorme confiabilidad, lo que es abrir la boca antes de tiempo. 🤐</t>
  </si>
  <si>
    <t>https://twitter.com/noti_beka/status/1354148706996596736</t>
  </si>
  <si>
    <t>pic.twitter.com/mYWyfwtRUT</t>
  </si>
  <si>
    <t>United States</t>
  </si>
  <si>
    <t>Un sanador utiliza varios recursos y diversos métodos para poder obtener la sanación física, emocional y espiritual de la persona. BE A HEALER....</t>
  </si>
  <si>
    <t>Arturo Huerta</t>
  </si>
  <si>
    <t>Hay que mandarles a @LillyTellez, @Chertorivski y compañía. En 8 semanas les arreglan el problema. RT @dw_espanol: Alemania se atasca en la vacunación El país no ha vacunado siquiera al 2% de la población y no solo por problemas burocráticos, sino también porque los laboratorios aún no pueden enviar las dosis pactadas. Más información con @UrsulaMorenoDW. (lis)</t>
  </si>
  <si>
    <t>http://Instagram.com/arturo_huerta</t>
  </si>
  <si>
    <t>Amber E.K ʙᴇ⁷</t>
  </si>
  <si>
    <t>Yo leyendo el retweet de @ViolettiTahti , men pinche fijado tan más cringe ni a mujer inteligente llegas como para ponerte el nombre de un súcubo de religiones contra el feminismo men. Nmms La URSS está tan muerto el 4T, está como la @LillyTellez peor que su carrera política 🤢</t>
  </si>
  <si>
    <t>pic.twitter.com/LpTCPK53sC</t>
  </si>
  <si>
    <t>Se de todo pero aún sigo aprendiendo.__________ 💜✨ ⟭⟬⁷ o ⟬⟭⁷ ✨💜 MEH</t>
  </si>
  <si>
    <t>Horace Pacey</t>
  </si>
  <si>
    <t>Que pregunten por la de sputnik v, espero y @LillyTellez no se enoje con ellos. RT @SadimLopez: 🤣🤣🤣 No se rían por favor.... ... mejor sí, ríanse. 🤣🤣🤣</t>
  </si>
  <si>
    <t>https://twitter.com/SadimLopez/status/1353898603216044032</t>
  </si>
  <si>
    <t>https://pbs.twimg.com/media/EsoDmteXIAAUo-s.jpg</t>
  </si>
  <si>
    <t>Efren David 🌹</t>
  </si>
  <si>
    <t>Aquí esperando a que el laboratorio de la Dra @LillyTellez realice las pruebas pertinentes y autorice el uso de la vacuna rusa</t>
  </si>
  <si>
    <t>https://pbs.twimg.com/media/EsrnU2OUUAEuzEd.jpg</t>
  </si>
  <si>
    <t>Huauchinango, Puebla</t>
  </si>
  <si>
    <t>No chanceo 🚫 #LaLegiónDeLosPerritosPachones 🐾</t>
  </si>
  <si>
    <t>Cómo les quedó el ojo @LillyTellez @LeonKrauze Y toda la demás basura MATRAQUEROS!!! SÓLO FALTA LA RIDÍCULA ESA QUE SE TIRA AL PISO!!! RT @Alfondiabolo: La Cofepris autorizó hoy el uso de emergencia de la vacuna rusa Sputnik V, por lo que el siguiente paso es la firma del contrato con el Fondo de Inversión Ruso, informó Hugo López-Gatell. 👇</t>
  </si>
  <si>
    <t>https://twitter.com/Alfondiabolo/status/1354124340191748096
https://www.jornada.com.mx/ultimas/politica/2021/01/26/autoriza-cofepris-uso-de-sputnik-v-5122.html</t>
  </si>
  <si>
    <t>Fabiola 🇲🇽</t>
  </si>
  <si>
    <t>Y si lo dice @LillyTellez es verdad, mira que ella es la experta del mundo mundial! RT @jaretos: "En aprietos por la experta PANdemióloga" de Maestro Antonio Rodríguez @rodriguezmonos 👇🏻</t>
  </si>
  <si>
    <t>https://twitter.com/jaretos/status/1354067051598340096</t>
  </si>
  <si>
    <t>https://pbs.twimg.com/media/Esqcza7VEAcb2lL.jpg</t>
  </si>
  <si>
    <t>San Francisco, CA</t>
  </si>
  <si>
    <t>“Do not go where the path may lead, go instead where there is no path and leave a trail." -Ralph Waldo Emerson 🚫 DM</t>
  </si>
  <si>
    <t>Juan G. MD.</t>
  </si>
  <si>
    <t>Y que dirá @LillyTellez ??? RT @jenarovillamil: Merkel ofrece apoyo a Moscú para entrada de vacuna rusa Sputnik V a UE</t>
  </si>
  <si>
    <t>Epidemiologo</t>
  </si>
  <si>
    <t>Jajajaja este igual de Ridículo que la @LillyTellez MATRAQUEROS!!! RT @LeonKrauze: La vacuna rusa NO ha sido aprobada por la @US_FDA para su uso en Estados Unidos. La @EMA_News TAMPOCO ha publicado su análisis final sobre la Sputnik V. Esos son los hechos. No la descalifica a futuro, pero esos son los hechos hoy. Veremos qué dice @COFEPRIS</t>
  </si>
  <si>
    <t>https://twitter.com/LeonKrauze/status/1354099179530776576</t>
  </si>
  <si>
    <t>Ese es el nivel de la terrorista @LillyTellez RT @rochaperiodista: ¿Cuándo delibera el comité de tuiteros y tuiteras expertos en vacunas para saber si aprueban o no la rusa Sputnik V?</t>
  </si>
  <si>
    <t>https://twitter.com/rochaperiodista/status/1354077861464973314</t>
  </si>
  <si>
    <t>Senadora, los adultos sin miedos irracionales con tintes conspiranoicos y con visión de Estado se están encargando del tema. Ya no haga berrinche. Por el bien de 🇲🇽 le solicito a #LadyAntiVacunas que deje de impulsar tan lamentable agenda: es peligrosa. @LillyTellez RT @LillyTellez: @CaraveoBertha Alerté que esa vacuna no tiene autorización de la OMS ni de la comunidad científica internacional.</t>
  </si>
  <si>
    <t>https://twitter.com/lillytellez/status/1354146659102466049</t>
  </si>
  <si>
    <t>Olimpia Tapia</t>
  </si>
  <si>
    <t>Esto es para que se entere la idiota de @LillyTellez , entérate bruja... 👇🏼 RT @alvaro_delgado: La vacuna Sputnik V, según Rusia: Ha sido confirmada la eficacia del 91,4% por el análisis de los datos en el punto de control final de los ensayos clínicos. La eficacia de la vacuna frente a los casos graves de infección por coronavirus es del 100%.</t>
  </si>
  <si>
    <t>https://twitter.com/alvaro_delgado/status/1354079295778529288
https://sputnikvaccine.com/esp/about-vaccine/</t>
  </si>
  <si>
    <t>#RedAmlo, #RedChairoMx, #AMLOVER, adoradora de mi patria México 🇲🇽 y de mis hijos 👩🏻👦🏻 Amo a los animales, en especial a mis hermosos mininos.😺 🐾</t>
  </si>
  <si>
    <t>TENEJAPAN BOY</t>
  </si>
  <si>
    <t>#AhiTeHablan #LadyAmbulancia @LillyTellez RT @salgado_juvenal: Quien politice una vacuna o medicina por querer pegarle a los adversarios políticos, deberían tener sanciones tan severas como las tiene un asesino.</t>
  </si>
  <si>
    <t>https://twitter.com/salgado_juvenal/status/1354125515557232640</t>
  </si>
  <si>
    <t>En una particula del cosmos</t>
  </si>
  <si>
    <t>Cavernícola conuna desproporcionada adicción x estar solo El neanderthal + joven dl mundo 58 milkm Primaria Trunca EL PEOR D TODOS MAMÓN COMUNISTA ZURDO PRIETO</t>
  </si>
  <si>
    <t>http://tenejapanboy.wordpress.com</t>
  </si>
  <si>
    <t>Leti Sanz #FuerzaPresidente</t>
  </si>
  <si>
    <t>Es obvio que agencias de EU no quieren aprobar la vacuna rusa, OBVIO. Por eso Angela Merkel ofreció su ayuda para que se termine de aprobar en Europa 🙄🙄🙄 No las mentiras de ⁦@LillyTellez⁩</t>
  </si>
  <si>
    <t>https://pbs.twimg.com/media/EsrmSkoUYAA6dJR.jpg</t>
  </si>
  <si>
    <t>Obradorista empedernida; feliz, feliz, feliz viendo que las cosas se pueden mejorar</t>
  </si>
  <si>
    <t>M. A. Lopez Trinidad</t>
  </si>
  <si>
    <t>Háganle caso a la epidemiologa estrella @LillyTellez... chinga! RT @Evayflork1: 😂 tu tía la panista</t>
  </si>
  <si>
    <t>https://twitter.com/evayflork1/status/1354012035286142976</t>
  </si>
  <si>
    <t>https://pbs.twimg.com/media/EspqxOrUUAAMzHA.jpg</t>
  </si>
  <si>
    <t>Científico en tecnologías de la información. Apoyo a la vinculación entre centros de investigación, gobierno e industria en conceptos de la Industria 4.0.</t>
  </si>
  <si>
    <t>Francisco J. Zúñiga</t>
  </si>
  <si>
    <t>Con dedicatoria para @LillyTellez RT @Matador08640286:</t>
  </si>
  <si>
    <t>https://twitter.com/Matador08640286/status/1354079275440349188</t>
  </si>
  <si>
    <t>https://pbs.twimg.com/media/Esqn7MKXYAISM-O.jpg</t>
  </si>
  <si>
    <t>Esta es la Biblia de @LillyTellez RT @JD_shoe: Lilly Téllez todas las noches. No le falla! 🤦🏻‍♀️</t>
  </si>
  <si>
    <t>https://twitter.com/JD_shoe/status/1353908301893754881</t>
  </si>
  <si>
    <t>https://pbs.twimg.com/media/EsoMa1TUwAMniQN.jpg</t>
  </si>
  <si>
    <t>denial</t>
  </si>
  <si>
    <t>Dejo esto por aquí @LillyTellez, senadora cómo servidora pública que es, le exigo deje esparcir #fakenews... Deje de ser la burla en la que se ha convertido...</t>
  </si>
  <si>
    <t>https://vm.tiktok.com/ZMJEhCVvP/</t>
  </si>
  <si>
    <t xml:space="preserve">Cdmx </t>
  </si>
  <si>
    <t>Crítico empedernido</t>
  </si>
  <si>
    <t>Escucha @LillyTellez RT @MalthusGamba: ¿Desder cuándo Lilly Téllez habla en nombre del pueblo de México? ¿De dónde saca que el pueblo no quiere la vacuna rusa? La señora llegó al senado por el apoyo que la gente brinda a Morena y a @lopezobrador_ Traicionó al partido y hoy está sola #OposicionMiserable</t>
  </si>
  <si>
    <t>https://twitter.com/MalthusGamba/status/1354077253265747968</t>
  </si>
  <si>
    <t>Jajajaja la antiabortista, la traidora, la oportunista de #LadyAmbulancia @LillyTellez en exhibición de su ignorancia, en una de esas le contesta que la mitad de Alemania si es roja jajajaja</t>
  </si>
  <si>
    <t>https://pbs.twimg.com/media/Esrl3rkVEAAOYro.jpg</t>
  </si>
  <si>
    <t>Hortencia Frias M No soy bot🇲🇽CDMX</t>
  </si>
  <si>
    <t>Mmm dura decisión. La CHAPULINA @LillyTellez Sabe mucho de todos los temas🤣😂🤣😂🤣😂 RT @Erikamelonheart: Tengo un conflicto interno durísimo ¿creerle a Angela Merkel o a Lilly Tellez? 🤔</t>
  </si>
  <si>
    <t>https://twitter.com/Erikamelonheart/status/1353936836935245824</t>
  </si>
  <si>
    <t>Pelusita LaChairaRegia</t>
  </si>
  <si>
    <t>Y la @LillyTellez q cree q las vacunas se venden como los bolis en Sonora 👇🏼👇🏼👇🏼Alemania como todos los países con problemas para comprarlas. Así la senadora más ignorante q se tiene en ese recinto. Senadora @AntaresVazAla ya siéntennos a esta mentirosa compulsiva. RT @dw_espanol: Alemania se atasca en la vacunación El país no ha vacunado siquiera al 2% de la población y no solo por problemas burocráticos, sino también porque los laboratorios aún no pueden enviar las dosis pactadas. Más información con @UrsulaMorenoDW. (lis)</t>
  </si>
  <si>
    <t>Ingeniera que gusta de tomar cafecito and jardinear.</t>
  </si>
  <si>
    <t>Las cosas se toman de quien vienen</t>
  </si>
  <si>
    <t>Dice @LillyTellez que ella no quiere la vacuna Rusa... Pues como decía mi Ama, Entre menos burros , más olotes...</t>
  </si>
  <si>
    <t>México 🇲🇽 😍😍💮💮🌼🌼</t>
  </si>
  <si>
    <t>Mama,Esposa y Trabajadora, buscadora de un México mejor, Amante de las Series,Películas, Noticias, Tenis, Fútbol, Musica y etc.</t>
  </si>
  <si>
    <t>Marcela distancia</t>
  </si>
  <si>
    <t>Saben cuándo es la conferencia de prensa de la dentista y @LillyTellez para tirar línea sobre las vacunas? Quiero tomar nota.</t>
  </si>
  <si>
    <t>#RedAmlo Defensora de la 4T. llevo toda mi vida esperando llegar a este momento en el pais. No me lo voy a perder! .🤗</t>
  </si>
  <si>
    <t>Noé Aguila</t>
  </si>
  <si>
    <t>Yo le creo a @LillyTellez era la más brillante en su clase de química en la secundaria.</t>
  </si>
  <si>
    <t>EL MADERENSE 🇲🇽TAMAULIPAS</t>
  </si>
  <si>
    <t>¿Cuales son los estudios o analisis hechos por @LillyTellez para juzgar a la vacuna #SputnikV? La verdad ninguno. Su clasismo influye en su pensar. Simplemente habla a lo pendejo y prejuzga políticamente. Confude la política y la biología #BastaDeMentirasLillyTellez</t>
  </si>
  <si>
    <t>#Chairo #ChairoAmlover 🇲🇽🇲🇽🇲🇽 #RedAMLOTamaulipas 🇲🇽🇲🇽🇲🇽🇲🇽 #AMLOEstamosContigo 🇲🇽🇲🇽🇲🇽</t>
  </si>
  <si>
    <t>Ęllă</t>
  </si>
  <si>
    <t>Aunque le arda el fundillo a la chapulina @LillyTellez RT @Alfondiabolo: La Cofepris autorizó hoy el uso de emergencia de la vacuna rusa Sputnik V, por lo que el siguiente paso es la firma del contrato con el Fondo de Inversión Ruso, informó Hugo López-Gatell. 👇</t>
  </si>
  <si>
    <t>En mi casa.</t>
  </si>
  <si>
    <t>-Estamos aquí para reírnos del destino y vivir tan bien nuestra vida que la muerte temblará al recibirnos- C. Bukowski. ❤de un Sucio de dudosa reputación. 🚫DM</t>
  </si>
  <si>
    <t>Tonys Janek Kelian. #JuicioaExpresidentes #RedAMLO</t>
  </si>
  <si>
    <t>Esto es por lo que te pagan, también te gusta terminar Como toda una heroína de la de la desinformación. Lástima que solo quedas bien para esa minoría rapas. Para el resto no existes ya... @LillyTellez reflexiona❤️ Existen mil maneras de informarse S-putnik V. Es la más efectiva. RT @LillyTellez: La vacuna rusa NO está aprobada por la Comunidad Científica Internacional pero la aprobará la Cofepris en México. Es la vacuna barata, por eso la eligió el Gobierno.</t>
  </si>
  <si>
    <t>https://twitter.com/LillyTellez/status/1354079501110681606</t>
  </si>
  <si>
    <t>Aquí! en mi México Querido.</t>
  </si>
  <si>
    <t>LEY REGLAMENTARIA DEL ARTÍCULO 6o., PÁRRAFO PRIMERO, DE LA CONSTITUCIÓN POLÍTICA DE LOS ESTADOS UNIDOS MEXICANOS, EN MATERIA DEL DERECHO DE RÉPLICA.</t>
  </si>
  <si>
    <t>_elfausto_</t>
  </si>
  <si>
    <t>Saben si @LillyTellez ya puso su cara de idiota al saber que @COFEPRIS autorizó el uso de emergencia de la @sputnikv ?</t>
  </si>
  <si>
    <t>Locutor todos los miércoles a las 7 de la noche//Amlover de tiempo completo// Iniciando los conocimientos oculistas//PM en lo laboral//🤘🏼😁</t>
  </si>
  <si>
    <t>Propongo que @HLGatell abra algún curso sobre epidemiología o vacunación masiva para que #LadyAntiVacunas (@LillyTellez) pueda estudiar un poco sobre el tema.</t>
  </si>
  <si>
    <t>POMPEYO GARCÍA ROSIL</t>
  </si>
  <si>
    <t>Va a denunciar @LillyTellez a los de COFEPRIS por haber autorizado la SPUTNIK V?</t>
  </si>
  <si>
    <t>Lilly A continuación un chiste bien cagao....ahí Tá... @LillyTellez</t>
  </si>
  <si>
    <t>https://pbs.twimg.com/media/EsrlBzTWMAgBPt-.jpg</t>
  </si>
  <si>
    <t>Claro la piltrafa de Pseudo Senadora tenía que aparecer en pasquines y basura Como ella, son tal para cual pero es muy fácil, aunque reviente la vacuna para llegar y si no se la pone @LillyTellez mejor!!! Más nos alcanza, Lástima que no hay vacuna que quite lo bruto y lo FEO!! RT @El_Universal_Mx: "Es la vacuna barata, por eso la eligió el Gobierno”, criticó Lilly Téllez</t>
  </si>
  <si>
    <t>https://twitter.com/El_Universal_Mx/status/1354092230550704129
https://www.eluniversal.com.mx/nacion/lilly-tellez-sputnik-v-es-la-vacuna-barata-por-eso-la-eligio-el-gobierno-la-aprobara-cofepris</t>
  </si>
  <si>
    <t>Jorge</t>
  </si>
  <si>
    <t>Pues creo que hay que fincar responsabilidades a los negligentes, no se trata de hacer experimentos con los personas @LeonKrauze @LillyTellez @brozoxmiswebs no vayan a salir al rato con usted disculpe no sabíamos RT @LeonKrauze: La vacuna rusa NO ha sido aprobada por la @US_FDA para su uso en Estados Unidos. La @EMA_News TAMPOCO ha publicado su análisis final sobre la Sputnik V. Esos son los hechos. No la descalifica a futuro, pero esos son los hechos hoy. Veremos qué dice @COFEPRIS</t>
  </si>
  <si>
    <t>No hay vacunas suficientes en todo el mundo. Aún así, 🇲🇽 en pleno compromiso con el derecho a la salud logró 24 millones de dosis de la vacuna Sputnik V. ¿Qué hizo #LadyAntiVacunas (@LillyTellez)? Hacer terrorismo digital e impulsar el miedo. Están moralmente derrotados.</t>
  </si>
  <si>
    <t>Tony Gucasi</t>
  </si>
  <si>
    <t>Así o más claro @LillyTellez "𝐐𝐔𝐄 𝐓𝐄 𝐏𝐎𝐍𝐆𝐀𝐒 𝐀 𝐄𝐒𝐓𝐔𝐃𝐈𝐀𝐑" digo esta c4br0n pedirle manzanas al olmo, o que cante un guajolote, pero en fin, saludos. ✌️😎 RT @CaraveoBertha: La infodemia se ve mal, pero la Senadora @LillyTellez como anti-vacunas y terrorista digital se ve mucho peor. Qué pésimo ejemplo le está dando a México. Si usted hubiera sido mi alumna, estaría reprobada en "Ética y Valores". Antes de tuitear póngase a estudiar.</t>
  </si>
  <si>
    <t>https://twitter.com/CaraveoBertha/status/1354129319900057600</t>
  </si>
  <si>
    <t>Me gusta leer y comprender, 𝖀𝖓 𝖕𝖑𝖆𝖈𝖊𝖗 𝖘𝖊𝖌𝖚𝖎𝖗𝖙𝖊. ✌️😎 #estoyconamlo 💯 #𝘀𝘂𝘀𝗰𝗿í𝗯𝗲𝘁𝗲 a mi canal #youtube http://bit.ly/YouTube_Tony-G…</t>
  </si>
  <si>
    <t>Así la idiota de la @LillyTellez ... 🤣🤣🤣🤣🤣🤣🤣🤣🤣🤣🤣🤣🤣🤣🤣🤣🤣🤣🤣🤣🤣🤣🤣🤣 RT @SamyAlvarezGtz: 🤣 🤣 🤣 🤣 🤣 El sueño guajiro de cierta Senadora Chapulina</t>
  </si>
  <si>
    <t>https://twitter.com/samyalvarezgtz/status/1354095271890751495</t>
  </si>
  <si>
    <t>George</t>
  </si>
  <si>
    <t>Todo mi apoyo a la bella senadora @LillyTellez</t>
  </si>
  <si>
    <t>Diego</t>
  </si>
  <si>
    <t>¡Oigan, qué interesante! Se me ocurrió tuitear a favor de @LillyTellez y se me lanzaron los zombies bots pro cuatroté, furiosos. Algo estoy haciendo bien. 😊🙏🏻</t>
  </si>
  <si>
    <t>Amo viajar 🌎| Músico por convicción | Huasteco por adopción.</t>
  </si>
  <si>
    <t>Carlos Padilla 🇲🇽</t>
  </si>
  <si>
    <t>Lilly, la Pfizer tampoco ha sido aprobada x la FDA, está en: “usese en caso d emergencia y al no haber nada más”. Sigue en estado d experimentación. La rusa está igual, y Merkel le dará entrada a Alemania. Pq criticar a AMLO y no a Merkel? @LillyTellez</t>
  </si>
  <si>
    <t>https://www.google.com.mx/amp/s/www.latimes.com/espanol/california/articulo/2020-12-14/muchas-cosas-son-diferentes-cuando-esta%3f_amp=true</t>
  </si>
  <si>
    <t>Ramos Arizpe</t>
  </si>
  <si>
    <t>Ante todo, defender con ideas al pueblo de México</t>
  </si>
  <si>
    <t>Alfredo Acevedo A</t>
  </si>
  <si>
    <t>Reflexión matutina: Con personajes como @MarkoCortes, @LillyTellez y Lupita Jones militando... ¡Dios me libre de ser panista! Si eso pasara, me pagaría un tiro!</t>
  </si>
  <si>
    <t>Amante de los autos, del arte, la verdad y la libertad. Políglota. Miembro del Consejo Editorial en @GarageClasico. Creador de @clubwasservw1.</t>
  </si>
  <si>
    <t>http://www.flickr.com/photos/aacevedoa67</t>
  </si>
  <si>
    <t>Ciudadano Cero</t>
  </si>
  <si>
    <t>Con especial dedicación @LillyTellez RT @chucho_neto: Además de ser expertos en Geopolítica. ¿Ya son expertos en inmunidad, censo nominal, cadena de frío y seroconversión? Chinguen a su madre.</t>
  </si>
  <si>
    <t>https://twitter.com/chucho_neto/status/1341791152731791361</t>
  </si>
  <si>
    <t xml:space="preserve">Ciudad de pobres corazones. </t>
  </si>
  <si>
    <t>Cinco sentidos que te roban solo un poco de tu ser</t>
  </si>
  <si>
    <t>Jose Luis Rios ☯</t>
  </si>
  <si>
    <t>La Sputnik V tiene más estudios que @LillyTellez. ¡Ah! Y nadie apuesta por la Senadora.</t>
  </si>
  <si>
    <t>«Los países libres' entendieron que era más fácil crear consumidores que someter a esclavos». Noam Chomsky #BDS</t>
  </si>
  <si>
    <t>Mira @LillyTellez hay funcionarias q realmente trabajan , tu solo estás estorbando INEPTA RT @Irma_Sandoval: Seguimos dando resultados en el combate a la impunidad. Desde Función Pública @SFP_mx hoy hemos inhabilitado por 10 años a quien fuera comisionado para la Seguridad en Michoacán y también ex titular de la #CONADE en la pasada administración.</t>
  </si>
  <si>
    <t>https://twitter.com/Irma_Sandoval/status/1354109769846501388
http://bit.ly/3sZam68</t>
  </si>
  <si>
    <t>https://pbs.twimg.com/media/EsrDp5vXUAAcGB3.jpg</t>
  </si>
  <si>
    <t>Jajajaja #LadyAmbulancia @LillyTellez jajajaja toma chocolate paga lo que debes.</t>
  </si>
  <si>
    <t>https://pbs.twimg.com/media/Esrj1J2U4AALhuX.jpg</t>
  </si>
  <si>
    <t>FUERZA PRESIDENTE AMLO ❤️</t>
  </si>
  <si>
    <t>Creo q aquí te hablan @LillyTellez 👇 RT @AlExCoL06: A esos diputados,senadores y pluris el dia que fallezcan, que los incineren y los pongan en un reloj de arena. Para ver si asi trabajan y se ponen hacer algo. Jajajaja 😈 #ProntaRecuperacionAmlo</t>
  </si>
  <si>
    <t>https://twitter.com/AlExCoL06/status/1354140974222598149</t>
  </si>
  <si>
    <t>psicoloca 🤓</t>
  </si>
  <si>
    <t>Heinkel🛡</t>
  </si>
  <si>
    <t>"Maldi tazea AnLo yJa Tel llabaz TA!" - La mediocre @LillyTellez y los mamarrachos de @AccionNacional RT @AJEnglish: UK becomes first country in Europe to record more than 100,000 COVID-19 deaths</t>
  </si>
  <si>
    <t>https://twitter.com/AJEnglish/status/1354128146338095111
https://aje.io/33g2f</t>
  </si>
  <si>
    <t>https://pbs.twimg.com/media/EsrUXLuXAAM5N15.jpg</t>
  </si>
  <si>
    <t>Düsseldorf, Deutschland 🇩🇪</t>
  </si>
  <si>
    <t>Stolz🇲🇽 LL.M in Internat. Recht👨‍⚖️Die Universität Den Haag🏛️ Geopolitik🌎KWS® Podcaster🔊 Sozialdemokratisch⭐🌹✊ Nicht DM🚫 Bei AMLO seit 2006🧓</t>
  </si>
  <si>
    <t>http://www.DSauSA.org</t>
  </si>
  <si>
    <t>Los mismos que despotricaron cuando cerraron la cuenta de Trump y de tres troles pejistas, ahora piden a Twitter suspender la cuenta de @LillyTellez. No les interesa la libertad de expresión, ni rechazan la censura, quieren acallar a la oposición. Mi solidaridad con la senadora RT @LillyTellez: La 4T pide a Twitter que cierren mi cuenta por decir la verdad sobre la vacuna rusa: NO está aprobada por la comunidad científica internacional y Alemania NO les compró vacunas, solo les ofreció ayuda porque su vacuna NO aprueba requisitos para entrar a la UE.</t>
  </si>
  <si>
    <t>https://twitter.com/lillytellez/status/1354114779095343110</t>
  </si>
  <si>
    <t>Mao Casahonda</t>
  </si>
  <si>
    <t>Lilly TellJAJAJA @LillyTellez Ridícula -no importa cuando leas esto!</t>
  </si>
  <si>
    <t>D4N C4MP05 FL0R35</t>
  </si>
  <si>
    <t>No se si creer en Gela o en @LillyTellez ¡Que dilema! Mejor un "de tin marín...".</t>
  </si>
  <si>
    <t>https://pbs.twimg.com/media/EsrjK33U0AAfErr.jpg</t>
  </si>
  <si>
    <t>GUANAJUATO, CAPITAL DEL MUNDO</t>
  </si>
  <si>
    <t>*Nacido ayer, vivo hoy y nunca moriré* Las sierras, montañas y cielos de Guanajuato fueron mi crisol y serán mi morada eterna.</t>
  </si>
  <si>
    <t>Licenciado Vidriera🇲🇽</t>
  </si>
  <si>
    <t>Me gusta eso de llamarle #senadoramuerte a @LillyTellez RT @atameAti: No encuentro por ningún lado las calumnias de odio de @LillyTellez a la vacuna rusa cuando los goberladrones la querían comprar. La #SenadoraMuerte es igual que Felipe Calderón; las muertes, la sangre los legitima y los complace.</t>
  </si>
  <si>
    <t>https://twitter.com/atameAti/status/1354137388210147329</t>
  </si>
  <si>
    <t>Mau Ceballos</t>
  </si>
  <si>
    <t>El presidente @lopezobrador_, no se cansa de trabajar por amor a México. La "Senadora" @LillyTellez, tampoco se cansa, pero de hacer el ridículo. Hay niveles. Sí, los hay. #FuerzaPresidente</t>
  </si>
  <si>
    <t>Sonora, México</t>
  </si>
  <si>
    <t>Escritor.</t>
  </si>
  <si>
    <t>http://mauceballos71.wordpress.com</t>
  </si>
  <si>
    <t>¿Denunciará @LillyTellez su propia negligencia ante la comunidad internacional? RT @CristianLpz_trc: @CaraveoBertha @LillyTellez @LillyTellez ojalá que la comunidad científica le dé pronto el aval para la compra de la ambulancia que nunca llevó a la Comunidad de Ures.</t>
  </si>
  <si>
    <t>https://twitter.com/cristianlpz_trc/status/1354143659843674112</t>
  </si>
  <si>
    <t>cahotiyermadi 🇩🇰</t>
  </si>
  <si>
    <t>Sputnik V es la vacuna barata, por eso la eligió el Gobierno; la aprobará Cofepris”: @LillyTellez Triángulo señalando a la derecha RT @El_Universal_Mx: "Sputnik V es la vacuna barata, por eso la eligió el Gobierno; la aprobará Cofepris”: @LillyTellez▶️</t>
  </si>
  <si>
    <t>https://twitter.com/El_Universal_Mx/status/1354143317521477632?s=20
https://www.youtube.com/watch?v=_CuB9PODZmg</t>
  </si>
  <si>
    <t>believes at revenge.. CH💥🖤🖤❣ #LeagueOf Warriors</t>
  </si>
  <si>
    <t>Silviamor</t>
  </si>
  <si>
    <t>Se va a enojar la chapulina @LillyTellez RT @jenarovillamil: Merkel ofrece apoyo a Moscú para entrada de vacuna rusa Sputnik V a UE</t>
  </si>
  <si>
    <t>Napa CA</t>
  </si>
  <si>
    <t>Soy chaira y que? También soy fan de los Gigantes de SF🧡🖤 y me gusta el Cabernet 🍷</t>
  </si>
  <si>
    <t>Andrés Vladimir Chávez Ruz 🇷🇺🇨🇳</t>
  </si>
  <si>
    <t>No mms @LillyTellez que madre se creé 🤣🤣🤣</t>
  </si>
  <si>
    <t>Por un mundo de la conciencia. Hogareño. Amante del rock 🎸🎹, de las buenas costumbres 🍺, soy de los que aún mando cartas y llevo serenatas xD 🎺🌜. Positivo.</t>
  </si>
  <si>
    <t>Luis V.</t>
  </si>
  <si>
    <t>No sólo México, el mundo entero necesita las vacunas sean rusas o cualquiera que sea su origen, lo ni México ni el mundo necesitan son personajes deplorables como @LillyTellez, que desdeñen el trabajo arduo que realizan los científicos en pro de la salud.</t>
  </si>
  <si>
    <t>Ojalá que @TwitterSeguro revise las cuentas que impulsan una agenda anti-vacunas y que utilizan bots con dicho fin. También sería bueno saber si @LillyTellez y compañía utilizan dinero público en impulsar esta lamentable agenda. #LadyAntiVacunas miente.</t>
  </si>
  <si>
    <t>Narusailor</t>
  </si>
  <si>
    <t>🔴Si me dieran a elegir entre saber quien es más útil si la vacuna rusa #SputnikV y @LillyTellez, definitivamente elijo la vacuna porque es 94% más efectiva que Lilly Téllez en el senado.</t>
  </si>
  <si>
    <t>Narusailor, esta es una cuenta de respaldo.</t>
  </si>
  <si>
    <t>Guillermo Tamborrel</t>
  </si>
  <si>
    <t>Otros países ya están implementando programas de vacunación en forma, inclusive alguno ya vacunó al 25% de su población y en México el gobierno de @lopezobrador_ apenas está concretando negociaciones. #GobiernoMéxicoEsUnaVergüenza @GMonroyEnergy @LillyTellez @beltrandelrio</t>
  </si>
  <si>
    <t>Querétaro</t>
  </si>
  <si>
    <t>Enamorado de México, defensor de la democracia, los derechos humanos y el medio ambiente. Promotor de la participación ciudadana y su corresponsabilidad</t>
  </si>
  <si>
    <t>Y la Unión Europea y Astra Zeneca también para mejorar la suya. @LillyTellez de medicina sólo sabe a de ambulancias y las ignoras . RT @LillyTellez: Solo México, Bielorrusia, Venezuela y Argentina apuestan por la vacuna rusa.</t>
  </si>
  <si>
    <t>https://twitter.com/LillyTellez/status/1354074671411458048</t>
  </si>
  <si>
    <t>Jerryko</t>
  </si>
  <si>
    <t>otra vez @LillyTellez? claro que necesitamos vacunas, lo que no necesitamos es tu amargura, tu negatividad y tu oportunismo para sacar raja de un tema doloroso para el mundo. Como buena política "das asco"</t>
  </si>
  <si>
    <t>José Elías Isaías Esparza</t>
  </si>
  <si>
    <t>Quienes son los asesores de @LillyTellez ... Serán los mismos de @keniarabadan (@tumbaburross ) Quien es de piel delgada... Me bloqueó RT @AntonioAttolini: No está mal en ningún sentido ser ignorante. Es la motivación principal para ser un mejor ser humano. Es intolerable que una senadora lo confirme publicando mentiras sobre la gestión gubernamental para obtener un mecanismo de protección (vacuna). Ridícula.</t>
  </si>
  <si>
    <t>https://twitter.com/AntonioAttolini/status/1354126166358163456</t>
  </si>
  <si>
    <t>https://pbs.twimg.com/media/EsrSkZ1WMAA65KS.jpg</t>
  </si>
  <si>
    <t>Centro Histórico, Puebla</t>
  </si>
  <si>
    <t>SI LA VIDA TE DA LA ESPALDA.... AGARRALE LAS NALGAS...</t>
  </si>
  <si>
    <t>El Universal</t>
  </si>
  <si>
    <t>"Sputnik V es la vacuna barata, por eso la eligió el Gobierno; la aprobará Cofepris”: @LillyTellez▶️</t>
  </si>
  <si>
    <t>https://www.youtube.com/watch?v=_CuB9PODZmg</t>
  </si>
  <si>
    <t>Centro de la Ciudad de México</t>
  </si>
  <si>
    <t>Cuenta oficial de El Gran Diario de México http://t.me/ElUniversalOnline</t>
  </si>
  <si>
    <t>http://www.eluniversal.com.mx</t>
  </si>
  <si>
    <t>.@opsoms a esperar la aprobación de la Senadora @LillyTellez.</t>
  </si>
  <si>
    <t>https://www.sdpnoticias.com/internacional/plitidepsina-medicamento-antiviral-reduce-99-por-ciento-carga-viral-coronavirus-covid-19-pharmamar.html</t>
  </si>
  <si>
    <t>Porfirio Díaz</t>
  </si>
  <si>
    <t>Payasa 🤡 @LillyTellez</t>
  </si>
  <si>
    <t>https://pbs.twimg.com/media/Esrh_OmXEAQRSbG.jpg</t>
  </si>
  <si>
    <t>José de la Cruz Porfirio Díaz Mori Primero la Nación, orden y progreso.</t>
  </si>
  <si>
    <t>La vacuna Pfizer no ha sido aprobadas x la FDA propiamente. Solo c aprobó diciendo “en vista d la emergencia, y no habiendo más, póngansela”. Básicamente la vacuna sigue a prueba. No c pq no c queja @LillyTellez d esta y si d la rusa q está igual Alemania</t>
  </si>
  <si>
    <t>Alfonso RosEs</t>
  </si>
  <si>
    <t>Por esto y más, el presidente @lopezobrador_, los bautizó como "Oposición moralmente derrotada", ¿verdad? @LillyTellez @jorgeberry RT @jenarovillamil: Merkel ofrece apoyo a Moscú para entrada de vacuna rusa Sputnik V a UE</t>
  </si>
  <si>
    <t>Estratega de Comunicación Política @SENER_mx De izquierda e idealista. Me apasiona la política y el periodismo. Cowboys/Chivas Opiniones a título personal.</t>
  </si>
  <si>
    <t>Luis López</t>
  </si>
  <si>
    <t>La epidemiologa de @AccionNacional la senadora @LillyTellez, estudiosa del virus covid19 informa que la vacuna Rusa Sputnik-V, no sirve para una madres...que los Panistas están probando su propia vacuna llamada DmandisTodo-V, ya está en fase III se pruebas.</t>
  </si>
  <si>
    <t>https://pbs.twimg.com/media/EsrhvwsXIAYEv0E.jpg</t>
  </si>
  <si>
    <t>Distrito Federal</t>
  </si>
  <si>
    <t>No es la política la que hace a un candidato convertirse en ladrón. Es tu voto el que hace a un ladrón convertirse en político.</t>
  </si>
  <si>
    <t>janette1072</t>
  </si>
  <si>
    <t>🔴URGENTE!!! 🔴URGENTE!!! La canciller Angela Merkel devastada porque @LillyTellez no aprueba la vacuna rusa Sputnik V, como consecuencia retira su apoyo para llevarla a la Unión Europea... 😂😂😂😂😂😂😂😂😂😂😂😂 RT @LillyTellez: México no requiere “afecto” de Rusia; un país antidemocrático, autoritario, sin libertad de expresión y corrupto. Menos necesitamos sus vacunas de mala calidad, no subestimen al pueblo.</t>
  </si>
  <si>
    <t>https://twitter.com/LillyTellez/status/1353741627576127490</t>
  </si>
  <si>
    <t>Beto Levy</t>
  </si>
  <si>
    <t>Dice @LillyTellez que la vacuna sputnyk es muy barata. Lo que quiso decir es; estará al alcance de todos, entonces donde quedan los niveles?</t>
  </si>
  <si>
    <t>Contador financiero y fiscalista. Escritor de lo que mi corazón dicta. Amante de la política. Una persona en constante aprendizaje e idealista social de la 4T.</t>
  </si>
  <si>
    <t>Gustavo Díaz</t>
  </si>
  <si>
    <t>¡Excelente noticia! ¡Arde, @LillyTellez! 🤗 #SputnikV #COVIDVaccination #COVID19 RT @lajornadaonline: .@COFEPRIS autorizó hoy el uso de emergencia de la #vacuna rusa contra el #COVID19, #SputnikV, por lo que el siguiente paso es la firma del contrato con el Fondo de Inversión Ruso, informó @HLGatell.</t>
  </si>
  <si>
    <t>Las plantas que nos dan de comer y las que alegran nuestra mirada son lo mío 🌾🌴🌱🌻🌷| El césped es maravilloso |</t>
  </si>
  <si>
    <t>Event Log</t>
  </si>
  <si>
    <t>This sheet will store the Twitter Archiver Logs</t>
  </si>
  <si>
    <t>Fetched 72 tweets for -filter:retweets -filter:replies from:LillyTellez</t>
  </si>
  <si>
    <t>Fetched 100 tweets for -filter:retweets -filter:replies @CitlaHM</t>
  </si>
  <si>
    <t>Fetched 18 tweets for -filter:retweets -filter:replies from:CitlaHM</t>
  </si>
  <si>
    <t>Fetched 100 tweets for -filter:retweets -filter:replies @GeraldinePonceM</t>
  </si>
  <si>
    <t>Fetched 15 tweets for -filter:retweets -filter:replies from:GeraldinePonceM</t>
  </si>
  <si>
    <t>Fetched 100 tweets for -filter:retweets -filter:replies @EstefaniaVeloz</t>
  </si>
  <si>
    <t>Fetched 20 tweets for -filter:retweets -filter:replies from:EstefaniaVeloz</t>
  </si>
  <si>
    <t>Fetched 100 tweets for Ching.. -filter:retweets -filter:replies</t>
  </si>
  <si>
    <t>Fetched 100 tweets for Pvta -filter:retweets -filter:replies</t>
  </si>
  <si>
    <t>Fetched 100 tweets for -filter:retweets -filter:replies @DeniseDresserG</t>
  </si>
  <si>
    <t>Fetched 20 tweets for -filter:retweets -filter:replies from:DeniseDresserG</t>
  </si>
  <si>
    <t>Fetched 100 tweets for -filter:retweets -filter:replies @azucenau</t>
  </si>
  <si>
    <t>Fetched 100 tweets for -filter:retweets -filter:replies from:azucenau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</si>
</sst>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m&quot;/&quot;yyyy&quot; &quot;hh&quot;:&quot;mm"/>
    <numFmt numFmtId="165" formatCode="m/d/yyyy h:mm:ss"/>
  </numFmts>
  <fonts count="7">
    <font>
      <sz val="10.0"/>
      <color rgb="FF000000"/>
      <name val="Arial"/>
    </font>
    <font>
      <sz val="10.0"/>
      <color rgb="FFFFFFFF"/>
      <name val="Droid Sans"/>
    </font>
    <font>
      <sz val="8.0"/>
      <color rgb="FFFFFFFF"/>
      <name val="Droid Sans"/>
    </font>
    <font>
      <sz val="8.0"/>
      <color theme="1"/>
      <name val="Droid Sans"/>
    </font>
    <font>
      <u/>
      <sz val="8.0"/>
      <color rgb="FF0000FF"/>
      <name val="Droid Sans"/>
    </font>
    <font>
      <u/>
      <sz val="8.0"/>
      <color rgb="FF0000FF"/>
      <name val="Droid Sans"/>
    </font>
    <font>
      <u/>
      <sz val="8.0"/>
      <color rgb="FF0000FF"/>
      <name val="Droid Sans"/>
    </font>
  </fonts>
  <fills count="3">
    <fill>
      <patternFill patternType="none"/>
    </fill>
    <fill>
      <patternFill patternType="lightGray"/>
    </fill>
    <fill>
      <patternFill patternType="solid">
        <fgColor rgb="FF3C78D8"/>
        <bgColor rgb="FF3C78D8"/>
      </patternFill>
    </fill>
  </fills>
  <borders count="1">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0" fontId="1" numFmtId="164" xfId="0" applyAlignment="1" applyFont="1" applyNumberFormat="1">
      <alignment horizontal="center" vertical="center"/>
    </xf>
    <xf borderId="0" fillId="0" fontId="1" numFmtId="0" xfId="0" applyAlignment="1" applyFont="1">
      <alignment readingOrder="0" vertical="center"/>
    </xf>
    <xf borderId="0" fillId="0" fontId="1" numFmtId="0" xfId="0" applyAlignment="1" applyFont="1">
      <alignment vertical="center"/>
    </xf>
    <xf borderId="0" fillId="0" fontId="1" numFmtId="0" xfId="0" applyAlignment="1" applyFont="1">
      <alignment horizontal="center" vertical="center"/>
    </xf>
    <xf borderId="0" fillId="2" fontId="2" numFmtId="0" xfId="0" applyAlignment="1" applyFill="1" applyFont="1">
      <alignment horizontal="center" readingOrder="0" vertical="center"/>
    </xf>
    <xf borderId="0" fillId="2" fontId="2" numFmtId="0" xfId="0" applyAlignment="1" applyFont="1">
      <alignment readingOrder="0" vertical="center"/>
    </xf>
    <xf borderId="0" fillId="2" fontId="2" numFmtId="0" xfId="0" applyAlignment="1" applyFont="1">
      <alignment vertical="center"/>
    </xf>
    <xf borderId="0" fillId="0" fontId="3" numFmtId="164" xfId="0" applyAlignment="1" applyFont="1" applyNumberFormat="1">
      <alignment horizontal="center" readingOrder="0" vertical="center"/>
    </xf>
    <xf borderId="0" fillId="0" fontId="4" numFmtId="0" xfId="0" applyAlignment="1" applyFont="1">
      <alignment vertical="center"/>
    </xf>
    <xf borderId="0" fillId="0" fontId="3" numFmtId="0" xfId="0" applyAlignment="1" applyFont="1">
      <alignment readingOrder="0" vertical="center"/>
    </xf>
    <xf borderId="0" fillId="0" fontId="5" numFmtId="0" xfId="0" applyAlignment="1" applyFont="1">
      <alignment readingOrder="0" vertical="center"/>
    </xf>
    <xf borderId="0" fillId="0" fontId="3" numFmtId="0" xfId="0" applyAlignment="1" applyFont="1">
      <alignment vertical="center"/>
    </xf>
    <xf borderId="0" fillId="0" fontId="3" numFmtId="0" xfId="0" applyAlignment="1" applyFont="1">
      <alignment readingOrder="0" vertical="center"/>
    </xf>
    <xf borderId="0" fillId="0" fontId="3" numFmtId="0" xfId="0" applyAlignment="1" applyFont="1">
      <alignment horizontal="center" readingOrder="0" vertical="center"/>
    </xf>
    <xf borderId="0" fillId="0" fontId="3" numFmtId="0" xfId="0" applyAlignment="1" applyFont="1">
      <alignment horizontal="center" readingOrder="0" vertical="center"/>
    </xf>
    <xf borderId="0" fillId="0" fontId="3" numFmtId="14" xfId="0" applyAlignment="1" applyFont="1" applyNumberFormat="1">
      <alignment horizontal="center" readingOrder="0" vertical="center"/>
    </xf>
    <xf borderId="0" fillId="0" fontId="6" numFmtId="0" xfId="0" applyAlignment="1" applyFont="1">
      <alignment horizontal="center" vertical="center"/>
    </xf>
    <xf borderId="0" fillId="0" fontId="3" numFmtId="164" xfId="0" applyAlignment="1" applyFont="1" applyNumberFormat="1">
      <alignment horizontal="center" vertical="center"/>
    </xf>
    <xf borderId="0" fillId="0" fontId="3" numFmtId="0" xfId="0" applyAlignment="1" applyFont="1">
      <alignment horizontal="center" vertical="center"/>
    </xf>
    <xf borderId="0" fillId="0" fontId="3" numFmtId="165" xfId="0" applyAlignment="1" applyFont="1" applyNumberFormat="1">
      <alignment readingOrder="0" vertical="center"/>
    </xf>
  </cellXfs>
  <cellStyles count="1">
    <cellStyle xfId="0" name="Normal" builtinId="0"/>
  </cellStyles>
  <dxfs count="6">
    <dxf>
      <font/>
      <fill>
        <patternFill patternType="none"/>
      </fill>
      <border/>
    </dxf>
    <dxf>
      <font/>
      <fill>
        <patternFill patternType="solid">
          <fgColor rgb="FF1155CC"/>
          <bgColor rgb="FF1155CC"/>
        </patternFill>
      </fill>
      <border/>
    </dxf>
    <dxf>
      <font/>
      <fill>
        <patternFill patternType="solid">
          <fgColor rgb="FFFFFFFF"/>
          <bgColor rgb="FFFFFFFF"/>
        </patternFill>
      </fill>
      <border/>
    </dxf>
    <dxf>
      <font/>
      <fill>
        <patternFill patternType="solid">
          <fgColor rgb="FFE8F0FE"/>
          <bgColor rgb="FFE8F0FE"/>
        </patternFill>
      </fill>
      <border/>
    </dxf>
    <dxf>
      <font/>
      <fill>
        <patternFill patternType="solid">
          <fgColor rgb="FFBDBDBD"/>
          <bgColor rgb="FFBDBDBD"/>
        </patternFill>
      </fill>
      <border/>
    </dxf>
    <dxf>
      <font/>
      <fill>
        <patternFill patternType="solid">
          <fgColor rgb="FFF3F3F3"/>
          <bgColor rgb="FFF3F3F3"/>
        </patternFill>
      </fill>
      <border/>
    </dxf>
  </dxfs>
  <tableStyles count="13">
    <tableStyle count="3" pivot="0" name="-filterretweets -filterreplies -style">
      <tableStyleElement dxfId="1" type="headerRow"/>
      <tableStyleElement dxfId="2" type="firstRowStripe"/>
      <tableStyleElement dxfId="3" type="secondRowStripe"/>
    </tableStyle>
    <tableStyle count="3" pivot="0" name="Hoja 2-style">
      <tableStyleElement dxfId="1" type="headerRow"/>
      <tableStyleElement dxfId="2" type="firstRowStripe"/>
      <tableStyleElement dxfId="3" type="secondRowStripe"/>
    </tableStyle>
    <tableStyle count="3" pivot="0" name="Hoja 3-style">
      <tableStyleElement dxfId="1" type="headerRow"/>
      <tableStyleElement dxfId="2" type="firstRowStripe"/>
      <tableStyleElement dxfId="3" type="secondRowStripe"/>
    </tableStyle>
    <tableStyle count="3" pivot="0" name="Hoja 4-style">
      <tableStyleElement dxfId="1" type="headerRow"/>
      <tableStyleElement dxfId="2" type="firstRowStripe"/>
      <tableStyleElement dxfId="3" type="secondRowStripe"/>
    </tableStyle>
    <tableStyle count="3" pivot="0" name="Hoja 5-style">
      <tableStyleElement dxfId="1" type="headerRow"/>
      <tableStyleElement dxfId="2" type="firstRowStripe"/>
      <tableStyleElement dxfId="3" type="secondRowStripe"/>
    </tableStyle>
    <tableStyle count="3" pivot="0" name="Hoja 6-style">
      <tableStyleElement dxfId="1" type="headerRow"/>
      <tableStyleElement dxfId="2" type="firstRowStripe"/>
      <tableStyleElement dxfId="3" type="secondRowStripe"/>
    </tableStyle>
    <tableStyle count="3" pivot="0" name="Hoja 7-style">
      <tableStyleElement dxfId="1" type="headerRow"/>
      <tableStyleElement dxfId="2" type="firstRowStripe"/>
      <tableStyleElement dxfId="3" type="secondRowStripe"/>
    </tableStyle>
    <tableStyle count="3" pivot="0" name="Hoja 8-style">
      <tableStyleElement dxfId="1" type="headerRow"/>
      <tableStyleElement dxfId="2" type="firstRowStripe"/>
      <tableStyleElement dxfId="3" type="secondRowStripe"/>
    </tableStyle>
    <tableStyle count="3" pivot="0" name="Hoja 9-style">
      <tableStyleElement dxfId="1" type="headerRow"/>
      <tableStyleElement dxfId="2" type="firstRowStripe"/>
      <tableStyleElement dxfId="3" type="secondRowStripe"/>
    </tableStyle>
    <tableStyle count="3" pivot="0" name="Hoja 10-style">
      <tableStyleElement dxfId="1" type="headerRow"/>
      <tableStyleElement dxfId="2" type="firstRowStripe"/>
      <tableStyleElement dxfId="3" type="secondRowStripe"/>
    </tableStyle>
    <tableStyle count="3" pivot="0" name="Hoja 11-style">
      <tableStyleElement dxfId="1" type="headerRow"/>
      <tableStyleElement dxfId="2" type="firstRowStripe"/>
      <tableStyleElement dxfId="3" type="secondRowStripe"/>
    </tableStyle>
    <tableStyle count="3" pivot="0" name="Hoja 12-style">
      <tableStyleElement dxfId="1" type="headerRow"/>
      <tableStyleElement dxfId="2" type="firstRowStripe"/>
      <tableStyleElement dxfId="3" type="secondRowStripe"/>
    </tableStyle>
    <tableStyle count="3" pivot="0" name="Twitter Archiver Logs-style">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Z1100" display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filterretweets -filterreplies -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1:Z1100" displayName="Table_2" id="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2-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Z1020" displayName="Table_3" id="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3-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A1:Z1100" displayName="Table_4" id="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4-style"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headerRowCount="0" ref="A1:Z1020" displayName="Table_5" id="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5-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Z1100" displayName="Table_6" id="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6-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headerRowCount="0" ref="A1:Z1015" displayName="Table_7" id="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7-style"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headerRowCount="0" ref="A1:Z1200" displayName="Table_8" id="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8-style" showColumnStripes="0" showFirstColumn="1" showLastColumn="1" showRowStripes="1"/>
  <extLst>
    <ext uri="GoogleSheetsCustomDataVersion1">
      <go:sheetsCustomData xmlns:go="http://customooxmlschemas.google.com/" headerRowCount="1"/>
    </ext>
  </extLst>
</table>
</file>

<file path=xl/tables/table9.xml><?xml version="1.0" encoding="utf-8"?>
<table xmlns="http://schemas.openxmlformats.org/spreadsheetml/2006/main" headerRowCount="0" ref="A1:Z1018" displayName="Table_9" id="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9-style" showColumnStripes="0" showFirstColumn="1" showLastColumn="1" showRowStripes="1"/>
  <extLst>
    <ext uri="GoogleSheetsCustomDataVersion1">
      <go:sheetsCustomData xmlns:go="http://customooxmlschemas.google.com/" headerRowCount="1"/>
    </ext>
  </extLst>
</table>
</file>

<file path=xl/tables/table10.xml><?xml version="1.0" encoding="utf-8"?>
<table xmlns="http://schemas.openxmlformats.org/spreadsheetml/2006/main" headerRowCount="0" ref="A1:Z1100" displayName="Table_10" id="1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10-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Z1072" displayName="Table_11" id="1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11-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Z1100" displayName="Table_12" id="1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Hoja 12-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Z1000" displayName="Table_13" id="1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Twitter Archiver Log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www.youtube.com/azucenauresti" TargetMode="External"/><Relationship Id="rId190" Type="http://schemas.openxmlformats.org/officeDocument/2006/relationships/hyperlink" Target="http://pic.twitter.com/qMpSqChQgf" TargetMode="External"/><Relationship Id="rId42" Type="http://schemas.openxmlformats.org/officeDocument/2006/relationships/hyperlink" Target="http://www.youtube.com/azucenauresti" TargetMode="External"/><Relationship Id="rId41" Type="http://schemas.openxmlformats.org/officeDocument/2006/relationships/hyperlink" Target="http://pic.twitter.com/y1KiQAMWBB" TargetMode="External"/><Relationship Id="rId44" Type="http://schemas.openxmlformats.org/officeDocument/2006/relationships/hyperlink" Target="http://www.youtube.com/azucenauresti" TargetMode="External"/><Relationship Id="rId194" Type="http://schemas.openxmlformats.org/officeDocument/2006/relationships/hyperlink" Target="https://www.milenio.com/politica/comunidad/semaforo-rojo-cdmx-25-31-enero-2021" TargetMode="External"/><Relationship Id="rId43" Type="http://schemas.openxmlformats.org/officeDocument/2006/relationships/hyperlink" Target="http://pic.twitter.com/xd9pXzATZH" TargetMode="External"/><Relationship Id="rId193" Type="http://schemas.openxmlformats.org/officeDocument/2006/relationships/hyperlink" Target="http://www.youtube.com/azucenauresti" TargetMode="External"/><Relationship Id="rId46" Type="http://schemas.openxmlformats.org/officeDocument/2006/relationships/hyperlink" Target="http://www.youtube.com/azucenauresti" TargetMode="External"/><Relationship Id="rId192" Type="http://schemas.openxmlformats.org/officeDocument/2006/relationships/hyperlink" Target="https://pbs.twimg.com/media/EsXklzfXMAErRdX.jpg" TargetMode="External"/><Relationship Id="rId45" Type="http://schemas.openxmlformats.org/officeDocument/2006/relationships/hyperlink" Target="http://pic.twitter.com/X1gRyEMOIy" TargetMode="External"/><Relationship Id="rId191" Type="http://schemas.openxmlformats.org/officeDocument/2006/relationships/hyperlink" Target="http://www.youtube.com/azucenauresti" TargetMode="External"/><Relationship Id="rId48" Type="http://schemas.openxmlformats.org/officeDocument/2006/relationships/hyperlink" Target="http://www.youtube.com/azucenauresti" TargetMode="External"/><Relationship Id="rId187" Type="http://schemas.openxmlformats.org/officeDocument/2006/relationships/hyperlink" Target="https://www.milenio.com/policia/balacera-colonia-napoles-deja-heridos-benito-juarez" TargetMode="External"/><Relationship Id="rId47" Type="http://schemas.openxmlformats.org/officeDocument/2006/relationships/hyperlink" Target="http://pic.twitter.com/mZA7TxTGeQ" TargetMode="External"/><Relationship Id="rId186" Type="http://schemas.openxmlformats.org/officeDocument/2006/relationships/hyperlink" Target="http://www.youtube.com/azucenauresti" TargetMode="External"/><Relationship Id="rId185" Type="http://schemas.openxmlformats.org/officeDocument/2006/relationships/hyperlink" Target="http://pic.twitter.com/FRMXZrmIEp" TargetMode="External"/><Relationship Id="rId49" Type="http://schemas.openxmlformats.org/officeDocument/2006/relationships/hyperlink" Target="http://pic.twitter.com/em282olvxg" TargetMode="External"/><Relationship Id="rId184" Type="http://schemas.openxmlformats.org/officeDocument/2006/relationships/hyperlink" Target="http://www.youtube.com/azucenauresti" TargetMode="External"/><Relationship Id="rId189" Type="http://schemas.openxmlformats.org/officeDocument/2006/relationships/hyperlink" Target="http://www.youtube.com/azucenauresti" TargetMode="External"/><Relationship Id="rId188" Type="http://schemas.openxmlformats.org/officeDocument/2006/relationships/hyperlink" Target="https://pbs.twimg.com/media/EsXvirmWMAAnO8v.jpg" TargetMode="External"/><Relationship Id="rId31" Type="http://schemas.openxmlformats.org/officeDocument/2006/relationships/hyperlink" Target="http://pic.twitter.com/uRE5p58ebz" TargetMode="External"/><Relationship Id="rId30" Type="http://schemas.openxmlformats.org/officeDocument/2006/relationships/hyperlink" Target="http://www.youtube.com/azucenauresti" TargetMode="External"/><Relationship Id="rId33" Type="http://schemas.openxmlformats.org/officeDocument/2006/relationships/hyperlink" Target="http://pic.twitter.com/84Md9VeFS8" TargetMode="External"/><Relationship Id="rId183" Type="http://schemas.openxmlformats.org/officeDocument/2006/relationships/hyperlink" Target="http://www.radioformula.com.mx" TargetMode="External"/><Relationship Id="rId32" Type="http://schemas.openxmlformats.org/officeDocument/2006/relationships/hyperlink" Target="http://www.youtube.com/azucenauresti" TargetMode="External"/><Relationship Id="rId182" Type="http://schemas.openxmlformats.org/officeDocument/2006/relationships/hyperlink" Target="http://www.youtube.com/azucenauresti" TargetMode="External"/><Relationship Id="rId35" Type="http://schemas.openxmlformats.org/officeDocument/2006/relationships/hyperlink" Target="http://pic.twitter.com/EVSMLibCae" TargetMode="External"/><Relationship Id="rId181" Type="http://schemas.openxmlformats.org/officeDocument/2006/relationships/hyperlink" Target="http://pic.twitter.com/pGUJmI33zU" TargetMode="External"/><Relationship Id="rId34" Type="http://schemas.openxmlformats.org/officeDocument/2006/relationships/hyperlink" Target="http://www.youtube.com/azucenauresti" TargetMode="External"/><Relationship Id="rId180" Type="http://schemas.openxmlformats.org/officeDocument/2006/relationships/hyperlink" Target="https://twitter.com/azucenau/status/1352475087212056577" TargetMode="External"/><Relationship Id="rId37" Type="http://schemas.openxmlformats.org/officeDocument/2006/relationships/hyperlink" Target="http://pic.twitter.com/xQL1IGBuOQ" TargetMode="External"/><Relationship Id="rId176" Type="http://schemas.openxmlformats.org/officeDocument/2006/relationships/hyperlink" Target="https://twitter.com/lopezobrador_/status/1352777092832743425" TargetMode="External"/><Relationship Id="rId36" Type="http://schemas.openxmlformats.org/officeDocument/2006/relationships/hyperlink" Target="http://www.youtube.com/azucenauresti" TargetMode="External"/><Relationship Id="rId175" Type="http://schemas.openxmlformats.org/officeDocument/2006/relationships/hyperlink" Target="http://www.youtube.com/azucenauresti" TargetMode="External"/><Relationship Id="rId39" Type="http://schemas.openxmlformats.org/officeDocument/2006/relationships/hyperlink" Target="http://pic.twitter.com/2u8LGocDPh" TargetMode="External"/><Relationship Id="rId174" Type="http://schemas.openxmlformats.org/officeDocument/2006/relationships/hyperlink" Target="http://www.youtube.com/azucenauresti" TargetMode="External"/><Relationship Id="rId38" Type="http://schemas.openxmlformats.org/officeDocument/2006/relationships/hyperlink" Target="http://www.youtube.com/azucenauresti" TargetMode="External"/><Relationship Id="rId173" Type="http://schemas.openxmlformats.org/officeDocument/2006/relationships/hyperlink" Target="http://www.youtube.com/azucenauresti" TargetMode="External"/><Relationship Id="rId179" Type="http://schemas.openxmlformats.org/officeDocument/2006/relationships/hyperlink" Target="http://www.youtube.com/azucenauresti" TargetMode="External"/><Relationship Id="rId178" Type="http://schemas.openxmlformats.org/officeDocument/2006/relationships/hyperlink" Target="http://www.youtube.com/azucenauresti" TargetMode="External"/><Relationship Id="rId177" Type="http://schemas.openxmlformats.org/officeDocument/2006/relationships/hyperlink" Target="https://pbs.twimg.com/media/EsYGoMIU0AAuH-t.jpg" TargetMode="External"/><Relationship Id="rId20" Type="http://schemas.openxmlformats.org/officeDocument/2006/relationships/hyperlink" Target="http://www.youtube.com/azucenauresti" TargetMode="External"/><Relationship Id="rId22" Type="http://schemas.openxmlformats.org/officeDocument/2006/relationships/hyperlink" Target="http://www.youtube.com/azucenauresti" TargetMode="External"/><Relationship Id="rId21" Type="http://schemas.openxmlformats.org/officeDocument/2006/relationships/hyperlink" Target="http://pic.twitter.com/mUv1Ap7Zh4" TargetMode="External"/><Relationship Id="rId24" Type="http://schemas.openxmlformats.org/officeDocument/2006/relationships/hyperlink" Target="http://www.youtube.com/azucenauresti" TargetMode="External"/><Relationship Id="rId23" Type="http://schemas.openxmlformats.org/officeDocument/2006/relationships/hyperlink" Target="http://pic.twitter.com/WOE0snwLsz" TargetMode="External"/><Relationship Id="rId26" Type="http://schemas.openxmlformats.org/officeDocument/2006/relationships/hyperlink" Target="http://www.youtube.com/azucenauresti" TargetMode="External"/><Relationship Id="rId25" Type="http://schemas.openxmlformats.org/officeDocument/2006/relationships/hyperlink" Target="http://pic.twitter.com/J0abrzoHO0" TargetMode="External"/><Relationship Id="rId28" Type="http://schemas.openxmlformats.org/officeDocument/2006/relationships/hyperlink" Target="http://www.youtube.com/azucenauresti" TargetMode="External"/><Relationship Id="rId27" Type="http://schemas.openxmlformats.org/officeDocument/2006/relationships/hyperlink" Target="http://pic.twitter.com/skbMYHz9D5" TargetMode="External"/><Relationship Id="rId29" Type="http://schemas.openxmlformats.org/officeDocument/2006/relationships/hyperlink" Target="http://pic.twitter.com/hGh1e5F5aB" TargetMode="External"/><Relationship Id="rId11" Type="http://schemas.openxmlformats.org/officeDocument/2006/relationships/hyperlink" Target="http://pic.twitter.com/ZBYIaDaI8q" TargetMode="External"/><Relationship Id="rId10" Type="http://schemas.openxmlformats.org/officeDocument/2006/relationships/hyperlink" Target="http://www.youtube.com/azucenauresti" TargetMode="External"/><Relationship Id="rId13" Type="http://schemas.openxmlformats.org/officeDocument/2006/relationships/hyperlink" Target="http://pic.twitter.com/vsYex1Sp4D" TargetMode="External"/><Relationship Id="rId12" Type="http://schemas.openxmlformats.org/officeDocument/2006/relationships/hyperlink" Target="http://www.youtube.com/azucenauresti" TargetMode="External"/><Relationship Id="rId15" Type="http://schemas.openxmlformats.org/officeDocument/2006/relationships/hyperlink" Target="http://pic.twitter.com/bNrGwZMr7a" TargetMode="External"/><Relationship Id="rId198" Type="http://schemas.openxmlformats.org/officeDocument/2006/relationships/hyperlink" Target="http://www.youtube.com/azucenauresti" TargetMode="External"/><Relationship Id="rId14" Type="http://schemas.openxmlformats.org/officeDocument/2006/relationships/hyperlink" Target="http://www.youtube.com/azucenauresti" TargetMode="External"/><Relationship Id="rId197" Type="http://schemas.openxmlformats.org/officeDocument/2006/relationships/hyperlink" Target="https://twitter.com/m_ebrard/status/1352680454382563328" TargetMode="External"/><Relationship Id="rId17" Type="http://schemas.openxmlformats.org/officeDocument/2006/relationships/hyperlink" Target="http://pic.twitter.com/HOucUxqY1h" TargetMode="External"/><Relationship Id="rId196" Type="http://schemas.openxmlformats.org/officeDocument/2006/relationships/hyperlink" Target="http://www.youtube.com/azucenauresti" TargetMode="External"/><Relationship Id="rId16" Type="http://schemas.openxmlformats.org/officeDocument/2006/relationships/hyperlink" Target="http://www.youtube.com/azucenauresti" TargetMode="External"/><Relationship Id="rId195" Type="http://schemas.openxmlformats.org/officeDocument/2006/relationships/hyperlink" Target="https://pbs.twimg.com/media/EsW2wMPXAAIeHqj.jpg" TargetMode="External"/><Relationship Id="rId19" Type="http://schemas.openxmlformats.org/officeDocument/2006/relationships/hyperlink" Target="http://pic.twitter.com/G34UaJld2j" TargetMode="External"/><Relationship Id="rId18" Type="http://schemas.openxmlformats.org/officeDocument/2006/relationships/hyperlink" Target="http://www.youtube.com/azucenauresti" TargetMode="External"/><Relationship Id="rId199" Type="http://schemas.openxmlformats.org/officeDocument/2006/relationships/drawing" Target="../drawings/drawing1.xml"/><Relationship Id="rId84" Type="http://schemas.openxmlformats.org/officeDocument/2006/relationships/hyperlink" Target="https://pbs.twimg.com/media/EslreJ1XUAE7HT1.jpg" TargetMode="External"/><Relationship Id="rId83" Type="http://schemas.openxmlformats.org/officeDocument/2006/relationships/hyperlink" Target="https://www.milenio.com/politica/amlo-vladimir-putin-conversan-vacuna-covid-19-sputnik" TargetMode="External"/><Relationship Id="rId86" Type="http://schemas.openxmlformats.org/officeDocument/2006/relationships/hyperlink" Target="http://www.youtube.com/azucenauresti" TargetMode="External"/><Relationship Id="rId85" Type="http://schemas.openxmlformats.org/officeDocument/2006/relationships/hyperlink" Target="http://www.youtube.com/azucenauresti" TargetMode="External"/><Relationship Id="rId88" Type="http://schemas.openxmlformats.org/officeDocument/2006/relationships/hyperlink" Target="http://www.youtube.com/azucenauresti" TargetMode="External"/><Relationship Id="rId150" Type="http://schemas.openxmlformats.org/officeDocument/2006/relationships/hyperlink" Target="http://www.youtube.com/azucenauresti" TargetMode="External"/><Relationship Id="rId87" Type="http://schemas.openxmlformats.org/officeDocument/2006/relationships/hyperlink" Target="http://pic.twitter.com/f0h1LvVeFU" TargetMode="External"/><Relationship Id="rId89" Type="http://schemas.openxmlformats.org/officeDocument/2006/relationships/hyperlink" Target="https://pbs.twimg.com/media/EsinZghXIAEcqUE.jpg" TargetMode="External"/><Relationship Id="rId80" Type="http://schemas.openxmlformats.org/officeDocument/2006/relationships/hyperlink" Target="http://www.youtube.com/azucenauresti" TargetMode="External"/><Relationship Id="rId82" Type="http://schemas.openxmlformats.org/officeDocument/2006/relationships/hyperlink" Target="http://www.youtube.com/azucenauresti" TargetMode="External"/><Relationship Id="rId81" Type="http://schemas.openxmlformats.org/officeDocument/2006/relationships/hyperlink" Target="https://www.milenio.com/negocios/carlos-slim-tiene-covid-19" TargetMode="External"/><Relationship Id="rId1" Type="http://schemas.openxmlformats.org/officeDocument/2006/relationships/hyperlink" Target="https://www.milenio.com/politica/enfermedades-fox-calderon-pena-nieto-presidentes" TargetMode="External"/><Relationship Id="rId2" Type="http://schemas.openxmlformats.org/officeDocument/2006/relationships/hyperlink" Target="http://www.youtube.com/azucenauresti" TargetMode="External"/><Relationship Id="rId3" Type="http://schemas.openxmlformats.org/officeDocument/2006/relationships/hyperlink" Target="https://latinus.us/2021/01/25/pandemia-covid-contagio-amlo-presidencia-probable-recomendar-cubrebocas/" TargetMode="External"/><Relationship Id="rId149" Type="http://schemas.openxmlformats.org/officeDocument/2006/relationships/hyperlink" Target="http://pic.twitter.com/Gq5xC9zsHI" TargetMode="External"/><Relationship Id="rId4" Type="http://schemas.openxmlformats.org/officeDocument/2006/relationships/hyperlink" Target="http://www.youtube.com/azucenauresti" TargetMode="External"/><Relationship Id="rId148" Type="http://schemas.openxmlformats.org/officeDocument/2006/relationships/hyperlink" Target="http://www.youtube.com/azucenauresti" TargetMode="External"/><Relationship Id="rId9" Type="http://schemas.openxmlformats.org/officeDocument/2006/relationships/hyperlink" Target="http://pic.twitter.com/soa3YHBzg3" TargetMode="External"/><Relationship Id="rId143" Type="http://schemas.openxmlformats.org/officeDocument/2006/relationships/hyperlink" Target="http://pic.twitter.com/1BOTyr1BGF" TargetMode="External"/><Relationship Id="rId142" Type="http://schemas.openxmlformats.org/officeDocument/2006/relationships/hyperlink" Target="http://www.youtube.com/azucenauresti" TargetMode="External"/><Relationship Id="rId141" Type="http://schemas.openxmlformats.org/officeDocument/2006/relationships/hyperlink" Target="http://pic.twitter.com/4Z6JNLA7Qk" TargetMode="External"/><Relationship Id="rId140" Type="http://schemas.openxmlformats.org/officeDocument/2006/relationships/hyperlink" Target="http://www.youtube.com/azucenauresti" TargetMode="External"/><Relationship Id="rId5" Type="http://schemas.openxmlformats.org/officeDocument/2006/relationships/hyperlink" Target="https://pbs.twimg.com/media/EsqUKxnW4AAesQ9.jpg" TargetMode="External"/><Relationship Id="rId147" Type="http://schemas.openxmlformats.org/officeDocument/2006/relationships/hyperlink" Target="http://pic.twitter.com/VjnSsCnz2o" TargetMode="External"/><Relationship Id="rId6" Type="http://schemas.openxmlformats.org/officeDocument/2006/relationships/hyperlink" Target="http://www.youtube.com/azucenauresti" TargetMode="External"/><Relationship Id="rId146" Type="http://schemas.openxmlformats.org/officeDocument/2006/relationships/hyperlink" Target="http://www.youtube.com/azucenauresti" TargetMode="External"/><Relationship Id="rId7" Type="http://schemas.openxmlformats.org/officeDocument/2006/relationships/hyperlink" Target="http://pic.twitter.com/l9ntSneqBv" TargetMode="External"/><Relationship Id="rId145" Type="http://schemas.openxmlformats.org/officeDocument/2006/relationships/hyperlink" Target="http://pic.twitter.com/Lrd3ydARhy" TargetMode="External"/><Relationship Id="rId8" Type="http://schemas.openxmlformats.org/officeDocument/2006/relationships/hyperlink" Target="http://www.youtube.com/azucenauresti" TargetMode="External"/><Relationship Id="rId144" Type="http://schemas.openxmlformats.org/officeDocument/2006/relationships/hyperlink" Target="http://www.youtube.com/azucenauresti" TargetMode="External"/><Relationship Id="rId73" Type="http://schemas.openxmlformats.org/officeDocument/2006/relationships/hyperlink" Target="https://pbs.twimg.com/media/EsnXl_IXIAEty7_.jpg" TargetMode="External"/><Relationship Id="rId72" Type="http://schemas.openxmlformats.org/officeDocument/2006/relationships/hyperlink" Target="http://www.youtube.com/azucenauresti" TargetMode="External"/><Relationship Id="rId75" Type="http://schemas.openxmlformats.org/officeDocument/2006/relationships/hyperlink" Target="http://pic.twitter.com/wnO2akT8Rk" TargetMode="External"/><Relationship Id="rId74" Type="http://schemas.openxmlformats.org/officeDocument/2006/relationships/hyperlink" Target="http://www.youtube.com/azucenauresti" TargetMode="External"/><Relationship Id="rId77" Type="http://schemas.openxmlformats.org/officeDocument/2006/relationships/hyperlink" Target="https://pbs.twimg.com/media/EsnG_qjXIAE-loy.jpg" TargetMode="External"/><Relationship Id="rId76" Type="http://schemas.openxmlformats.org/officeDocument/2006/relationships/hyperlink" Target="http://www.youtube.com/azucenauresti" TargetMode="External"/><Relationship Id="rId79" Type="http://schemas.openxmlformats.org/officeDocument/2006/relationships/hyperlink" Target="https://pbs.twimg.com/media/Esm6fMZXYAAByqT.jpg" TargetMode="External"/><Relationship Id="rId78" Type="http://schemas.openxmlformats.org/officeDocument/2006/relationships/hyperlink" Target="http://www.youtube.com/azucenauresti" TargetMode="External"/><Relationship Id="rId71" Type="http://schemas.openxmlformats.org/officeDocument/2006/relationships/hyperlink" Target="http://www.radioformula.com.mx" TargetMode="External"/><Relationship Id="rId70" Type="http://schemas.openxmlformats.org/officeDocument/2006/relationships/hyperlink" Target="http://www.youtube.com/azucenauresti" TargetMode="External"/><Relationship Id="rId139" Type="http://schemas.openxmlformats.org/officeDocument/2006/relationships/hyperlink" Target="http://pic.twitter.com/tVsqovgeW7" TargetMode="External"/><Relationship Id="rId138" Type="http://schemas.openxmlformats.org/officeDocument/2006/relationships/hyperlink" Target="http://www.youtube.com/azucenauresti" TargetMode="External"/><Relationship Id="rId137" Type="http://schemas.openxmlformats.org/officeDocument/2006/relationships/hyperlink" Target="http://pic.twitter.com/YepBdrpdBZ" TargetMode="External"/><Relationship Id="rId132" Type="http://schemas.openxmlformats.org/officeDocument/2006/relationships/hyperlink" Target="http://www.youtube.com/azucenauresti" TargetMode="External"/><Relationship Id="rId131" Type="http://schemas.openxmlformats.org/officeDocument/2006/relationships/hyperlink" Target="http://pic.twitter.com/iJPo2QCe4f" TargetMode="External"/><Relationship Id="rId130" Type="http://schemas.openxmlformats.org/officeDocument/2006/relationships/hyperlink" Target="http://www.youtube.com/azucenauresti" TargetMode="External"/><Relationship Id="rId136" Type="http://schemas.openxmlformats.org/officeDocument/2006/relationships/hyperlink" Target="http://www.youtube.com/azucenauresti" TargetMode="External"/><Relationship Id="rId135" Type="http://schemas.openxmlformats.org/officeDocument/2006/relationships/hyperlink" Target="http://pic.twitter.com/CLyzxQZoMR" TargetMode="External"/><Relationship Id="rId134" Type="http://schemas.openxmlformats.org/officeDocument/2006/relationships/hyperlink" Target="http://www.youtube.com/azucenauresti" TargetMode="External"/><Relationship Id="rId133" Type="http://schemas.openxmlformats.org/officeDocument/2006/relationships/hyperlink" Target="http://pic.twitter.com/5GxBKUAYXd" TargetMode="External"/><Relationship Id="rId62" Type="http://schemas.openxmlformats.org/officeDocument/2006/relationships/hyperlink" Target="https://pbs.twimg.com/media/EsnsK18XcAEMp7y.jpg" TargetMode="External"/><Relationship Id="rId61" Type="http://schemas.openxmlformats.org/officeDocument/2006/relationships/hyperlink" Target="http://www.youtube.com/azucenauresti" TargetMode="External"/><Relationship Id="rId64" Type="http://schemas.openxmlformats.org/officeDocument/2006/relationships/hyperlink" Target="https://www.milenio.com/politica/lopez-gatell-esta-en-confinamiento-tras-estar-en-contacto-con-amlo" TargetMode="External"/><Relationship Id="rId63" Type="http://schemas.openxmlformats.org/officeDocument/2006/relationships/hyperlink" Target="http://www.youtube.com/azucenauresti" TargetMode="External"/><Relationship Id="rId66" Type="http://schemas.openxmlformats.org/officeDocument/2006/relationships/hyperlink" Target="http://www.youtube.com/azucenauresti" TargetMode="External"/><Relationship Id="rId172" Type="http://schemas.openxmlformats.org/officeDocument/2006/relationships/hyperlink" Target="https://pbs.twimg.com/media/EsYQdEpWMAIjwMq.jpg" TargetMode="External"/><Relationship Id="rId65" Type="http://schemas.openxmlformats.org/officeDocument/2006/relationships/hyperlink" Target="http://www.youtube.com/azucenauresti" TargetMode="External"/><Relationship Id="rId171" Type="http://schemas.openxmlformats.org/officeDocument/2006/relationships/hyperlink" Target="http://www.youtube.com/azucenauresti" TargetMode="External"/><Relationship Id="rId68" Type="http://schemas.openxmlformats.org/officeDocument/2006/relationships/hyperlink" Target="http://www.youtube.com/azucenauresti" TargetMode="External"/><Relationship Id="rId170" Type="http://schemas.openxmlformats.org/officeDocument/2006/relationships/hyperlink" Target="http://pic.twitter.com/NFsahagpHp" TargetMode="External"/><Relationship Id="rId67" Type="http://schemas.openxmlformats.org/officeDocument/2006/relationships/hyperlink" Target="http://www.youtube.com/azucenauresti" TargetMode="External"/><Relationship Id="rId60" Type="http://schemas.openxmlformats.org/officeDocument/2006/relationships/hyperlink" Target="http://pic.twitter.com/EPHh0O5u8A" TargetMode="External"/><Relationship Id="rId165" Type="http://schemas.openxmlformats.org/officeDocument/2006/relationships/hyperlink" Target="https://twitter.com/i/broadcasts/1OyJAEnYLnbJb" TargetMode="External"/><Relationship Id="rId69" Type="http://schemas.openxmlformats.org/officeDocument/2006/relationships/hyperlink" Target="http://www.youtube.com/azucenauresti" TargetMode="External"/><Relationship Id="rId164" Type="http://schemas.openxmlformats.org/officeDocument/2006/relationships/hyperlink" Target="http://www.youtube.com/azucenauresti" TargetMode="External"/><Relationship Id="rId163" Type="http://schemas.openxmlformats.org/officeDocument/2006/relationships/hyperlink" Target="http://pic.twitter.com/7EpdjuOFvk" TargetMode="External"/><Relationship Id="rId162" Type="http://schemas.openxmlformats.org/officeDocument/2006/relationships/hyperlink" Target="http://www.youtube.com/azucenauresti" TargetMode="External"/><Relationship Id="rId169" Type="http://schemas.openxmlformats.org/officeDocument/2006/relationships/hyperlink" Target="http://www.youtube.com/azucenauresti" TargetMode="External"/><Relationship Id="rId168" Type="http://schemas.openxmlformats.org/officeDocument/2006/relationships/hyperlink" Target="https://pbs.twimg.com/media/EsY2PUQW4AA0sTe.jpg" TargetMode="External"/><Relationship Id="rId167" Type="http://schemas.openxmlformats.org/officeDocument/2006/relationships/hyperlink" Target="http://www.facebook.com/azucenaum" TargetMode="External"/><Relationship Id="rId166" Type="http://schemas.openxmlformats.org/officeDocument/2006/relationships/hyperlink" Target="http://www.youtube.com/azucenauresti" TargetMode="External"/><Relationship Id="rId51" Type="http://schemas.openxmlformats.org/officeDocument/2006/relationships/hyperlink" Target="https://twitter.com/i/broadcasts/1zqJVXkljzXKB" TargetMode="External"/><Relationship Id="rId50" Type="http://schemas.openxmlformats.org/officeDocument/2006/relationships/hyperlink" Target="http://www.youtube.com/azucenauresti" TargetMode="External"/><Relationship Id="rId53" Type="http://schemas.openxmlformats.org/officeDocument/2006/relationships/hyperlink" Target="http://www.facebook.com/azucenaum" TargetMode="External"/><Relationship Id="rId52" Type="http://schemas.openxmlformats.org/officeDocument/2006/relationships/hyperlink" Target="http://www.youtube.com/azucenauresti" TargetMode="External"/><Relationship Id="rId55" Type="http://schemas.openxmlformats.org/officeDocument/2006/relationships/hyperlink" Target="http://www.youtube.com/azucenauresti" TargetMode="External"/><Relationship Id="rId161" Type="http://schemas.openxmlformats.org/officeDocument/2006/relationships/hyperlink" Target="http://pic.twitter.com/DqFDGGhcCH" TargetMode="External"/><Relationship Id="rId54" Type="http://schemas.openxmlformats.org/officeDocument/2006/relationships/hyperlink" Target="https://pbs.twimg.com/media/EsoTBqbXMAAwMYK.jpg" TargetMode="External"/><Relationship Id="rId160" Type="http://schemas.openxmlformats.org/officeDocument/2006/relationships/hyperlink" Target="http://www.youtube.com/azucenauresti" TargetMode="External"/><Relationship Id="rId57" Type="http://schemas.openxmlformats.org/officeDocument/2006/relationships/hyperlink" Target="http://www.youtube.com/azucenauresti" TargetMode="External"/><Relationship Id="rId56" Type="http://schemas.openxmlformats.org/officeDocument/2006/relationships/hyperlink" Target="http://pic.twitter.com/7jygrAVjkF" TargetMode="External"/><Relationship Id="rId159" Type="http://schemas.openxmlformats.org/officeDocument/2006/relationships/hyperlink" Target="http://pic.twitter.com/S0UH7XqUmO" TargetMode="External"/><Relationship Id="rId59" Type="http://schemas.openxmlformats.org/officeDocument/2006/relationships/hyperlink" Target="http://www.youtube.com/azucenauresti" TargetMode="External"/><Relationship Id="rId154" Type="http://schemas.openxmlformats.org/officeDocument/2006/relationships/hyperlink" Target="http://www.youtube.com/azucenauresti" TargetMode="External"/><Relationship Id="rId58" Type="http://schemas.openxmlformats.org/officeDocument/2006/relationships/hyperlink" Target="https://twitter.com/tesaktriskel/status/1353887431834144768/video/1" TargetMode="External"/><Relationship Id="rId153" Type="http://schemas.openxmlformats.org/officeDocument/2006/relationships/hyperlink" Target="http://pic.twitter.com/gyZg2E3oG1" TargetMode="External"/><Relationship Id="rId152" Type="http://schemas.openxmlformats.org/officeDocument/2006/relationships/hyperlink" Target="http://www.youtube.com/azucenauresti" TargetMode="External"/><Relationship Id="rId151" Type="http://schemas.openxmlformats.org/officeDocument/2006/relationships/hyperlink" Target="http://pic.twitter.com/Po8j9rh1pm" TargetMode="External"/><Relationship Id="rId158" Type="http://schemas.openxmlformats.org/officeDocument/2006/relationships/hyperlink" Target="http://www.youtube.com/azucenauresti" TargetMode="External"/><Relationship Id="rId157" Type="http://schemas.openxmlformats.org/officeDocument/2006/relationships/hyperlink" Target="http://pic.twitter.com/mgZUzFCGvC" TargetMode="External"/><Relationship Id="rId156" Type="http://schemas.openxmlformats.org/officeDocument/2006/relationships/hyperlink" Target="http://www.youtube.com/azucenauresti" TargetMode="External"/><Relationship Id="rId155" Type="http://schemas.openxmlformats.org/officeDocument/2006/relationships/hyperlink" Target="http://pic.twitter.com/g44GKZ9dtQ" TargetMode="External"/><Relationship Id="rId107" Type="http://schemas.openxmlformats.org/officeDocument/2006/relationships/hyperlink" Target="http://pic.twitter.com/5WwD6kQC0s" TargetMode="External"/><Relationship Id="rId106" Type="http://schemas.openxmlformats.org/officeDocument/2006/relationships/hyperlink" Target="http://www.youtube.com/azucenauresti" TargetMode="External"/><Relationship Id="rId105" Type="http://schemas.openxmlformats.org/officeDocument/2006/relationships/hyperlink" Target="https://www.radioformula.com.mx/audio-y-video/audio/20210122/nos-estan-orillando-a-botear-en-las-calles-jose-un-adulto-mayor-afectado-por-la-pandemia/" TargetMode="External"/><Relationship Id="rId104" Type="http://schemas.openxmlformats.org/officeDocument/2006/relationships/hyperlink" Target="http://www.youtube.com/azucenauresti" TargetMode="External"/><Relationship Id="rId109" Type="http://schemas.openxmlformats.org/officeDocument/2006/relationships/hyperlink" Target="http://pic.twitter.com/O0Ae7IcTmh" TargetMode="External"/><Relationship Id="rId108" Type="http://schemas.openxmlformats.org/officeDocument/2006/relationships/hyperlink" Target="http://www.youtube.com/azucenauresti" TargetMode="External"/><Relationship Id="rId103" Type="http://schemas.openxmlformats.org/officeDocument/2006/relationships/hyperlink" Target="http://pic.twitter.com/jBIE3qOCQ0" TargetMode="External"/><Relationship Id="rId102" Type="http://schemas.openxmlformats.org/officeDocument/2006/relationships/hyperlink" Target="http://www.youtube.com/azucenauresti" TargetMode="External"/><Relationship Id="rId101" Type="http://schemas.openxmlformats.org/officeDocument/2006/relationships/hyperlink" Target="https://pbs.twimg.com/media/EscrsdXW8AAZtjR.jpg" TargetMode="External"/><Relationship Id="rId100" Type="http://schemas.openxmlformats.org/officeDocument/2006/relationships/hyperlink" Target="http://www.youtube.com/azucenauresti" TargetMode="External"/><Relationship Id="rId129" Type="http://schemas.openxmlformats.org/officeDocument/2006/relationships/hyperlink" Target="http://pic.twitter.com/FVHqu74xm9" TargetMode="External"/><Relationship Id="rId128" Type="http://schemas.openxmlformats.org/officeDocument/2006/relationships/hyperlink" Target="http://www.youtube.com/azucenauresti" TargetMode="External"/><Relationship Id="rId127" Type="http://schemas.openxmlformats.org/officeDocument/2006/relationships/hyperlink" Target="http://pic.twitter.com/5t6FyKNBv9" TargetMode="External"/><Relationship Id="rId126" Type="http://schemas.openxmlformats.org/officeDocument/2006/relationships/hyperlink" Target="http://www.youtube.com/azucenauresti" TargetMode="External"/><Relationship Id="rId121" Type="http://schemas.openxmlformats.org/officeDocument/2006/relationships/hyperlink" Target="http://pic.twitter.com/CNwiqmsmyy" TargetMode="External"/><Relationship Id="rId120" Type="http://schemas.openxmlformats.org/officeDocument/2006/relationships/hyperlink" Target="http://www.youtube.com/azucenauresti" TargetMode="External"/><Relationship Id="rId125" Type="http://schemas.openxmlformats.org/officeDocument/2006/relationships/hyperlink" Target="http://pic.twitter.com/urWsst1Vh8" TargetMode="External"/><Relationship Id="rId124" Type="http://schemas.openxmlformats.org/officeDocument/2006/relationships/hyperlink" Target="http://www.youtube.com/azucenauresti" TargetMode="External"/><Relationship Id="rId123" Type="http://schemas.openxmlformats.org/officeDocument/2006/relationships/hyperlink" Target="http://pic.twitter.com/zZTCwJsYcP" TargetMode="External"/><Relationship Id="rId122" Type="http://schemas.openxmlformats.org/officeDocument/2006/relationships/hyperlink" Target="http://www.youtube.com/azucenauresti" TargetMode="External"/><Relationship Id="rId95" Type="http://schemas.openxmlformats.org/officeDocument/2006/relationships/hyperlink" Target="http://pic.twitter.com/v5GmxkZWPu" TargetMode="External"/><Relationship Id="rId94" Type="http://schemas.openxmlformats.org/officeDocument/2006/relationships/hyperlink" Target="http://www.youtube.com/azucenauresti" TargetMode="External"/><Relationship Id="rId97" Type="http://schemas.openxmlformats.org/officeDocument/2006/relationships/hyperlink" Target="https://twitter.com/lilithelfen/status/1353368020035510273" TargetMode="External"/><Relationship Id="rId96" Type="http://schemas.openxmlformats.org/officeDocument/2006/relationships/hyperlink" Target="http://www.youtube.com/azucenauresti" TargetMode="External"/><Relationship Id="rId99" Type="http://schemas.openxmlformats.org/officeDocument/2006/relationships/hyperlink" Target="https://pbs.twimg.com/media/Esda5C-WMAEsX-f.jpg" TargetMode="External"/><Relationship Id="rId98" Type="http://schemas.openxmlformats.org/officeDocument/2006/relationships/hyperlink" Target="http://www.youtube.com/azucenauresti" TargetMode="External"/><Relationship Id="rId91" Type="http://schemas.openxmlformats.org/officeDocument/2006/relationships/hyperlink" Target="https://twitter.com/lopezobrador_/status/1353500519344578560" TargetMode="External"/><Relationship Id="rId90" Type="http://schemas.openxmlformats.org/officeDocument/2006/relationships/hyperlink" Target="http://www.youtube.com/azucenauresti" TargetMode="External"/><Relationship Id="rId93" Type="http://schemas.openxmlformats.org/officeDocument/2006/relationships/hyperlink" Target="https://pbs.twimg.com/media/EsiixR2XAAEUjNw.jpg" TargetMode="External"/><Relationship Id="rId92" Type="http://schemas.openxmlformats.org/officeDocument/2006/relationships/hyperlink" Target="http://www.youtube.com/azucenauresti" TargetMode="External"/><Relationship Id="rId118" Type="http://schemas.openxmlformats.org/officeDocument/2006/relationships/hyperlink" Target="http://www.youtube.com/azucenauresti" TargetMode="External"/><Relationship Id="rId117" Type="http://schemas.openxmlformats.org/officeDocument/2006/relationships/hyperlink" Target="http://pic.twitter.com/999chkqtJi" TargetMode="External"/><Relationship Id="rId116" Type="http://schemas.openxmlformats.org/officeDocument/2006/relationships/hyperlink" Target="http://www.youtube.com/azucenauresti" TargetMode="External"/><Relationship Id="rId115" Type="http://schemas.openxmlformats.org/officeDocument/2006/relationships/hyperlink" Target="http://pic.twitter.com/hEpvlLTamt" TargetMode="External"/><Relationship Id="rId119" Type="http://schemas.openxmlformats.org/officeDocument/2006/relationships/hyperlink" Target="http://pic.twitter.com/M7ij01MADN" TargetMode="External"/><Relationship Id="rId110" Type="http://schemas.openxmlformats.org/officeDocument/2006/relationships/hyperlink" Target="http://www.youtube.com/azucenauresti" TargetMode="External"/><Relationship Id="rId114" Type="http://schemas.openxmlformats.org/officeDocument/2006/relationships/hyperlink" Target="http://www.youtube.com/azucenauresti" TargetMode="External"/><Relationship Id="rId113" Type="http://schemas.openxmlformats.org/officeDocument/2006/relationships/hyperlink" Target="http://pic.twitter.com/UP5Thmh3YN" TargetMode="External"/><Relationship Id="rId112" Type="http://schemas.openxmlformats.org/officeDocument/2006/relationships/hyperlink" Target="http://www.youtube.com/azucenauresti" TargetMode="External"/><Relationship Id="rId111" Type="http://schemas.openxmlformats.org/officeDocument/2006/relationships/hyperlink" Target="http://pic.twitter.com/P1FrrdHfjp" TargetMode="External"/><Relationship Id="rId20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40" Type="http://schemas.openxmlformats.org/officeDocument/2006/relationships/hyperlink" Target="http://pic.twitter.com/CHJHYSQGPw" TargetMode="External"/><Relationship Id="rId190" Type="http://schemas.openxmlformats.org/officeDocument/2006/relationships/hyperlink" Target="https://www.bloomberg.com/news/articles/2021-01-24/seven-big-banks-escape-with-minor-fines-in-mexico-antitrust-case" TargetMode="External"/><Relationship Id="rId42" Type="http://schemas.openxmlformats.org/officeDocument/2006/relationships/hyperlink" Target="http://bit.ly/2LzaeTD" TargetMode="External"/><Relationship Id="rId41" Type="http://schemas.openxmlformats.org/officeDocument/2006/relationships/hyperlink" Target="http://telediario.mx" TargetMode="External"/><Relationship Id="rId44" Type="http://schemas.openxmlformats.org/officeDocument/2006/relationships/hyperlink" Target="http://telediario.mx" TargetMode="External"/><Relationship Id="rId194" Type="http://schemas.openxmlformats.org/officeDocument/2006/relationships/drawing" Target="../drawings/drawing2.xml"/><Relationship Id="rId43" Type="http://schemas.openxmlformats.org/officeDocument/2006/relationships/hyperlink" Target="http://pic.twitter.com/Kff4VNCPgD" TargetMode="External"/><Relationship Id="rId193" Type="http://schemas.openxmlformats.org/officeDocument/2006/relationships/hyperlink" Target="http://www.moisessuarez.com" TargetMode="External"/><Relationship Id="rId46" Type="http://schemas.openxmlformats.org/officeDocument/2006/relationships/hyperlink" Target="http://pic.twitter.com/pUcNbMLp7B" TargetMode="External"/><Relationship Id="rId192" Type="http://schemas.openxmlformats.org/officeDocument/2006/relationships/hyperlink" Target="http://www.moisessuarez.com" TargetMode="External"/><Relationship Id="rId45" Type="http://schemas.openxmlformats.org/officeDocument/2006/relationships/hyperlink" Target="http://bit.ly/2LzaeTD" TargetMode="External"/><Relationship Id="rId191" Type="http://schemas.openxmlformats.org/officeDocument/2006/relationships/hyperlink" Target="https://www.facebook.com/104691864341354/posts/268796274597578/" TargetMode="External"/><Relationship Id="rId48" Type="http://schemas.openxmlformats.org/officeDocument/2006/relationships/hyperlink" Target="https://falsapandemia.radiostream123.com/" TargetMode="External"/><Relationship Id="rId187" Type="http://schemas.openxmlformats.org/officeDocument/2006/relationships/hyperlink" Target="https://pbs.twimg.com/media/EslqJ3KW8AAVLAu.jpg" TargetMode="External"/><Relationship Id="rId47" Type="http://schemas.openxmlformats.org/officeDocument/2006/relationships/hyperlink" Target="http://telediario.mx" TargetMode="External"/><Relationship Id="rId186" Type="http://schemas.openxmlformats.org/officeDocument/2006/relationships/hyperlink" Target="http://www.radioformula.com.mx" TargetMode="External"/><Relationship Id="rId185" Type="http://schemas.openxmlformats.org/officeDocument/2006/relationships/hyperlink" Target="https://pbs.twimg.com/media/Esl_RgLXEAIJ67l.jpg" TargetMode="External"/><Relationship Id="rId49" Type="http://schemas.openxmlformats.org/officeDocument/2006/relationships/hyperlink" Target="https://pbs.twimg.com/media/EsrnAkxXMAMLmRR.jpg" TargetMode="External"/><Relationship Id="rId184" Type="http://schemas.openxmlformats.org/officeDocument/2006/relationships/hyperlink" Target="http://www.moisessuarez.com" TargetMode="External"/><Relationship Id="rId189" Type="http://schemas.openxmlformats.org/officeDocument/2006/relationships/hyperlink" Target="https://pbs.twimg.com/media/Esjl6bgXYAElLia.jpg" TargetMode="External"/><Relationship Id="rId188" Type="http://schemas.openxmlformats.org/officeDocument/2006/relationships/hyperlink" Target="https://twitter.com/ahorta134/status/1353584488262103040" TargetMode="External"/><Relationship Id="rId31" Type="http://schemas.openxmlformats.org/officeDocument/2006/relationships/hyperlink" Target="http://pic.twitter.com/fDqEXi1A4u" TargetMode="External"/><Relationship Id="rId30" Type="http://schemas.openxmlformats.org/officeDocument/2006/relationships/hyperlink" Target="http://bit.ly/2LzaeTD" TargetMode="External"/><Relationship Id="rId33" Type="http://schemas.openxmlformats.org/officeDocument/2006/relationships/hyperlink" Target="http://bit.ly/2LzaeTD" TargetMode="External"/><Relationship Id="rId183" Type="http://schemas.openxmlformats.org/officeDocument/2006/relationships/hyperlink" Target="http://www.moisessuarez.com" TargetMode="External"/><Relationship Id="rId32" Type="http://schemas.openxmlformats.org/officeDocument/2006/relationships/hyperlink" Target="http://telediario.mx" TargetMode="External"/><Relationship Id="rId182" Type="http://schemas.openxmlformats.org/officeDocument/2006/relationships/hyperlink" Target="https://youtu.be/nJsJOlCAvOs" TargetMode="External"/><Relationship Id="rId35" Type="http://schemas.openxmlformats.org/officeDocument/2006/relationships/hyperlink" Target="http://telediario.mx" TargetMode="External"/><Relationship Id="rId181" Type="http://schemas.openxmlformats.org/officeDocument/2006/relationships/hyperlink" Target="https://twitter.com/LillyTellez/status/1353763553895845888" TargetMode="External"/><Relationship Id="rId34" Type="http://schemas.openxmlformats.org/officeDocument/2006/relationships/hyperlink" Target="http://pic.twitter.com/D1hZdphBID" TargetMode="External"/><Relationship Id="rId180" Type="http://schemas.openxmlformats.org/officeDocument/2006/relationships/hyperlink" Target="http://telediario.mx" TargetMode="External"/><Relationship Id="rId37" Type="http://schemas.openxmlformats.org/officeDocument/2006/relationships/hyperlink" Target="http://pic.twitter.com/99ZKV3YlvT" TargetMode="External"/><Relationship Id="rId176" Type="http://schemas.openxmlformats.org/officeDocument/2006/relationships/hyperlink" Target="http://pic.twitter.com/LHQdqjJWii" TargetMode="External"/><Relationship Id="rId36" Type="http://schemas.openxmlformats.org/officeDocument/2006/relationships/hyperlink" Target="http://bit.ly/2LzaeTD" TargetMode="External"/><Relationship Id="rId175" Type="http://schemas.openxmlformats.org/officeDocument/2006/relationships/hyperlink" Target="http://bit.ly/2LzaeTD" TargetMode="External"/><Relationship Id="rId39" Type="http://schemas.openxmlformats.org/officeDocument/2006/relationships/hyperlink" Target="http://bit.ly/2LzaeTD" TargetMode="External"/><Relationship Id="rId174" Type="http://schemas.openxmlformats.org/officeDocument/2006/relationships/hyperlink" Target="http://telediario.mx" TargetMode="External"/><Relationship Id="rId38" Type="http://schemas.openxmlformats.org/officeDocument/2006/relationships/hyperlink" Target="http://telediario.mx" TargetMode="External"/><Relationship Id="rId173" Type="http://schemas.openxmlformats.org/officeDocument/2006/relationships/hyperlink" Target="http://pic.twitter.com/Vfw1cIdzit" TargetMode="External"/><Relationship Id="rId179" Type="http://schemas.openxmlformats.org/officeDocument/2006/relationships/hyperlink" Target="http://pic.twitter.com/6qXf4h3F9e" TargetMode="External"/><Relationship Id="rId178" Type="http://schemas.openxmlformats.org/officeDocument/2006/relationships/hyperlink" Target="http://bit.ly/2LzaeTD" TargetMode="External"/><Relationship Id="rId177" Type="http://schemas.openxmlformats.org/officeDocument/2006/relationships/hyperlink" Target="http://telediario.mx" TargetMode="External"/><Relationship Id="rId20" Type="http://schemas.openxmlformats.org/officeDocument/2006/relationships/hyperlink" Target="http://telediario.mx" TargetMode="External"/><Relationship Id="rId22" Type="http://schemas.openxmlformats.org/officeDocument/2006/relationships/hyperlink" Target="http://pic.twitter.com/cJifqOB1cz" TargetMode="External"/><Relationship Id="rId21" Type="http://schemas.openxmlformats.org/officeDocument/2006/relationships/hyperlink" Target="http://bit.ly/2LzaeTD" TargetMode="External"/><Relationship Id="rId24" Type="http://schemas.openxmlformats.org/officeDocument/2006/relationships/hyperlink" Target="http://bit.ly/2LzaeTD" TargetMode="External"/><Relationship Id="rId23" Type="http://schemas.openxmlformats.org/officeDocument/2006/relationships/hyperlink" Target="http://telediario.mx" TargetMode="External"/><Relationship Id="rId26" Type="http://schemas.openxmlformats.org/officeDocument/2006/relationships/hyperlink" Target="http://telediario.mx" TargetMode="External"/><Relationship Id="rId25" Type="http://schemas.openxmlformats.org/officeDocument/2006/relationships/hyperlink" Target="http://pic.twitter.com/GE1N4OcaBp" TargetMode="External"/><Relationship Id="rId28" Type="http://schemas.openxmlformats.org/officeDocument/2006/relationships/hyperlink" Target="http://pic.twitter.com/zQHyrLTnow" TargetMode="External"/><Relationship Id="rId27" Type="http://schemas.openxmlformats.org/officeDocument/2006/relationships/hyperlink" Target="http://bit.ly/2LzaeTD" TargetMode="External"/><Relationship Id="rId29" Type="http://schemas.openxmlformats.org/officeDocument/2006/relationships/hyperlink" Target="http://telediario.mx" TargetMode="External"/><Relationship Id="rId11" Type="http://schemas.openxmlformats.org/officeDocument/2006/relationships/hyperlink" Target="https://pbs.twimg.com/media/Esq8MznXEAEp3IB.jpg" TargetMode="External"/><Relationship Id="rId10" Type="http://schemas.openxmlformats.org/officeDocument/2006/relationships/hyperlink" Target="https://twitter.com/dw_espanol/status/1354115634913812481" TargetMode="External"/><Relationship Id="rId13" Type="http://schemas.openxmlformats.org/officeDocument/2006/relationships/hyperlink" Target="http://pic.twitter.com/YYnk59NQYd" TargetMode="External"/><Relationship Id="rId12" Type="http://schemas.openxmlformats.org/officeDocument/2006/relationships/hyperlink" Target="http://bit.ly/2LzaeTD" TargetMode="External"/><Relationship Id="rId15" Type="http://schemas.openxmlformats.org/officeDocument/2006/relationships/hyperlink" Target="https://www.dw.com/es/la-mitad-de-los-rusos-se-niega-a-vacunarse-con-sputnik-v/a-56078241" TargetMode="External"/><Relationship Id="rId14" Type="http://schemas.openxmlformats.org/officeDocument/2006/relationships/hyperlink" Target="http://telediario.mx" TargetMode="External"/><Relationship Id="rId17" Type="http://schemas.openxmlformats.org/officeDocument/2006/relationships/hyperlink" Target="http://pic.twitter.com/pS0Wd1vgW7" TargetMode="External"/><Relationship Id="rId196" Type="http://schemas.openxmlformats.org/officeDocument/2006/relationships/table" Target="../tables/table2.xml"/><Relationship Id="rId16" Type="http://schemas.openxmlformats.org/officeDocument/2006/relationships/hyperlink" Target="http://bit.ly/2LzaeTD" TargetMode="External"/><Relationship Id="rId19" Type="http://schemas.openxmlformats.org/officeDocument/2006/relationships/hyperlink" Target="http://pic.twitter.com/3S7gftJeCf" TargetMode="External"/><Relationship Id="rId18" Type="http://schemas.openxmlformats.org/officeDocument/2006/relationships/hyperlink" Target="http://telediario.mx" TargetMode="External"/><Relationship Id="rId84" Type="http://schemas.openxmlformats.org/officeDocument/2006/relationships/hyperlink" Target="https://twitter.com/McSally14/status/1354085499217080321" TargetMode="External"/><Relationship Id="rId83" Type="http://schemas.openxmlformats.org/officeDocument/2006/relationships/hyperlink" Target="http://www.fundacionconcienciaydignidad.org" TargetMode="External"/><Relationship Id="rId86" Type="http://schemas.openxmlformats.org/officeDocument/2006/relationships/hyperlink" Target="https://twitter.com/azucenau/status/1354057553852948483" TargetMode="External"/><Relationship Id="rId85" Type="http://schemas.openxmlformats.org/officeDocument/2006/relationships/hyperlink" Target="https://pbs.twimg.com/media/EsqtlHKXEAQXtt_.jpg" TargetMode="External"/><Relationship Id="rId88" Type="http://schemas.openxmlformats.org/officeDocument/2006/relationships/hyperlink" Target="http://www.migrantologos.mx" TargetMode="External"/><Relationship Id="rId150" Type="http://schemas.openxmlformats.org/officeDocument/2006/relationships/hyperlink" Target="http://pic.twitter.com/E0ZWrjqsb8" TargetMode="External"/><Relationship Id="rId87" Type="http://schemas.openxmlformats.org/officeDocument/2006/relationships/hyperlink" Target="https://pbs.twimg.com/media/EsqUKxnW4AAesQ9.jpg" TargetMode="External"/><Relationship Id="rId89" Type="http://schemas.openxmlformats.org/officeDocument/2006/relationships/hyperlink" Target="https://pbs.twimg.com/media/Eso2A21UUAA_J0z.jpg" TargetMode="External"/><Relationship Id="rId80" Type="http://schemas.openxmlformats.org/officeDocument/2006/relationships/hyperlink" Target="http://www.diariodemexico.com" TargetMode="External"/><Relationship Id="rId82" Type="http://schemas.openxmlformats.org/officeDocument/2006/relationships/hyperlink" Target="https://pbs.twimg.com/media/Esq4h-rVkAoFQ46.jpg" TargetMode="External"/><Relationship Id="rId81" Type="http://schemas.openxmlformats.org/officeDocument/2006/relationships/hyperlink" Target="https://twitter.com/MaxKaiser75/status/1354097535544123393" TargetMode="External"/><Relationship Id="rId1" Type="http://schemas.openxmlformats.org/officeDocument/2006/relationships/hyperlink" Target="http://bit.ly/2LzaeTD" TargetMode="External"/><Relationship Id="rId2" Type="http://schemas.openxmlformats.org/officeDocument/2006/relationships/hyperlink" Target="http://pic.twitter.com/ZqDKWcYUv5" TargetMode="External"/><Relationship Id="rId3" Type="http://schemas.openxmlformats.org/officeDocument/2006/relationships/hyperlink" Target="http://telediario.mx" TargetMode="External"/><Relationship Id="rId149" Type="http://schemas.openxmlformats.org/officeDocument/2006/relationships/hyperlink" Target="http://bit.ly/2LzaeTD" TargetMode="External"/><Relationship Id="rId4" Type="http://schemas.openxmlformats.org/officeDocument/2006/relationships/hyperlink" Target="http://bit.ly/2LzaeTD" TargetMode="External"/><Relationship Id="rId148" Type="http://schemas.openxmlformats.org/officeDocument/2006/relationships/hyperlink" Target="http://telediario.mx" TargetMode="External"/><Relationship Id="rId9" Type="http://schemas.openxmlformats.org/officeDocument/2006/relationships/hyperlink" Target="http://telediario.mx" TargetMode="External"/><Relationship Id="rId143" Type="http://schemas.openxmlformats.org/officeDocument/2006/relationships/hyperlink" Target="http://telediario.mx" TargetMode="External"/><Relationship Id="rId142" Type="http://schemas.openxmlformats.org/officeDocument/2006/relationships/hyperlink" Target="http://pic.twitter.com/navNyptNJp" TargetMode="External"/><Relationship Id="rId141" Type="http://schemas.openxmlformats.org/officeDocument/2006/relationships/hyperlink" Target="http://bit.ly/2LzaeTD" TargetMode="External"/><Relationship Id="rId140" Type="http://schemas.openxmlformats.org/officeDocument/2006/relationships/hyperlink" Target="http://telediario.mx" TargetMode="External"/><Relationship Id="rId5" Type="http://schemas.openxmlformats.org/officeDocument/2006/relationships/hyperlink" Target="http://pic.twitter.com/dUPrxWhDL9" TargetMode="External"/><Relationship Id="rId147" Type="http://schemas.openxmlformats.org/officeDocument/2006/relationships/hyperlink" Target="http://pic.twitter.com/rTHUmpWh4X" TargetMode="External"/><Relationship Id="rId6" Type="http://schemas.openxmlformats.org/officeDocument/2006/relationships/hyperlink" Target="http://telediario.mx" TargetMode="External"/><Relationship Id="rId146" Type="http://schemas.openxmlformats.org/officeDocument/2006/relationships/hyperlink" Target="http://bit.ly/2LzaeTD" TargetMode="External"/><Relationship Id="rId7" Type="http://schemas.openxmlformats.org/officeDocument/2006/relationships/hyperlink" Target="http://bit.ly/2LzaeTD" TargetMode="External"/><Relationship Id="rId145" Type="http://schemas.openxmlformats.org/officeDocument/2006/relationships/hyperlink" Target="https://pbs.twimg.com/media/Esi8QbfWMAE-_kJ.jpg" TargetMode="External"/><Relationship Id="rId8" Type="http://schemas.openxmlformats.org/officeDocument/2006/relationships/hyperlink" Target="http://pic.twitter.com/YlGxQqAQPd" TargetMode="External"/><Relationship Id="rId144" Type="http://schemas.openxmlformats.org/officeDocument/2006/relationships/hyperlink" Target="https://twitter.com/VictorEArellan1/status/1353538682846932993" TargetMode="External"/><Relationship Id="rId73" Type="http://schemas.openxmlformats.org/officeDocument/2006/relationships/hyperlink" Target="https://twitter.com/lopezobrador_/status/1353732942904709123" TargetMode="External"/><Relationship Id="rId72" Type="http://schemas.openxmlformats.org/officeDocument/2006/relationships/hyperlink" Target="https://www.diariodemexico.com/el-no-debate-con-el-dr-xavier-tello-sobre-el-uso-de-la-ivermectina-contra-el-covid-19" TargetMode="External"/><Relationship Id="rId75" Type="http://schemas.openxmlformats.org/officeDocument/2006/relationships/hyperlink" Target="https://twitter.com/MaxKaiser75/status/1354097535544123393" TargetMode="External"/><Relationship Id="rId74" Type="http://schemas.openxmlformats.org/officeDocument/2006/relationships/hyperlink" Target="https://pbs.twimg.com/media/EslsQEeXIAUedvp.jpg" TargetMode="External"/><Relationship Id="rId77" Type="http://schemas.openxmlformats.org/officeDocument/2006/relationships/hyperlink" Target="https://twitter.com/jokerobrador/status/1354101032918245376" TargetMode="External"/><Relationship Id="rId76" Type="http://schemas.openxmlformats.org/officeDocument/2006/relationships/hyperlink" Target="https://pbs.twimg.com/media/Esq4h-rVkAoFQ46.jpg" TargetMode="External"/><Relationship Id="rId79" Type="http://schemas.openxmlformats.org/officeDocument/2006/relationships/hyperlink" Target="https://www.diariodemexico.com/el-no-debate-con-el-dr-xavier-tello-sobre-el-uso-de-la-ivermectina-contra-el-covid-19" TargetMode="External"/><Relationship Id="rId78" Type="http://schemas.openxmlformats.org/officeDocument/2006/relationships/hyperlink" Target="https://pbs.twimg.com/media/Esq7tpdVEAAnX0u.jpg" TargetMode="External"/><Relationship Id="rId71" Type="http://schemas.openxmlformats.org/officeDocument/2006/relationships/hyperlink" Target="https://www.diariodemexico.com/el-no-debate-con-el-dr-xavier-tello-sobre-el-uso-de-la-ivermectina-contra-el-covid-19" TargetMode="External"/><Relationship Id="rId70" Type="http://schemas.openxmlformats.org/officeDocument/2006/relationships/hyperlink" Target="https://twitter.com/LuisPabloAngel/status/1354124541337903104" TargetMode="External"/><Relationship Id="rId139" Type="http://schemas.openxmlformats.org/officeDocument/2006/relationships/hyperlink" Target="http://pic.twitter.com/gx8VeChdcl" TargetMode="External"/><Relationship Id="rId138" Type="http://schemas.openxmlformats.org/officeDocument/2006/relationships/hyperlink" Target="http://bit.ly/2LzaeTD" TargetMode="External"/><Relationship Id="rId137" Type="http://schemas.openxmlformats.org/officeDocument/2006/relationships/hyperlink" Target="https://pbs.twimg.com/media/Esm9-jaW8AM0Bp4.png" TargetMode="External"/><Relationship Id="rId132" Type="http://schemas.openxmlformats.org/officeDocument/2006/relationships/hyperlink" Target="https://pbs.twimg.com/media/EsnYJiEW4AEAbCD.jpg" TargetMode="External"/><Relationship Id="rId131" Type="http://schemas.openxmlformats.org/officeDocument/2006/relationships/hyperlink" Target="https://pbs.twimg.com/media/EsnaPYKXAAAOb2b.jpg" TargetMode="External"/><Relationship Id="rId130" Type="http://schemas.openxmlformats.org/officeDocument/2006/relationships/hyperlink" Target="https://twitter.com/Shehinnow/status/1353853128723099648" TargetMode="External"/><Relationship Id="rId136" Type="http://schemas.openxmlformats.org/officeDocument/2006/relationships/hyperlink" Target="https://pbs.twimg.com/media/Esm_dm0W8AAJ5ek.jpg" TargetMode="External"/><Relationship Id="rId135" Type="http://schemas.openxmlformats.org/officeDocument/2006/relationships/hyperlink" Target="https://twitter.com/yocuidomexico/status/1353823686789378049" TargetMode="External"/><Relationship Id="rId134" Type="http://schemas.openxmlformats.org/officeDocument/2006/relationships/hyperlink" Target="https://pbs.twimg.com/media/EsmuoBIU0AAv77e.jpg" TargetMode="External"/><Relationship Id="rId133" Type="http://schemas.openxmlformats.org/officeDocument/2006/relationships/hyperlink" Target="https://twitter.com/ChairosY/status/1353805172737245185" TargetMode="External"/><Relationship Id="rId62" Type="http://schemas.openxmlformats.org/officeDocument/2006/relationships/hyperlink" Target="http://telediario.mx" TargetMode="External"/><Relationship Id="rId61" Type="http://schemas.openxmlformats.org/officeDocument/2006/relationships/hyperlink" Target="http://pic.twitter.com/xNbw2XsWS6" TargetMode="External"/><Relationship Id="rId64" Type="http://schemas.openxmlformats.org/officeDocument/2006/relationships/hyperlink" Target="http://pic.twitter.com/zwij2exCb9" TargetMode="External"/><Relationship Id="rId63" Type="http://schemas.openxmlformats.org/officeDocument/2006/relationships/hyperlink" Target="http://bit.ly/2LzaeTD" TargetMode="External"/><Relationship Id="rId66" Type="http://schemas.openxmlformats.org/officeDocument/2006/relationships/hyperlink" Target="https://pbs.twimg.com/media/EsrjtnwVcAEXL4Q.jpg" TargetMode="External"/><Relationship Id="rId172" Type="http://schemas.openxmlformats.org/officeDocument/2006/relationships/hyperlink" Target="http://bit.ly/2LzaeTD" TargetMode="External"/><Relationship Id="rId65" Type="http://schemas.openxmlformats.org/officeDocument/2006/relationships/hyperlink" Target="http://telediario.mx" TargetMode="External"/><Relationship Id="rId171" Type="http://schemas.openxmlformats.org/officeDocument/2006/relationships/hyperlink" Target="http://telediario.mx" TargetMode="External"/><Relationship Id="rId68" Type="http://schemas.openxmlformats.org/officeDocument/2006/relationships/hyperlink" Target="http://pic.twitter.com/r8EuyttwfH" TargetMode="External"/><Relationship Id="rId170" Type="http://schemas.openxmlformats.org/officeDocument/2006/relationships/hyperlink" Target="http://pic.twitter.com/wxDKdAqsZW" TargetMode="External"/><Relationship Id="rId67" Type="http://schemas.openxmlformats.org/officeDocument/2006/relationships/hyperlink" Target="http://bit.ly/2LzaeTD" TargetMode="External"/><Relationship Id="rId60" Type="http://schemas.openxmlformats.org/officeDocument/2006/relationships/hyperlink" Target="http://bit.ly/2LzaeTD" TargetMode="External"/><Relationship Id="rId165" Type="http://schemas.openxmlformats.org/officeDocument/2006/relationships/hyperlink" Target="http://logicarogersiana.tumblr.com/" TargetMode="External"/><Relationship Id="rId69" Type="http://schemas.openxmlformats.org/officeDocument/2006/relationships/hyperlink" Target="http://telediario.mx" TargetMode="External"/><Relationship Id="rId164" Type="http://schemas.openxmlformats.org/officeDocument/2006/relationships/hyperlink" Target="http://telediario.mx" TargetMode="External"/><Relationship Id="rId163" Type="http://schemas.openxmlformats.org/officeDocument/2006/relationships/hyperlink" Target="http://pic.twitter.com/alIklR6Zk7" TargetMode="External"/><Relationship Id="rId162" Type="http://schemas.openxmlformats.org/officeDocument/2006/relationships/hyperlink" Target="http://bit.ly/2LzaeTD" TargetMode="External"/><Relationship Id="rId169" Type="http://schemas.openxmlformats.org/officeDocument/2006/relationships/hyperlink" Target="http://bit.ly/2LzaeTD" TargetMode="External"/><Relationship Id="rId168" Type="http://schemas.openxmlformats.org/officeDocument/2006/relationships/hyperlink" Target="http://telediario.mx" TargetMode="External"/><Relationship Id="rId167" Type="http://schemas.openxmlformats.org/officeDocument/2006/relationships/hyperlink" Target="http://pic.twitter.com/xNyusP0LYS" TargetMode="External"/><Relationship Id="rId166" Type="http://schemas.openxmlformats.org/officeDocument/2006/relationships/hyperlink" Target="http://bit.ly/2LzaeTD" TargetMode="External"/><Relationship Id="rId51" Type="http://schemas.openxmlformats.org/officeDocument/2006/relationships/hyperlink" Target="http://bit.ly/2LzaeTD" TargetMode="External"/><Relationship Id="rId50" Type="http://schemas.openxmlformats.org/officeDocument/2006/relationships/hyperlink" Target="http://euskalnews.com/2020/12/que-hacer-si-tu-empresa-exige-que-te-pongas-la-vacuna-te-explicamos-lo" TargetMode="External"/><Relationship Id="rId53" Type="http://schemas.openxmlformats.org/officeDocument/2006/relationships/hyperlink" Target="http://telediario.mx" TargetMode="External"/><Relationship Id="rId52" Type="http://schemas.openxmlformats.org/officeDocument/2006/relationships/hyperlink" Target="http://pic.twitter.com/9mljOfdBbj" TargetMode="External"/><Relationship Id="rId55" Type="http://schemas.openxmlformats.org/officeDocument/2006/relationships/hyperlink" Target="http://pic.twitter.com/C5YisdUBWZ" TargetMode="External"/><Relationship Id="rId161" Type="http://schemas.openxmlformats.org/officeDocument/2006/relationships/hyperlink" Target="http://telediario.mx" TargetMode="External"/><Relationship Id="rId54" Type="http://schemas.openxmlformats.org/officeDocument/2006/relationships/hyperlink" Target="http://bit.ly/2LzaeTD" TargetMode="External"/><Relationship Id="rId160" Type="http://schemas.openxmlformats.org/officeDocument/2006/relationships/hyperlink" Target="http://pic.twitter.com/TUx15QnBRv" TargetMode="External"/><Relationship Id="rId57" Type="http://schemas.openxmlformats.org/officeDocument/2006/relationships/hyperlink" Target="http://bit.ly/2LzaeTD" TargetMode="External"/><Relationship Id="rId56" Type="http://schemas.openxmlformats.org/officeDocument/2006/relationships/hyperlink" Target="http://telediario.mx" TargetMode="External"/><Relationship Id="rId159" Type="http://schemas.openxmlformats.org/officeDocument/2006/relationships/hyperlink" Target="http://bit.ly/2LzaeTD" TargetMode="External"/><Relationship Id="rId59" Type="http://schemas.openxmlformats.org/officeDocument/2006/relationships/hyperlink" Target="http://telediario.mx" TargetMode="External"/><Relationship Id="rId154" Type="http://schemas.openxmlformats.org/officeDocument/2006/relationships/hyperlink" Target="http://telediario.mx" TargetMode="External"/><Relationship Id="rId58" Type="http://schemas.openxmlformats.org/officeDocument/2006/relationships/hyperlink" Target="http://pic.twitter.com/Pi81cq1Jxg" TargetMode="External"/><Relationship Id="rId153" Type="http://schemas.openxmlformats.org/officeDocument/2006/relationships/hyperlink" Target="http://pic.twitter.com/s9eRg4xa1I" TargetMode="External"/><Relationship Id="rId152" Type="http://schemas.openxmlformats.org/officeDocument/2006/relationships/hyperlink" Target="http://bit.ly/2LzaeTD" TargetMode="External"/><Relationship Id="rId151" Type="http://schemas.openxmlformats.org/officeDocument/2006/relationships/hyperlink" Target="http://telediario.mx" TargetMode="External"/><Relationship Id="rId158" Type="http://schemas.openxmlformats.org/officeDocument/2006/relationships/hyperlink" Target="https://pbs.twimg.com/media/EslkfpyW4AIBJw7.jpg" TargetMode="External"/><Relationship Id="rId157" Type="http://schemas.openxmlformats.org/officeDocument/2006/relationships/hyperlink" Target="http://telediario.mx" TargetMode="External"/><Relationship Id="rId156" Type="http://schemas.openxmlformats.org/officeDocument/2006/relationships/hyperlink" Target="http://pic.twitter.com/TypZOnNbND" TargetMode="External"/><Relationship Id="rId155" Type="http://schemas.openxmlformats.org/officeDocument/2006/relationships/hyperlink" Target="http://bit.ly/2LzaeTD" TargetMode="External"/><Relationship Id="rId107" Type="http://schemas.openxmlformats.org/officeDocument/2006/relationships/hyperlink" Target="http://www.milenio.com" TargetMode="External"/><Relationship Id="rId106" Type="http://schemas.openxmlformats.org/officeDocument/2006/relationships/hyperlink" Target="http://pic.twitter.com/QEiARfQcpW" TargetMode="External"/><Relationship Id="rId105" Type="http://schemas.openxmlformats.org/officeDocument/2006/relationships/hyperlink" Target="http://www.milenio.com" TargetMode="External"/><Relationship Id="rId104" Type="http://schemas.openxmlformats.org/officeDocument/2006/relationships/hyperlink" Target="http://pic.twitter.com/MhmQiTcrOr" TargetMode="External"/><Relationship Id="rId109" Type="http://schemas.openxmlformats.org/officeDocument/2006/relationships/hyperlink" Target="http://www.milenio.com" TargetMode="External"/><Relationship Id="rId108" Type="http://schemas.openxmlformats.org/officeDocument/2006/relationships/hyperlink" Target="http://pic.twitter.com/OEhCbvI7py" TargetMode="External"/><Relationship Id="rId103" Type="http://schemas.openxmlformats.org/officeDocument/2006/relationships/hyperlink" Target="http://www.milenio.com" TargetMode="External"/><Relationship Id="rId102" Type="http://schemas.openxmlformats.org/officeDocument/2006/relationships/hyperlink" Target="http://pic.twitter.com/dh7CH4jgOW" TargetMode="External"/><Relationship Id="rId101" Type="http://schemas.openxmlformats.org/officeDocument/2006/relationships/hyperlink" Target="http://www.milenio.com" TargetMode="External"/><Relationship Id="rId100" Type="http://schemas.openxmlformats.org/officeDocument/2006/relationships/hyperlink" Target="http://pic.twitter.com/KLiGZeUDrK" TargetMode="External"/><Relationship Id="rId129" Type="http://schemas.openxmlformats.org/officeDocument/2006/relationships/hyperlink" Target="http://noticieros.televisa.com/programas/las-noticias-con-karla-iberia-sanchez/" TargetMode="External"/><Relationship Id="rId128" Type="http://schemas.openxmlformats.org/officeDocument/2006/relationships/hyperlink" Target="http://carlostomasini.com" TargetMode="External"/><Relationship Id="rId127" Type="http://schemas.openxmlformats.org/officeDocument/2006/relationships/hyperlink" Target="https://twitter.com/azucenau/status/1353859103903379457" TargetMode="External"/><Relationship Id="rId126" Type="http://schemas.openxmlformats.org/officeDocument/2006/relationships/hyperlink" Target="https://twitter.com/azucenau/status/1353858379287031808" TargetMode="External"/><Relationship Id="rId121" Type="http://schemas.openxmlformats.org/officeDocument/2006/relationships/hyperlink" Target="http://www.adrianadavila.mx" TargetMode="External"/><Relationship Id="rId120" Type="http://schemas.openxmlformats.org/officeDocument/2006/relationships/hyperlink" Target="https://pbs.twimg.com/media/Esn3sTKXcAM7b8g.png" TargetMode="External"/><Relationship Id="rId125" Type="http://schemas.openxmlformats.org/officeDocument/2006/relationships/hyperlink" Target="http://liebanosaenz.wordpress.com" TargetMode="External"/><Relationship Id="rId124" Type="http://schemas.openxmlformats.org/officeDocument/2006/relationships/hyperlink" Target="https://twitter.com/karlaiberia/status/1353861319879962632" TargetMode="External"/><Relationship Id="rId123" Type="http://schemas.openxmlformats.org/officeDocument/2006/relationships/hyperlink" Target="https://www.facebook.com/erika.velasco.982" TargetMode="External"/><Relationship Id="rId122" Type="http://schemas.openxmlformats.org/officeDocument/2006/relationships/hyperlink" Target="http://sinreservas.mx" TargetMode="External"/><Relationship Id="rId95" Type="http://schemas.openxmlformats.org/officeDocument/2006/relationships/hyperlink" Target="http://www.milenio.com" TargetMode="External"/><Relationship Id="rId94" Type="http://schemas.openxmlformats.org/officeDocument/2006/relationships/hyperlink" Target="http://pic.twitter.com/CTJb9Rc09b" TargetMode="External"/><Relationship Id="rId97" Type="http://schemas.openxmlformats.org/officeDocument/2006/relationships/hyperlink" Target="http://www.milenio.com" TargetMode="External"/><Relationship Id="rId96" Type="http://schemas.openxmlformats.org/officeDocument/2006/relationships/hyperlink" Target="http://pic.twitter.com/zJc4mbigKK" TargetMode="External"/><Relationship Id="rId99" Type="http://schemas.openxmlformats.org/officeDocument/2006/relationships/hyperlink" Target="http://www.milenio.com" TargetMode="External"/><Relationship Id="rId98" Type="http://schemas.openxmlformats.org/officeDocument/2006/relationships/hyperlink" Target="http://pic.twitter.com/29izbKmnrL" TargetMode="External"/><Relationship Id="rId91" Type="http://schemas.openxmlformats.org/officeDocument/2006/relationships/hyperlink" Target="http://www.milenio.com" TargetMode="External"/><Relationship Id="rId90" Type="http://schemas.openxmlformats.org/officeDocument/2006/relationships/hyperlink" Target="http://pic.twitter.com/wMeJ8h6bR0" TargetMode="External"/><Relationship Id="rId93" Type="http://schemas.openxmlformats.org/officeDocument/2006/relationships/hyperlink" Target="http://www.milenio.com" TargetMode="External"/><Relationship Id="rId92" Type="http://schemas.openxmlformats.org/officeDocument/2006/relationships/hyperlink" Target="http://pic.twitter.com/XdMPYvgao2" TargetMode="External"/><Relationship Id="rId118" Type="http://schemas.openxmlformats.org/officeDocument/2006/relationships/hyperlink" Target="https://mile.io/3oijAqy" TargetMode="External"/><Relationship Id="rId117" Type="http://schemas.openxmlformats.org/officeDocument/2006/relationships/hyperlink" Target="http://www.milenio.com" TargetMode="External"/><Relationship Id="rId116" Type="http://schemas.openxmlformats.org/officeDocument/2006/relationships/hyperlink" Target="https://mile.io/3oijAqy" TargetMode="External"/><Relationship Id="rId115" Type="http://schemas.openxmlformats.org/officeDocument/2006/relationships/hyperlink" Target="https://www.pscp.tv/w/ct452jFXTEVSa1B3clBRYkR8MXpxSlZYa2xqelhLQtxBT83o5nvlggSYoY8GUCATKIOiFq4P8xu_nuK8a9SW?t=50s" TargetMode="External"/><Relationship Id="rId119" Type="http://schemas.openxmlformats.org/officeDocument/2006/relationships/hyperlink" Target="http://www.milenio.com" TargetMode="External"/><Relationship Id="rId110" Type="http://schemas.openxmlformats.org/officeDocument/2006/relationships/hyperlink" Target="https://pbs.twimg.com/media/EsoVQiWXIAACSHN.jpg" TargetMode="External"/><Relationship Id="rId114" Type="http://schemas.openxmlformats.org/officeDocument/2006/relationships/hyperlink" Target="https://pbs.twimg.com/media/EsoTp1yW8AIIJw4.jpg" TargetMode="External"/><Relationship Id="rId113" Type="http://schemas.openxmlformats.org/officeDocument/2006/relationships/hyperlink" Target="https://pbs.twimg.com/media/EsoQrr1WMAAB5a0.jpg" TargetMode="External"/><Relationship Id="rId112" Type="http://schemas.openxmlformats.org/officeDocument/2006/relationships/hyperlink" Target="https://twitter.com/mario_dico50/status/1353912989062197252" TargetMode="External"/><Relationship Id="rId111" Type="http://schemas.openxmlformats.org/officeDocument/2006/relationships/hyperlink" Target="https://www.twitter.com/rauger69x" TargetMode="External"/></Relationships>
</file>

<file path=xl/worksheets/_rels/sheet3.xml.rels><?xml version="1.0" encoding="UTF-8" standalone="yes"?><Relationships xmlns="http://schemas.openxmlformats.org/package/2006/relationships"><Relationship Id="rId31" Type="http://schemas.openxmlformats.org/officeDocument/2006/relationships/hyperlink" Target="https://reforma.com/8xTAYr" TargetMode="External"/><Relationship Id="rId30" Type="http://schemas.openxmlformats.org/officeDocument/2006/relationships/hyperlink" Target="http://denisedresser.com/" TargetMode="External"/><Relationship Id="rId33" Type="http://schemas.openxmlformats.org/officeDocument/2006/relationships/hyperlink" Target="https://pbs.twimg.com/media/EsDqvuLXAAAKfdG.jpg" TargetMode="External"/><Relationship Id="rId32" Type="http://schemas.openxmlformats.org/officeDocument/2006/relationships/hyperlink" Target="http://denisedresser.com/" TargetMode="External"/><Relationship Id="rId35" Type="http://schemas.openxmlformats.org/officeDocument/2006/relationships/hyperlink" Target="https://pbs.twimg.com/media/EsDqlUeXUAMydJ1.jpg" TargetMode="External"/><Relationship Id="rId34" Type="http://schemas.openxmlformats.org/officeDocument/2006/relationships/hyperlink" Target="http://denisedresser.com/" TargetMode="External"/><Relationship Id="rId37" Type="http://schemas.openxmlformats.org/officeDocument/2006/relationships/drawing" Target="../drawings/drawing3.xml"/><Relationship Id="rId36" Type="http://schemas.openxmlformats.org/officeDocument/2006/relationships/hyperlink" Target="http://denisedresser.com/" TargetMode="External"/><Relationship Id="rId39" Type="http://schemas.openxmlformats.org/officeDocument/2006/relationships/table" Target="../tables/table3.xml"/><Relationship Id="rId20" Type="http://schemas.openxmlformats.org/officeDocument/2006/relationships/hyperlink" Target="https://pbs.twimg.com/media/EsLqTubW8AE7Erg.jpg" TargetMode="External"/><Relationship Id="rId22" Type="http://schemas.openxmlformats.org/officeDocument/2006/relationships/hyperlink" Target="http://pic.twitter.com/1TLuJ5MplQ" TargetMode="External"/><Relationship Id="rId21" Type="http://schemas.openxmlformats.org/officeDocument/2006/relationships/hyperlink" Target="http://denisedresser.com/" TargetMode="External"/><Relationship Id="rId24" Type="http://schemas.openxmlformats.org/officeDocument/2006/relationships/hyperlink" Target="https://pbs.twimg.com/media/EsGx_fyWMAESHlb.png" TargetMode="External"/><Relationship Id="rId23" Type="http://schemas.openxmlformats.org/officeDocument/2006/relationships/hyperlink" Target="http://denisedresser.com/" TargetMode="External"/><Relationship Id="rId26" Type="http://schemas.openxmlformats.org/officeDocument/2006/relationships/hyperlink" Target="https://pbs.twimg.com/media/EsHBEgkXUAUN-1Z.jpg" TargetMode="External"/><Relationship Id="rId25" Type="http://schemas.openxmlformats.org/officeDocument/2006/relationships/hyperlink" Target="http://denisedresser.com/" TargetMode="External"/><Relationship Id="rId28" Type="http://schemas.openxmlformats.org/officeDocument/2006/relationships/hyperlink" Target="http://denisedresser.com/" TargetMode="External"/><Relationship Id="rId27" Type="http://schemas.openxmlformats.org/officeDocument/2006/relationships/hyperlink" Target="http://denisedresser.com/" TargetMode="External"/><Relationship Id="rId29" Type="http://schemas.openxmlformats.org/officeDocument/2006/relationships/hyperlink" Target="http://pic.twitter.com/9W9Aamflxd" TargetMode="External"/><Relationship Id="rId11" Type="http://schemas.openxmlformats.org/officeDocument/2006/relationships/hyperlink" Target="https://pbs.twimg.com/media/EsN84k4XcAI5P1z.jpg" TargetMode="External"/><Relationship Id="rId10" Type="http://schemas.openxmlformats.org/officeDocument/2006/relationships/hyperlink" Target="http://denisedresser.com/" TargetMode="External"/><Relationship Id="rId13" Type="http://schemas.openxmlformats.org/officeDocument/2006/relationships/hyperlink" Target="https://pbs.twimg.com/media/EsNuhhLXEAA0Mnw.jpg" TargetMode="External"/><Relationship Id="rId12" Type="http://schemas.openxmlformats.org/officeDocument/2006/relationships/hyperlink" Target="http://denisedresser.com/" TargetMode="External"/><Relationship Id="rId15" Type="http://schemas.openxmlformats.org/officeDocument/2006/relationships/hyperlink" Target="http://denisedresser.com/" TargetMode="External"/><Relationship Id="rId14" Type="http://schemas.openxmlformats.org/officeDocument/2006/relationships/hyperlink" Target="http://denisedresser.com/" TargetMode="External"/><Relationship Id="rId17" Type="http://schemas.openxmlformats.org/officeDocument/2006/relationships/hyperlink" Target="http://denisedresser.com/" TargetMode="External"/><Relationship Id="rId16" Type="http://schemas.openxmlformats.org/officeDocument/2006/relationships/hyperlink" Target="https://pbs.twimg.com/media/EsMN-_eXcBECZKv.jpg" TargetMode="External"/><Relationship Id="rId19" Type="http://schemas.openxmlformats.org/officeDocument/2006/relationships/hyperlink" Target="http://denisedresser.com/" TargetMode="External"/><Relationship Id="rId18" Type="http://schemas.openxmlformats.org/officeDocument/2006/relationships/hyperlink" Target="https://pbs.twimg.com/media/EsMFAZ0XMAQk5Fl.jpg" TargetMode="External"/><Relationship Id="rId1" Type="http://schemas.openxmlformats.org/officeDocument/2006/relationships/hyperlink" Target="http://denisedresser.com/" TargetMode="External"/><Relationship Id="rId2" Type="http://schemas.openxmlformats.org/officeDocument/2006/relationships/hyperlink" Target="http://pic.twitter.com/hvOwUqYeRg" TargetMode="External"/><Relationship Id="rId3" Type="http://schemas.openxmlformats.org/officeDocument/2006/relationships/hyperlink" Target="http://denisedresser.com/" TargetMode="External"/><Relationship Id="rId4" Type="http://schemas.openxmlformats.org/officeDocument/2006/relationships/hyperlink" Target="http://pic.twitter.com/hvOwUqYeRg" TargetMode="External"/><Relationship Id="rId9" Type="http://schemas.openxmlformats.org/officeDocument/2006/relationships/hyperlink" Target="http://denisedresser.com/" TargetMode="External"/><Relationship Id="rId5" Type="http://schemas.openxmlformats.org/officeDocument/2006/relationships/hyperlink" Target="http://denisedresser.com/" TargetMode="External"/><Relationship Id="rId6" Type="http://schemas.openxmlformats.org/officeDocument/2006/relationships/hyperlink" Target="https://pbs.twimg.com/media/EsmOE6GW8AEZ023.jpg" TargetMode="External"/><Relationship Id="rId7" Type="http://schemas.openxmlformats.org/officeDocument/2006/relationships/hyperlink" Target="http://denisedresser.com/" TargetMode="External"/><Relationship Id="rId8" Type="http://schemas.openxmlformats.org/officeDocument/2006/relationships/hyperlink" Target="https://pbs.twimg.com/media/EsXDZI7W8AEjkWX.jpg"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pbs.twimg.com/media/EsoarY9XYAEO6NY.jpg" TargetMode="External"/><Relationship Id="rId42" Type="http://schemas.openxmlformats.org/officeDocument/2006/relationships/hyperlink" Target="https://twitter.com/clearusui/status/1353961395969118209" TargetMode="External"/><Relationship Id="rId41" Type="http://schemas.openxmlformats.org/officeDocument/2006/relationships/hyperlink" Target="https://pbs.twimg.com/media/EspBWyOXEAUhWDV.jpg" TargetMode="External"/><Relationship Id="rId44" Type="http://schemas.openxmlformats.org/officeDocument/2006/relationships/hyperlink" Target="http://momisgl.tumblr.com" TargetMode="External"/><Relationship Id="rId43" Type="http://schemas.openxmlformats.org/officeDocument/2006/relationships/hyperlink" Target="https://pbs.twimg.com/media/Eso8qrrVoAAmQR9.jpg" TargetMode="External"/><Relationship Id="rId46" Type="http://schemas.openxmlformats.org/officeDocument/2006/relationships/hyperlink" Target="https://twitter.com/ChumelTorres/status/1353927768883437568" TargetMode="External"/><Relationship Id="rId45" Type="http://schemas.openxmlformats.org/officeDocument/2006/relationships/hyperlink" Target="http://momisgl.tumblr.com" TargetMode="External"/><Relationship Id="rId48" Type="http://schemas.openxmlformats.org/officeDocument/2006/relationships/hyperlink" Target="https://twitter.com/GOAN_MX/status/1353886635419709440" TargetMode="External"/><Relationship Id="rId47" Type="http://schemas.openxmlformats.org/officeDocument/2006/relationships/hyperlink" Target="https://pbs.twimg.com/media/EsoeIQwU4AAa-9_.jpg" TargetMode="External"/><Relationship Id="rId49" Type="http://schemas.openxmlformats.org/officeDocument/2006/relationships/hyperlink" Target="https://twitter.com/jorge_guajardo/status/1353502869081751554" TargetMode="External"/><Relationship Id="rId31" Type="http://schemas.openxmlformats.org/officeDocument/2006/relationships/hyperlink" Target="https://www.forbes.com.mx/mundo-merkel-apoyo-moscu-vacuna-rusa-sputnik-v-ue/amp/?__twitter_impression=true" TargetMode="External"/><Relationship Id="rId30" Type="http://schemas.openxmlformats.org/officeDocument/2006/relationships/hyperlink" Target="https://pbs.twimg.com/media/EsqLGGFXUAELvMj.jpg" TargetMode="External"/><Relationship Id="rId33" Type="http://schemas.openxmlformats.org/officeDocument/2006/relationships/hyperlink" Target="https://pbs.twimg.com/media/EsoHwLXXAAISE2Y.jpg" TargetMode="External"/><Relationship Id="rId32" Type="http://schemas.openxmlformats.org/officeDocument/2006/relationships/hyperlink" Target="https://twitter.com/gdehoyoswalther/status/1353910354062036992" TargetMode="External"/><Relationship Id="rId35" Type="http://schemas.openxmlformats.org/officeDocument/2006/relationships/hyperlink" Target="https://sites.google.com/site/victor.parratablalab/" TargetMode="External"/><Relationship Id="rId34" Type="http://schemas.openxmlformats.org/officeDocument/2006/relationships/hyperlink" Target="https://pbs.twimg.com/media/EsqC4-pXcAArpq5.png" TargetMode="External"/><Relationship Id="rId37" Type="http://schemas.openxmlformats.org/officeDocument/2006/relationships/hyperlink" Target="https://pbs.twimg.com/media/Eso8RPOXMA4N9c3.jpg" TargetMode="External"/><Relationship Id="rId36" Type="http://schemas.openxmlformats.org/officeDocument/2006/relationships/hyperlink" Target="https://pbs.twimg.com/media/Espes4wXEAEBMze.jpg" TargetMode="External"/><Relationship Id="rId39" Type="http://schemas.openxmlformats.org/officeDocument/2006/relationships/hyperlink" Target="https://twitter.com/tvroscosmos/status/1353970428029460481" TargetMode="External"/><Relationship Id="rId38" Type="http://schemas.openxmlformats.org/officeDocument/2006/relationships/hyperlink" Target="https://pbs.twimg.com/media/EspJ_zzWMAEtewt.jpg" TargetMode="External"/><Relationship Id="rId20" Type="http://schemas.openxmlformats.org/officeDocument/2006/relationships/hyperlink" Target="https://pbs.twimg.com/media/EsqtlHKXEAQXtt_.jpg" TargetMode="External"/><Relationship Id="rId22" Type="http://schemas.openxmlformats.org/officeDocument/2006/relationships/hyperlink" Target="https://solquintanaroo.com" TargetMode="External"/><Relationship Id="rId21" Type="http://schemas.openxmlformats.org/officeDocument/2006/relationships/hyperlink" Target="https://pbs.twimg.com/media/EsqoNxDXUAAbJvm.jpg" TargetMode="External"/><Relationship Id="rId24" Type="http://schemas.openxmlformats.org/officeDocument/2006/relationships/hyperlink" Target="http://pic.twitter.com/ykUvKxxImj" TargetMode="External"/><Relationship Id="rId23" Type="http://schemas.openxmlformats.org/officeDocument/2006/relationships/hyperlink" Target="https://twitter.com/dicesmx/status/1354051466407927810" TargetMode="External"/><Relationship Id="rId26" Type="http://schemas.openxmlformats.org/officeDocument/2006/relationships/hyperlink" Target="https://twitter.com/laintweetiva/status/1353829785022066688" TargetMode="External"/><Relationship Id="rId25" Type="http://schemas.openxmlformats.org/officeDocument/2006/relationships/hyperlink" Target="https://twitter.com/Chertorivski/status/1353927644669239296" TargetMode="External"/><Relationship Id="rId28" Type="http://schemas.openxmlformats.org/officeDocument/2006/relationships/hyperlink" Target="https://solquintanaroo.com" TargetMode="External"/><Relationship Id="rId27" Type="http://schemas.openxmlformats.org/officeDocument/2006/relationships/hyperlink" Target="https://solyucatan.com/yucatan-azotado-por-delitos-de-alto-impacto/" TargetMode="External"/><Relationship Id="rId29" Type="http://schemas.openxmlformats.org/officeDocument/2006/relationships/hyperlink" Target="https://pbs.twimg.com/media/EsqL80JXEAArZRh.jpg" TargetMode="External"/><Relationship Id="rId11" Type="http://schemas.openxmlformats.org/officeDocument/2006/relationships/hyperlink" Target="https://pbs.twimg.com/media/EsnDHljVEAoO6Gb.jpg" TargetMode="External"/><Relationship Id="rId10" Type="http://schemas.openxmlformats.org/officeDocument/2006/relationships/hyperlink" Target="https://twitter.com/jimcarrey/status/1353827793994272768" TargetMode="External"/><Relationship Id="rId13" Type="http://schemas.openxmlformats.org/officeDocument/2006/relationships/hyperlink" Target="http://www.pi69.com" TargetMode="External"/><Relationship Id="rId12" Type="http://schemas.openxmlformats.org/officeDocument/2006/relationships/hyperlink" Target="https://www.youtube.com/watch?v=oxKhJ8YmWfU" TargetMode="External"/><Relationship Id="rId15" Type="http://schemas.openxmlformats.org/officeDocument/2006/relationships/hyperlink" Target="https://pbs.twimg.com/media/Esq4h-rVkAoFQ46.jpg" TargetMode="External"/><Relationship Id="rId14" Type="http://schemas.openxmlformats.org/officeDocument/2006/relationships/hyperlink" Target="https://twitter.com/MaxKaiser75/status/1354097535544123393" TargetMode="External"/><Relationship Id="rId17" Type="http://schemas.openxmlformats.org/officeDocument/2006/relationships/hyperlink" Target="https://pbs.twimg.com/media/Esq2X0vXAAA92Mh.jpg" TargetMode="External"/><Relationship Id="rId16" Type="http://schemas.openxmlformats.org/officeDocument/2006/relationships/hyperlink" Target="https://bit.ly/36gQ12p" TargetMode="External"/><Relationship Id="rId19" Type="http://schemas.openxmlformats.org/officeDocument/2006/relationships/hyperlink" Target="https://twitter.com/McSally14/status/1354085499217080321" TargetMode="External"/><Relationship Id="rId18" Type="http://schemas.openxmlformats.org/officeDocument/2006/relationships/hyperlink" Target="http://www.noroeste.com.mx" TargetMode="External"/><Relationship Id="rId84" Type="http://schemas.openxmlformats.org/officeDocument/2006/relationships/hyperlink" Target="http://enlacejuridicoacademico.com.mx/materiales.php" TargetMode="External"/><Relationship Id="rId83" Type="http://schemas.openxmlformats.org/officeDocument/2006/relationships/hyperlink" Target="https://reforma.com/fvKWNr" TargetMode="External"/><Relationship Id="rId86" Type="http://schemas.openxmlformats.org/officeDocument/2006/relationships/hyperlink" Target="https://pbs.twimg.com/media/EskucvOXIAE9uru.jpg" TargetMode="External"/><Relationship Id="rId85" Type="http://schemas.openxmlformats.org/officeDocument/2006/relationships/hyperlink" Target="https://twitter.com/ClosertoSpace/status/1353664548520271875" TargetMode="External"/><Relationship Id="rId88" Type="http://schemas.openxmlformats.org/officeDocument/2006/relationships/hyperlink" Target="https://pbs.twimg.com/media/Esl3p5tXYAMMZ_h.jpg" TargetMode="External"/><Relationship Id="rId87" Type="http://schemas.openxmlformats.org/officeDocument/2006/relationships/hyperlink" Target="https://twitter.com/taller2006/status/1353744739116445696" TargetMode="External"/><Relationship Id="rId89" Type="http://schemas.openxmlformats.org/officeDocument/2006/relationships/hyperlink" Target="https://twitter.com/conexionspacial/status/1352965783475920897" TargetMode="External"/><Relationship Id="rId80" Type="http://schemas.openxmlformats.org/officeDocument/2006/relationships/hyperlink" Target="http://ipn.mx" TargetMode="External"/><Relationship Id="rId82" Type="http://schemas.openxmlformats.org/officeDocument/2006/relationships/hyperlink" Target="https://sites.google.com/site/victor.parratablalab/" TargetMode="External"/><Relationship Id="rId81" Type="http://schemas.openxmlformats.org/officeDocument/2006/relationships/hyperlink" Target="https://pbs.twimg.com/media/EsmT0fkXUAIHIHm.png" TargetMode="External"/><Relationship Id="rId1" Type="http://schemas.openxmlformats.org/officeDocument/2006/relationships/hyperlink" Target="https://twitter.com/hdemauleon/status/1354144346627399681" TargetMode="External"/><Relationship Id="rId2" Type="http://schemas.openxmlformats.org/officeDocument/2006/relationships/hyperlink" Target="https://pbs.twimg.com/media/EsrjGpRUcAARfmI.jpg" TargetMode="External"/><Relationship Id="rId3" Type="http://schemas.openxmlformats.org/officeDocument/2006/relationships/hyperlink" Target="https://twitter.com/dw_espanol/status/1354115634913812481" TargetMode="External"/><Relationship Id="rId4" Type="http://schemas.openxmlformats.org/officeDocument/2006/relationships/hyperlink" Target="https://pbs.twimg.com/media/Esq8MznXEAEp3IB.jpg" TargetMode="External"/><Relationship Id="rId9" Type="http://schemas.openxmlformats.org/officeDocument/2006/relationships/hyperlink" Target="https://solquintanaroo.com" TargetMode="External"/><Relationship Id="rId5" Type="http://schemas.openxmlformats.org/officeDocument/2006/relationships/hyperlink" Target="https://twitter.com/DiegodelBosqueV/status/1354087749415006215" TargetMode="External"/><Relationship Id="rId6" Type="http://schemas.openxmlformats.org/officeDocument/2006/relationships/hyperlink" Target="https://twitter.com/luisghernan/status/1353772748976185345" TargetMode="External"/><Relationship Id="rId7" Type="http://schemas.openxmlformats.org/officeDocument/2006/relationships/hyperlink" Target="https://pbs.twimg.com/media/EsmQ-9gU0AIv9z_.jpg" TargetMode="External"/><Relationship Id="rId8" Type="http://schemas.openxmlformats.org/officeDocument/2006/relationships/hyperlink" Target="https://solyucatan.com/editorial-un-gobernador-que-se-cree-sus-propias-mentiras/" TargetMode="External"/><Relationship Id="rId73" Type="http://schemas.openxmlformats.org/officeDocument/2006/relationships/hyperlink" Target="https://pbs.twimg.com/media/EsmUPtVW4AA7NWJ.jpg" TargetMode="External"/><Relationship Id="rId72" Type="http://schemas.openxmlformats.org/officeDocument/2006/relationships/hyperlink" Target="https://twitter.com/alvaro_delgado/status/1353776168634363905" TargetMode="External"/><Relationship Id="rId75" Type="http://schemas.openxmlformats.org/officeDocument/2006/relationships/hyperlink" Target="https://twitter.com/inbarspace/status/1353700456816652290" TargetMode="External"/><Relationship Id="rId74" Type="http://schemas.openxmlformats.org/officeDocument/2006/relationships/hyperlink" Target="https://m.bild.de/bild-plus/politik/inland/politik-inland/regierung-fuerchtet-impfstoff-rueckschlag-keine-astrazeneca-zulassung-fuer-senio-75065640,view=conversionToLogin,oview=amp.bildMobile.html?__twitter_impression=true" TargetMode="External"/><Relationship Id="rId77" Type="http://schemas.openxmlformats.org/officeDocument/2006/relationships/hyperlink" Target="https://reforma.com/fvKWNr" TargetMode="External"/><Relationship Id="rId76" Type="http://schemas.openxmlformats.org/officeDocument/2006/relationships/hyperlink" Target="https://pbs.twimg.com/media/EslPYSVW4Ac0Z5T.jpg" TargetMode="External"/><Relationship Id="rId79" Type="http://schemas.openxmlformats.org/officeDocument/2006/relationships/hyperlink" Target="https://pbs.twimg.com/media/EsmVn5zXAAAiCmL.jpg" TargetMode="External"/><Relationship Id="rId78" Type="http://schemas.openxmlformats.org/officeDocument/2006/relationships/hyperlink" Target="http://enlacejuridicoacademico.com.mx/materiales.php" TargetMode="External"/><Relationship Id="rId71" Type="http://schemas.openxmlformats.org/officeDocument/2006/relationships/hyperlink" Target="https://pbs.twimg.com/media/EsnSBW1VkAAii1i.jpg" TargetMode="External"/><Relationship Id="rId70" Type="http://schemas.openxmlformats.org/officeDocument/2006/relationships/hyperlink" Target="https://twitter.com/draveropdeg/status/1353793184225177606" TargetMode="External"/><Relationship Id="rId132" Type="http://schemas.openxmlformats.org/officeDocument/2006/relationships/hyperlink" Target="https://pbs.twimg.com/media/Eskh9PJXYAIvgsr.jpg" TargetMode="External"/><Relationship Id="rId131" Type="http://schemas.openxmlformats.org/officeDocument/2006/relationships/hyperlink" Target="https://solquintanaroo.com" TargetMode="External"/><Relationship Id="rId130" Type="http://schemas.openxmlformats.org/officeDocument/2006/relationships/hyperlink" Target="https://laopiniondemexico.com/dea-las-polemicas-operaciones-encubiertas/" TargetMode="External"/><Relationship Id="rId135" Type="http://schemas.openxmlformats.org/officeDocument/2006/relationships/table" Target="../tables/table4.xml"/><Relationship Id="rId133" Type="http://schemas.openxmlformats.org/officeDocument/2006/relationships/drawing" Target="../drawings/drawing4.xml"/><Relationship Id="rId62" Type="http://schemas.openxmlformats.org/officeDocument/2006/relationships/hyperlink" Target="https://twitter.com/M_OlgaSCordero/status/1353868414255833094" TargetMode="External"/><Relationship Id="rId61" Type="http://schemas.openxmlformats.org/officeDocument/2006/relationships/hyperlink" Target="http://geppss.com" TargetMode="External"/><Relationship Id="rId64" Type="http://schemas.openxmlformats.org/officeDocument/2006/relationships/hyperlink" Target="http://nosomosmaquina.org" TargetMode="External"/><Relationship Id="rId63" Type="http://schemas.openxmlformats.org/officeDocument/2006/relationships/hyperlink" Target="https://pbs.twimg.com/media/Esnn5k3WMAAKfa6.jpg" TargetMode="External"/><Relationship Id="rId66" Type="http://schemas.openxmlformats.org/officeDocument/2006/relationships/hyperlink" Target="https://pbs.twimg.com/media/Esl3p5tXYAMMZ_h.jpg" TargetMode="External"/><Relationship Id="rId65" Type="http://schemas.openxmlformats.org/officeDocument/2006/relationships/hyperlink" Target="https://twitter.com/taller2006/status/1353744739116445696" TargetMode="External"/><Relationship Id="rId68" Type="http://schemas.openxmlformats.org/officeDocument/2006/relationships/hyperlink" Target="https://solquintanaroo.com" TargetMode="External"/><Relationship Id="rId67" Type="http://schemas.openxmlformats.org/officeDocument/2006/relationships/hyperlink" Target="https://pbs.twimg.com/media/EsnvbYyW8AAx9yL.jpg" TargetMode="External"/><Relationship Id="rId60" Type="http://schemas.openxmlformats.org/officeDocument/2006/relationships/hyperlink" Target="https://reforma.com/fvKWNr" TargetMode="External"/><Relationship Id="rId69" Type="http://schemas.openxmlformats.org/officeDocument/2006/relationships/hyperlink" Target="https://pbs.twimg.com/media/EsnRz0vXEAA_bom.jpg" TargetMode="External"/><Relationship Id="rId51" Type="http://schemas.openxmlformats.org/officeDocument/2006/relationships/hyperlink" Target="https://pbs.twimg.com/media/EsoPKxcVEAIsf5x.jpg" TargetMode="External"/><Relationship Id="rId50" Type="http://schemas.openxmlformats.org/officeDocument/2006/relationships/hyperlink" Target="https://twitter.com/SkyrootA/status/1353911988519243776" TargetMode="External"/><Relationship Id="rId53" Type="http://schemas.openxmlformats.org/officeDocument/2006/relationships/hyperlink" Target="https://twitter.com/UniverCurious/status/1353897483492089856" TargetMode="External"/><Relationship Id="rId52" Type="http://schemas.openxmlformats.org/officeDocument/2006/relationships/hyperlink" Target="https://www.bloomberg.com/graphics/covid-resilience-ranking/" TargetMode="External"/><Relationship Id="rId55" Type="http://schemas.openxmlformats.org/officeDocument/2006/relationships/hyperlink" Target="https://www.bbc.co.uk/news/world-us-canada-55721437" TargetMode="External"/><Relationship Id="rId54" Type="http://schemas.openxmlformats.org/officeDocument/2006/relationships/hyperlink" Target="http://pic.twitter.com/J7VJt2AFr2" TargetMode="External"/><Relationship Id="rId57" Type="http://schemas.openxmlformats.org/officeDocument/2006/relationships/hyperlink" Target="https://twitter.com/rodpac/status/1353884301046243334" TargetMode="External"/><Relationship Id="rId56" Type="http://schemas.openxmlformats.org/officeDocument/2006/relationships/hyperlink" Target="https://pbs.twimg.com/media/EsoCkpuXMAE02kv.jpg" TargetMode="External"/><Relationship Id="rId59" Type="http://schemas.openxmlformats.org/officeDocument/2006/relationships/hyperlink" Target="https://pbs.twimg.com/media/Esn6zQ_XYAYw_li.jpg" TargetMode="External"/><Relationship Id="rId58" Type="http://schemas.openxmlformats.org/officeDocument/2006/relationships/hyperlink" Target="http://pic.twitter.com/Cwd6EouPl3" TargetMode="External"/><Relationship Id="rId107" Type="http://schemas.openxmlformats.org/officeDocument/2006/relationships/hyperlink" Target="http://sanrome.com" TargetMode="External"/><Relationship Id="rId106" Type="http://schemas.openxmlformats.org/officeDocument/2006/relationships/hyperlink" Target="https://pbs.twimg.com/media/EsmEDCOXUAAb-iw.jpg" TargetMode="External"/><Relationship Id="rId105" Type="http://schemas.openxmlformats.org/officeDocument/2006/relationships/hyperlink" Target="http://pic.twitter.com/m7zHDd5EbW" TargetMode="External"/><Relationship Id="rId104" Type="http://schemas.openxmlformats.org/officeDocument/2006/relationships/hyperlink" Target="https://twitter.com/esa_aeolus/status/1353728352000090113" TargetMode="External"/><Relationship Id="rId109" Type="http://schemas.openxmlformats.org/officeDocument/2006/relationships/hyperlink" Target="https://pbs.twimg.com/media/Eq5M31DVgAInEyT.jpg" TargetMode="External"/><Relationship Id="rId108" Type="http://schemas.openxmlformats.org/officeDocument/2006/relationships/hyperlink" Target="https://twitter.com/nkknspace/status/1346097937542074370" TargetMode="External"/><Relationship Id="rId103" Type="http://schemas.openxmlformats.org/officeDocument/2006/relationships/hyperlink" Target="https://twitter.com/luisghernan/status/1353748457652064262" TargetMode="External"/><Relationship Id="rId102" Type="http://schemas.openxmlformats.org/officeDocument/2006/relationships/hyperlink" Target="https://pbs.twimg.com/media/Eslg7CTXcAA6qew.jpg" TargetMode="External"/><Relationship Id="rId101" Type="http://schemas.openxmlformats.org/officeDocument/2006/relationships/hyperlink" Target="https://pbs.twimg.com/media/Eslh4RDXIAAdTR6.jpg" TargetMode="External"/><Relationship Id="rId100" Type="http://schemas.openxmlformats.org/officeDocument/2006/relationships/hyperlink" Target="https://pbs.twimg.com/media/Eskxt7-XYAES_5M.jpg" TargetMode="External"/><Relationship Id="rId129" Type="http://schemas.openxmlformats.org/officeDocument/2006/relationships/hyperlink" Target="https://www.instagram.com/j.jesusesquivel/" TargetMode="External"/><Relationship Id="rId128" Type="http://schemas.openxmlformats.org/officeDocument/2006/relationships/hyperlink" Target="http://tl.gd/n_1srihe5" TargetMode="External"/><Relationship Id="rId127" Type="http://schemas.openxmlformats.org/officeDocument/2006/relationships/hyperlink" Target="http://ow.ly/UOdZ30ru5ep" TargetMode="External"/><Relationship Id="rId126" Type="http://schemas.openxmlformats.org/officeDocument/2006/relationships/hyperlink" Target="https://www.xevt.com/tabasco/denuncian-relleno-en-el-rio-samaria-a-la-altura-del-ejido-16-de-septiembre-centro/133098" TargetMode="External"/><Relationship Id="rId121" Type="http://schemas.openxmlformats.org/officeDocument/2006/relationships/hyperlink" Target="https://pbs.twimg.com/media/EsldgI-UcAAn_n-.jpg" TargetMode="External"/><Relationship Id="rId120" Type="http://schemas.openxmlformats.org/officeDocument/2006/relationships/hyperlink" Target="https://pbs.twimg.com/media/EsldiaZVcAEe89V.jpg" TargetMode="External"/><Relationship Id="rId125" Type="http://schemas.openxmlformats.org/officeDocument/2006/relationships/hyperlink" Target="https://mx.linkedin.com/in/fernandobelaunzaran" TargetMode="External"/><Relationship Id="rId124" Type="http://schemas.openxmlformats.org/officeDocument/2006/relationships/hyperlink" Target="https://pbs.twimg.com/media/EslbTkGVEAA3kgR.jpg" TargetMode="External"/><Relationship Id="rId123" Type="http://schemas.openxmlformats.org/officeDocument/2006/relationships/hyperlink" Target="https://pbs.twimg.com/media/Eslce0PXIAANSXs.jpg" TargetMode="External"/><Relationship Id="rId122" Type="http://schemas.openxmlformats.org/officeDocument/2006/relationships/hyperlink" Target="http://miguelparras.blogspot.com" TargetMode="External"/><Relationship Id="rId95" Type="http://schemas.openxmlformats.org/officeDocument/2006/relationships/hyperlink" Target="https://pbs.twimg.com/media/EsloM-QWMAAEmO4.jpg" TargetMode="External"/><Relationship Id="rId94" Type="http://schemas.openxmlformats.org/officeDocument/2006/relationships/hyperlink" Target="https://twitter.com/AirbusSpace/status/1353728083648540674" TargetMode="External"/><Relationship Id="rId97" Type="http://schemas.openxmlformats.org/officeDocument/2006/relationships/hyperlink" Target="https://solquintanaroo.com" TargetMode="External"/><Relationship Id="rId96" Type="http://schemas.openxmlformats.org/officeDocument/2006/relationships/hyperlink" Target="https://solquintanaroo.com/expropia-andorra-cuentas-a-borge/" TargetMode="External"/><Relationship Id="rId99" Type="http://schemas.openxmlformats.org/officeDocument/2006/relationships/hyperlink" Target="https://pbs.twimg.com/media/EslgIFuWMAIDV8f.jpg" TargetMode="External"/><Relationship Id="rId98" Type="http://schemas.openxmlformats.org/officeDocument/2006/relationships/hyperlink" Target="https://twitter.com/ESA_EO/status/1353718988052848646" TargetMode="External"/><Relationship Id="rId91" Type="http://schemas.openxmlformats.org/officeDocument/2006/relationships/hyperlink" Target="https://pbs.twimg.com/media/EskO5JvXMAEQ5lL.jpg" TargetMode="External"/><Relationship Id="rId90" Type="http://schemas.openxmlformats.org/officeDocument/2006/relationships/hyperlink" Target="https://pbs.twimg.com/media/Esay5wIXIAElKXB.jpg" TargetMode="External"/><Relationship Id="rId93" Type="http://schemas.openxmlformats.org/officeDocument/2006/relationships/hyperlink" Target="https://solquintanaroo.com" TargetMode="External"/><Relationship Id="rId92" Type="http://schemas.openxmlformats.org/officeDocument/2006/relationships/hyperlink" Target="https://solyucatan.com/ofensivos-gastos-de-vila/" TargetMode="External"/><Relationship Id="rId118" Type="http://schemas.openxmlformats.org/officeDocument/2006/relationships/hyperlink" Target="https://reforma.com/fvKWNr" TargetMode="External"/><Relationship Id="rId117" Type="http://schemas.openxmlformats.org/officeDocument/2006/relationships/hyperlink" Target="https://ernestoaraiza.com" TargetMode="External"/><Relationship Id="rId116" Type="http://schemas.openxmlformats.org/officeDocument/2006/relationships/hyperlink" Target="https://pbs.twimg.com/media/EsloRerXYAATzuJ.jpg" TargetMode="External"/><Relationship Id="rId115" Type="http://schemas.openxmlformats.org/officeDocument/2006/relationships/hyperlink" Target="http://www.luisrochanoticias.com" TargetMode="External"/><Relationship Id="rId119" Type="http://schemas.openxmlformats.org/officeDocument/2006/relationships/hyperlink" Target="https://twitter.com/bereaguilarv/status/1353716014140289026" TargetMode="External"/><Relationship Id="rId110" Type="http://schemas.openxmlformats.org/officeDocument/2006/relationships/hyperlink" Target="https://pbs.twimg.com/media/EsmBD85XMAIyeVh.jpg" TargetMode="External"/><Relationship Id="rId114" Type="http://schemas.openxmlformats.org/officeDocument/2006/relationships/hyperlink" Target="https://twitter.com/AngeI_Queen_/status/1353712754725539846" TargetMode="External"/><Relationship Id="rId113" Type="http://schemas.openxmlformats.org/officeDocument/2006/relationships/hyperlink" Target="https://pbs.twimg.com/media/Esl5OzPXcAARl7d.jpg" TargetMode="External"/><Relationship Id="rId112" Type="http://schemas.openxmlformats.org/officeDocument/2006/relationships/hyperlink" Target="https://pbs.twimg.com/media/Esl8jiKXIAATTjK.jpg" TargetMode="External"/><Relationship Id="rId111" Type="http://schemas.openxmlformats.org/officeDocument/2006/relationships/hyperlink" Target="https://twitter.com/JuanAGAmado/status/1353752035317977093" TargetMode="External"/></Relationships>
</file>

<file path=xl/worksheets/_rels/sheet5.xml.rels><?xml version="1.0" encoding="UTF-8" standalone="yes"?><Relationships xmlns="http://schemas.openxmlformats.org/package/2006/relationships"><Relationship Id="rId31" Type="http://schemas.openxmlformats.org/officeDocument/2006/relationships/drawing" Target="../drawings/drawing5.xml"/><Relationship Id="rId30" Type="http://schemas.openxmlformats.org/officeDocument/2006/relationships/hyperlink" Target="https://www.instagram.com/estefaniavloz/?hl=es-la" TargetMode="External"/><Relationship Id="rId33" Type="http://schemas.openxmlformats.org/officeDocument/2006/relationships/table" Target="../tables/table5.xml"/><Relationship Id="rId20" Type="http://schemas.openxmlformats.org/officeDocument/2006/relationships/hyperlink" Target="https://www.instagram.com/estefaniavloz/?hl=es-la" TargetMode="External"/><Relationship Id="rId22" Type="http://schemas.openxmlformats.org/officeDocument/2006/relationships/hyperlink" Target="https://pbs.twimg.com/media/EsLhFZCXcAIfJd-.jpg" TargetMode="External"/><Relationship Id="rId21" Type="http://schemas.openxmlformats.org/officeDocument/2006/relationships/hyperlink" Target="https://www.instagram.com/estefaniavloz/?hl=es-la" TargetMode="External"/><Relationship Id="rId24" Type="http://schemas.openxmlformats.org/officeDocument/2006/relationships/hyperlink" Target="https://www.instagram.com/estefaniavloz/?hl=es-la" TargetMode="External"/><Relationship Id="rId23" Type="http://schemas.openxmlformats.org/officeDocument/2006/relationships/hyperlink" Target="https://www.instagram.com/estefaniavloz/?hl=es-la" TargetMode="External"/><Relationship Id="rId26" Type="http://schemas.openxmlformats.org/officeDocument/2006/relationships/hyperlink" Target="https://www.instagram.com/estefaniavloz/?hl=es-la" TargetMode="External"/><Relationship Id="rId25" Type="http://schemas.openxmlformats.org/officeDocument/2006/relationships/hyperlink" Target="https://www.instagram.com/estefaniavloz/?hl=es-la" TargetMode="External"/><Relationship Id="rId28" Type="http://schemas.openxmlformats.org/officeDocument/2006/relationships/hyperlink" Target="https://www.instagram.com/estefaniavloz/?hl=es-la" TargetMode="External"/><Relationship Id="rId27" Type="http://schemas.openxmlformats.org/officeDocument/2006/relationships/hyperlink" Target="https://pbs.twimg.com/media/EsLjTH2VEAIIp0W.jpg" TargetMode="External"/><Relationship Id="rId29" Type="http://schemas.openxmlformats.org/officeDocument/2006/relationships/hyperlink" Target="https://pbs.twimg.com/media/EsLi6e_VoC8Btos.jpg" TargetMode="External"/><Relationship Id="rId11" Type="http://schemas.openxmlformats.org/officeDocument/2006/relationships/hyperlink" Target="https://www.instagram.com/estefaniavloz/?hl=es-la" TargetMode="External"/><Relationship Id="rId10" Type="http://schemas.openxmlformats.org/officeDocument/2006/relationships/hyperlink" Target="https://www.instagram.com/estefaniavloz/?hl=es-la" TargetMode="External"/><Relationship Id="rId13" Type="http://schemas.openxmlformats.org/officeDocument/2006/relationships/hyperlink" Target="https://pbs.twimg.com/media/EsQpzfRXIAEVHVD.jpg" TargetMode="External"/><Relationship Id="rId12" Type="http://schemas.openxmlformats.org/officeDocument/2006/relationships/hyperlink" Target="https://twitter.com/fisgonmonero/status/1352253820252917760" TargetMode="External"/><Relationship Id="rId15" Type="http://schemas.openxmlformats.org/officeDocument/2006/relationships/hyperlink" Target="https://www.instagram.com/estefaniavloz/?hl=es-la" TargetMode="External"/><Relationship Id="rId14" Type="http://schemas.openxmlformats.org/officeDocument/2006/relationships/hyperlink" Target="https://www.instagram.com/estefaniavloz/?hl=es-la" TargetMode="External"/><Relationship Id="rId17" Type="http://schemas.openxmlformats.org/officeDocument/2006/relationships/hyperlink" Target="https://www.instagram.com/estefaniavloz/?hl=es-la" TargetMode="External"/><Relationship Id="rId16" Type="http://schemas.openxmlformats.org/officeDocument/2006/relationships/hyperlink" Target="https://twitter.com/luentes/status/1352346577919209474" TargetMode="External"/><Relationship Id="rId19" Type="http://schemas.openxmlformats.org/officeDocument/2006/relationships/hyperlink" Target="https://www.instagram.com/estefaniavloz/?hl=es-la" TargetMode="External"/><Relationship Id="rId18" Type="http://schemas.openxmlformats.org/officeDocument/2006/relationships/hyperlink" Target="https://www.instagram.com/estefaniavloz/?hl=es-la" TargetMode="External"/><Relationship Id="rId1" Type="http://schemas.openxmlformats.org/officeDocument/2006/relationships/hyperlink" Target="https://www.instagram.com/estefaniavloz/?hl=es-la" TargetMode="External"/><Relationship Id="rId2" Type="http://schemas.openxmlformats.org/officeDocument/2006/relationships/hyperlink" Target="https://pbs.twimg.com/media/EshNjlNXEAUk7SR.jpg" TargetMode="External"/><Relationship Id="rId3" Type="http://schemas.openxmlformats.org/officeDocument/2006/relationships/hyperlink" Target="https://www.instagram.com/estefaniavloz/?hl=es-la" TargetMode="External"/><Relationship Id="rId4" Type="http://schemas.openxmlformats.org/officeDocument/2006/relationships/hyperlink" Target="https://www.instagram.com/estefaniavloz/?hl=es-la" TargetMode="External"/><Relationship Id="rId9" Type="http://schemas.openxmlformats.org/officeDocument/2006/relationships/hyperlink" Target="https://pbs.twimg.com/media/EsRSJZvXUAA4jKT.jpg" TargetMode="External"/><Relationship Id="rId5" Type="http://schemas.openxmlformats.org/officeDocument/2006/relationships/hyperlink" Target="https://www.instagram.com/estefaniavloz/?hl=es-la" TargetMode="External"/><Relationship Id="rId6" Type="http://schemas.openxmlformats.org/officeDocument/2006/relationships/hyperlink" Target="https://twitter.com/eldavidaguilar/status/1352392467514060807" TargetMode="External"/><Relationship Id="rId7" Type="http://schemas.openxmlformats.org/officeDocument/2006/relationships/hyperlink" Target="https://www.instagram.com/estefaniavloz/?hl=es-la" TargetMode="External"/><Relationship Id="rId8" Type="http://schemas.openxmlformats.org/officeDocument/2006/relationships/hyperlink" Target="https://twitter.com/brujasdelmar/status/1352296113378910210" TargetMode="External"/></Relationships>
</file>

<file path=xl/worksheets/_rels/sheet6.xml.rels><?xml version="1.0" encoding="UTF-8" standalone="yes"?><Relationships xmlns="http://schemas.openxmlformats.org/package/2006/relationships"><Relationship Id="rId40" Type="http://schemas.openxmlformats.org/officeDocument/2006/relationships/hyperlink" Target="https://pbs.twimg.com/media/EsXX1o5XYAQbqDU.jpg" TargetMode="External"/><Relationship Id="rId42" Type="http://schemas.openxmlformats.org/officeDocument/2006/relationships/hyperlink" Target="https://twitter.com/hermanntertsch/status/1353669694176288769" TargetMode="External"/><Relationship Id="rId41" Type="http://schemas.openxmlformats.org/officeDocument/2006/relationships/hyperlink" Target="http://www.spr.gob.mx/" TargetMode="External"/><Relationship Id="rId44" Type="http://schemas.openxmlformats.org/officeDocument/2006/relationships/hyperlink" Target="https://twitter.com/Garcimonero/status/1353741453730701319" TargetMode="External"/><Relationship Id="rId43" Type="http://schemas.openxmlformats.org/officeDocument/2006/relationships/hyperlink" Target="https://pbs.twimg.com/media/EskzaTMXMAEAhmb.jpg" TargetMode="External"/><Relationship Id="rId46" Type="http://schemas.openxmlformats.org/officeDocument/2006/relationships/hyperlink" Target="https://pbs.twimg.com/media/EsmTi06UUAYsH-V.jpg" TargetMode="External"/><Relationship Id="rId45" Type="http://schemas.openxmlformats.org/officeDocument/2006/relationships/hyperlink" Target="https://twitter.com/YoVotoPorMx/status/1353775396089552898" TargetMode="External"/><Relationship Id="rId48" Type="http://schemas.openxmlformats.org/officeDocument/2006/relationships/hyperlink" Target="http://pic.twitter.com/ZzjX33rLuL" TargetMode="External"/><Relationship Id="rId47" Type="http://schemas.openxmlformats.org/officeDocument/2006/relationships/hyperlink" Target="https://twitter.com/wadelacruz/status/1353763696745435136" TargetMode="External"/><Relationship Id="rId49" Type="http://schemas.openxmlformats.org/officeDocument/2006/relationships/hyperlink" Target="https://twitter.com/garcimonero/status/1353741453730701319" TargetMode="External"/><Relationship Id="rId31" Type="http://schemas.openxmlformats.org/officeDocument/2006/relationships/hyperlink" Target="https://twitter.com/MiguelTorrucoG/status/1353388704660787200" TargetMode="External"/><Relationship Id="rId30" Type="http://schemas.openxmlformats.org/officeDocument/2006/relationships/hyperlink" Target="http://elrectodemanee.blogspot.com" TargetMode="External"/><Relationship Id="rId33" Type="http://schemas.openxmlformats.org/officeDocument/2006/relationships/hyperlink" Target="https://twitter.com/econokafka/status/1353817109139234817" TargetMode="External"/><Relationship Id="rId32" Type="http://schemas.openxmlformats.org/officeDocument/2006/relationships/hyperlink" Target="https://pbs.twimg.com/media/Esgz2UTUwAAe0y2.jpg" TargetMode="External"/><Relationship Id="rId35" Type="http://schemas.openxmlformats.org/officeDocument/2006/relationships/hyperlink" Target="https://twitter.com/Mex_Liber1/status/1353170071468838919" TargetMode="External"/><Relationship Id="rId34" Type="http://schemas.openxmlformats.org/officeDocument/2006/relationships/hyperlink" Target="https://pbs.twimg.com/media/Esm5MDTW4AIM8wy.jpg" TargetMode="External"/><Relationship Id="rId37" Type="http://schemas.openxmlformats.org/officeDocument/2006/relationships/hyperlink" Target="https://twitter.com/anafvega/status/1353744376460144643" TargetMode="External"/><Relationship Id="rId36" Type="http://schemas.openxmlformats.org/officeDocument/2006/relationships/hyperlink" Target="http://pic.twitter.com/rtz046Pg87" TargetMode="External"/><Relationship Id="rId39" Type="http://schemas.openxmlformats.org/officeDocument/2006/relationships/hyperlink" Target="http://pic.twitter.com/R990fTSgtc" TargetMode="External"/><Relationship Id="rId38" Type="http://schemas.openxmlformats.org/officeDocument/2006/relationships/hyperlink" Target="https://twitter.com/rafael_gh33/status/1353793606159630336" TargetMode="External"/><Relationship Id="rId20" Type="http://schemas.openxmlformats.org/officeDocument/2006/relationships/hyperlink" Target="http://infanciaprotegida.wordpress.com" TargetMode="External"/><Relationship Id="rId22" Type="http://schemas.openxmlformats.org/officeDocument/2006/relationships/hyperlink" Target="http://pic.twitter.com/8Ho52kNXmE" TargetMode="External"/><Relationship Id="rId21" Type="http://schemas.openxmlformats.org/officeDocument/2006/relationships/hyperlink" Target="https://twitter.com/soyalexquiroz/status/1353894373545619457" TargetMode="External"/><Relationship Id="rId24" Type="http://schemas.openxmlformats.org/officeDocument/2006/relationships/hyperlink" Target="http://www.lean-manufacturing.com.mx" TargetMode="External"/><Relationship Id="rId23" Type="http://schemas.openxmlformats.org/officeDocument/2006/relationships/hyperlink" Target="https://twitter.com/FedericoArreola/status/1353905721050595333" TargetMode="External"/><Relationship Id="rId26" Type="http://schemas.openxmlformats.org/officeDocument/2006/relationships/hyperlink" Target="https://pbs.twimg.com/media/Esnxjo3W8AEEj5k.jpg" TargetMode="External"/><Relationship Id="rId25" Type="http://schemas.openxmlformats.org/officeDocument/2006/relationships/hyperlink" Target="https://twitter.com/la_cardiel/status/1353878764388823045" TargetMode="External"/><Relationship Id="rId28" Type="http://schemas.openxmlformats.org/officeDocument/2006/relationships/hyperlink" Target="https://twitter.com/DisgraceK/status/1353761966456762368" TargetMode="External"/><Relationship Id="rId27" Type="http://schemas.openxmlformats.org/officeDocument/2006/relationships/hyperlink" Target="http://facebook.com/nicolaschapaC" TargetMode="External"/><Relationship Id="rId29" Type="http://schemas.openxmlformats.org/officeDocument/2006/relationships/hyperlink" Target="http://pic.twitter.com/XdPnm1B1EX" TargetMode="External"/><Relationship Id="rId11" Type="http://schemas.openxmlformats.org/officeDocument/2006/relationships/hyperlink" Target="https://twitter.com/AnaFloreess/status/1353783429549142018" TargetMode="External"/><Relationship Id="rId10" Type="http://schemas.openxmlformats.org/officeDocument/2006/relationships/hyperlink" Target="https://www.facebook.com/JourneyToUltraman/" TargetMode="External"/><Relationship Id="rId13" Type="http://schemas.openxmlformats.org/officeDocument/2006/relationships/hyperlink" Target="https://www.eleconomista.com.mx/amp/opinion/De-esto-si-hay-que-hablar-20210125-0143.html" TargetMode="External"/><Relationship Id="rId12" Type="http://schemas.openxmlformats.org/officeDocument/2006/relationships/hyperlink" Target="https://pbs.twimg.com/media/Esma2oHXEAAm0tH.jpg" TargetMode="External"/><Relationship Id="rId15" Type="http://schemas.openxmlformats.org/officeDocument/2006/relationships/hyperlink" Target="https://pbs.twimg.com/media/EsqZr1AXMAIFuS1.jpg" TargetMode="External"/><Relationship Id="rId14" Type="http://schemas.openxmlformats.org/officeDocument/2006/relationships/hyperlink" Target="https://twitter.com/jm8ac/status/1354063617986072576" TargetMode="External"/><Relationship Id="rId17" Type="http://schemas.openxmlformats.org/officeDocument/2006/relationships/hyperlink" Target="https://twitter.com/panaclo/status/1353611721110286336" TargetMode="External"/><Relationship Id="rId16" Type="http://schemas.openxmlformats.org/officeDocument/2006/relationships/hyperlink" Target="http://www.donprocu.com" TargetMode="External"/><Relationship Id="rId19" Type="http://schemas.openxmlformats.org/officeDocument/2006/relationships/hyperlink" Target="http://www.facebook.com/khalepolis" TargetMode="External"/><Relationship Id="rId18" Type="http://schemas.openxmlformats.org/officeDocument/2006/relationships/hyperlink" Target="http://pic.twitter.com/O6zsEq1tWa" TargetMode="External"/><Relationship Id="rId84" Type="http://schemas.openxmlformats.org/officeDocument/2006/relationships/hyperlink" Target="https://twitter.com/ninjahodon/status/1353468974621573120" TargetMode="External"/><Relationship Id="rId83" Type="http://schemas.openxmlformats.org/officeDocument/2006/relationships/hyperlink" Target="http://pic.twitter.com/dQTa31zUwU" TargetMode="External"/><Relationship Id="rId86" Type="http://schemas.openxmlformats.org/officeDocument/2006/relationships/hyperlink" Target="http://pepepintos.blogspot.com/" TargetMode="External"/><Relationship Id="rId85" Type="http://schemas.openxmlformats.org/officeDocument/2006/relationships/hyperlink" Target="https://pbs.twimg.com/media/Esh822EVEAAoTsR.jpg" TargetMode="External"/><Relationship Id="rId88" Type="http://schemas.openxmlformats.org/officeDocument/2006/relationships/hyperlink" Target="https://pbs.twimg.com/media/EshUNDqVcAIYkw9.jpg" TargetMode="External"/><Relationship Id="rId87" Type="http://schemas.openxmlformats.org/officeDocument/2006/relationships/hyperlink" Target="https://twitter.com/LauraSanchezLey/status/1353424275429064722" TargetMode="External"/><Relationship Id="rId89" Type="http://schemas.openxmlformats.org/officeDocument/2006/relationships/hyperlink" Target="https://pbs.twimg.com/media/Esh73QSVEAEHhdb.jpg" TargetMode="External"/><Relationship Id="rId80" Type="http://schemas.openxmlformats.org/officeDocument/2006/relationships/hyperlink" Target="https://twitter.com/simonlevymx/status/1353464739716882432" TargetMode="External"/><Relationship Id="rId82" Type="http://schemas.openxmlformats.org/officeDocument/2006/relationships/hyperlink" Target="http://www.raiders.com" TargetMode="External"/><Relationship Id="rId81" Type="http://schemas.openxmlformats.org/officeDocument/2006/relationships/hyperlink" Target="https://pbs.twimg.com/media/EsiOTxsXIAEAzm4.jpg" TargetMode="External"/><Relationship Id="rId1" Type="http://schemas.openxmlformats.org/officeDocument/2006/relationships/hyperlink" Target="https://twitter.com/lpazosp/status/1354121971055931396" TargetMode="External"/><Relationship Id="rId2" Type="http://schemas.openxmlformats.org/officeDocument/2006/relationships/hyperlink" Target="https://twitter.com/mariagomezrue/status/1353872768912269318" TargetMode="External"/><Relationship Id="rId3" Type="http://schemas.openxmlformats.org/officeDocument/2006/relationships/hyperlink" Target="https://pbs.twimg.com/media/EsnsG8xXcAA_eqk.jpg" TargetMode="External"/><Relationship Id="rId4" Type="http://schemas.openxmlformats.org/officeDocument/2006/relationships/hyperlink" Target="https://www.ntn24.com/en-vivo/" TargetMode="External"/><Relationship Id="rId9" Type="http://schemas.openxmlformats.org/officeDocument/2006/relationships/hyperlink" Target="https://pbs.twimg.com/media/EsrQvwqXUAI95Bp.jpg" TargetMode="External"/><Relationship Id="rId5" Type="http://schemas.openxmlformats.org/officeDocument/2006/relationships/hyperlink" Target="http://www.ntn24.com" TargetMode="External"/><Relationship Id="rId6" Type="http://schemas.openxmlformats.org/officeDocument/2006/relationships/hyperlink" Target="https://pbs.twimg.com/media/Esrx92dXcAMRq-9.jpg" TargetMode="External"/><Relationship Id="rId7" Type="http://schemas.openxmlformats.org/officeDocument/2006/relationships/hyperlink" Target="http://www.ntn24.com" TargetMode="External"/><Relationship Id="rId8" Type="http://schemas.openxmlformats.org/officeDocument/2006/relationships/hyperlink" Target="https://twitter.com/gorez1/status/1353935606284484608" TargetMode="External"/><Relationship Id="rId73" Type="http://schemas.openxmlformats.org/officeDocument/2006/relationships/hyperlink" Target="https://pbs.twimg.com/media/EsipZYWXUAEe5VQ.jpg" TargetMode="External"/><Relationship Id="rId72" Type="http://schemas.openxmlformats.org/officeDocument/2006/relationships/hyperlink" Target="https://pbs.twimg.com/media/EsiqkPWXYAAQGEs.jpg" TargetMode="External"/><Relationship Id="rId75" Type="http://schemas.openxmlformats.org/officeDocument/2006/relationships/hyperlink" Target="https://pbs.twimg.com/media/EsimByOW4AI9bR3.jpg" TargetMode="External"/><Relationship Id="rId74" Type="http://schemas.openxmlformats.org/officeDocument/2006/relationships/hyperlink" Target="https://twitter.com/valmedo20/status/1353514243577024514?s=09" TargetMode="External"/><Relationship Id="rId77" Type="http://schemas.openxmlformats.org/officeDocument/2006/relationships/hyperlink" Target="http://www.oliverlex.com.mx" TargetMode="External"/><Relationship Id="rId76" Type="http://schemas.openxmlformats.org/officeDocument/2006/relationships/hyperlink" Target="http://mexicomonitorxtremo.blogspot.mx/" TargetMode="External"/><Relationship Id="rId79" Type="http://schemas.openxmlformats.org/officeDocument/2006/relationships/hyperlink" Target="https://twitter.com/TraderTRD/status/1353167387378520066" TargetMode="External"/><Relationship Id="rId78" Type="http://schemas.openxmlformats.org/officeDocument/2006/relationships/hyperlink" Target="https://pbs.twimg.com/media/EsilK8EXUAE-7Dv.jpg" TargetMode="External"/><Relationship Id="rId71" Type="http://schemas.openxmlformats.org/officeDocument/2006/relationships/hyperlink" Target="https://pbs.twimg.com/media/Esio4HVXIAAkj8s.jpg" TargetMode="External"/><Relationship Id="rId70" Type="http://schemas.openxmlformats.org/officeDocument/2006/relationships/hyperlink" Target="https://twitter.com/axlv99/status/1353517372355846145" TargetMode="External"/><Relationship Id="rId130" Type="http://schemas.openxmlformats.org/officeDocument/2006/relationships/table" Target="../tables/table6.xml"/><Relationship Id="rId62" Type="http://schemas.openxmlformats.org/officeDocument/2006/relationships/hyperlink" Target="https://pbs.twimg.com/media/EsldA9CW4AId-is.jpg" TargetMode="External"/><Relationship Id="rId61" Type="http://schemas.openxmlformats.org/officeDocument/2006/relationships/hyperlink" Target="https://twitter.com/SimonLevyMx/status/1353464739716882432" TargetMode="External"/><Relationship Id="rId64" Type="http://schemas.openxmlformats.org/officeDocument/2006/relationships/hyperlink" Target="https://twitter.com/TwitterSeguro/status/1353507120424112129" TargetMode="External"/><Relationship Id="rId63" Type="http://schemas.openxmlformats.org/officeDocument/2006/relationships/hyperlink" Target="https://pbs.twimg.com/media/EslZVGIXIAMLLOY.jpg" TargetMode="External"/><Relationship Id="rId66" Type="http://schemas.openxmlformats.org/officeDocument/2006/relationships/hyperlink" Target="https://twitter.com/beltrandelrio/status/1353528878225104900" TargetMode="External"/><Relationship Id="rId65" Type="http://schemas.openxmlformats.org/officeDocument/2006/relationships/hyperlink" Target="http://mexicomonitorxtremo.blogspot.mx/" TargetMode="External"/><Relationship Id="rId68" Type="http://schemas.openxmlformats.org/officeDocument/2006/relationships/hyperlink" Target="https://pbs.twimg.com/media/Esi6T5cW8AE2vtx.jpg" TargetMode="External"/><Relationship Id="rId67" Type="http://schemas.openxmlformats.org/officeDocument/2006/relationships/hyperlink" Target="https://pbs.twimg.com/media/EsizVyFXAAMWWv0.jpg" TargetMode="External"/><Relationship Id="rId60" Type="http://schemas.openxmlformats.org/officeDocument/2006/relationships/hyperlink" Target="https://twitter.com/elgatopolitico_/status/1353694622871121922" TargetMode="External"/><Relationship Id="rId69" Type="http://schemas.openxmlformats.org/officeDocument/2006/relationships/hyperlink" Target="http://www.facebook.com/melapelanbeibis" TargetMode="External"/><Relationship Id="rId51" Type="http://schemas.openxmlformats.org/officeDocument/2006/relationships/hyperlink" Target="https://pbs.twimg.com/media/EIDyQ_6X0AE7hMb.jpg" TargetMode="External"/><Relationship Id="rId50" Type="http://schemas.openxmlformats.org/officeDocument/2006/relationships/hyperlink" Target="https://twitter.com/depresseddarth/status/1353776190557970432" TargetMode="External"/><Relationship Id="rId53" Type="http://schemas.openxmlformats.org/officeDocument/2006/relationships/hyperlink" Target="https://pbs.twimg.com/media/EslrfdTXAAUGg9x.jpg" TargetMode="External"/><Relationship Id="rId52" Type="http://schemas.openxmlformats.org/officeDocument/2006/relationships/hyperlink" Target="https://twitter.com/AngelRuizZ/status/1353731754478198785" TargetMode="External"/><Relationship Id="rId55" Type="http://schemas.openxmlformats.org/officeDocument/2006/relationships/hyperlink" Target="https://twitter.com/MiguelTorrucoG/status/1353388704660787200" TargetMode="External"/><Relationship Id="rId54" Type="http://schemas.openxmlformats.org/officeDocument/2006/relationships/hyperlink" Target="https://pbs.twimg.com/media/EsmR6ubXEAEp_ij.jpg" TargetMode="External"/><Relationship Id="rId57" Type="http://schemas.openxmlformats.org/officeDocument/2006/relationships/hyperlink" Target="https://soundcloud.com/idomeneuss" TargetMode="External"/><Relationship Id="rId56" Type="http://schemas.openxmlformats.org/officeDocument/2006/relationships/hyperlink" Target="https://pbs.twimg.com/media/Esgz2UTUwAAe0y2.jpg" TargetMode="External"/><Relationship Id="rId59" Type="http://schemas.openxmlformats.org/officeDocument/2006/relationships/hyperlink" Target="https://pbs.twimg.com/media/Esgz2UTUwAAe0y2.jpg" TargetMode="External"/><Relationship Id="rId58" Type="http://schemas.openxmlformats.org/officeDocument/2006/relationships/hyperlink" Target="https://twitter.com/MiguelTorrucoG/status/1353388704660787200" TargetMode="External"/><Relationship Id="rId107" Type="http://schemas.openxmlformats.org/officeDocument/2006/relationships/hyperlink" Target="http://pic.twitter.com/iF8ENfLoGD" TargetMode="External"/><Relationship Id="rId106" Type="http://schemas.openxmlformats.org/officeDocument/2006/relationships/hyperlink" Target="https://twitter.com/spygerman72/status/1353053103109541888" TargetMode="External"/><Relationship Id="rId105" Type="http://schemas.openxmlformats.org/officeDocument/2006/relationships/hyperlink" Target="https://www.eluniversal.com.mx/opinion/alfonso-zarate/los-chayoteros-de-hoy" TargetMode="External"/><Relationship Id="rId104" Type="http://schemas.openxmlformats.org/officeDocument/2006/relationships/hyperlink" Target="https://pbs.twimg.com/media/EsgsmnzW8AEFFZT.jpg" TargetMode="External"/><Relationship Id="rId109" Type="http://schemas.openxmlformats.org/officeDocument/2006/relationships/hyperlink" Target="https://pbs.twimg.com/media/EseG31aWMAIbiy-.jpg" TargetMode="External"/><Relationship Id="rId108" Type="http://schemas.openxmlformats.org/officeDocument/2006/relationships/hyperlink" Target="https://twitter.com/Miss_teriosa1/status/1353198509848227844" TargetMode="External"/><Relationship Id="rId103" Type="http://schemas.openxmlformats.org/officeDocument/2006/relationships/hyperlink" Target="http://pic.twitter.com/8F6eZ5Go2a" TargetMode="External"/><Relationship Id="rId102" Type="http://schemas.openxmlformats.org/officeDocument/2006/relationships/hyperlink" Target="https://twitter.com/AntonioAttolini/status/1353117233191374848" TargetMode="External"/><Relationship Id="rId101" Type="http://schemas.openxmlformats.org/officeDocument/2006/relationships/hyperlink" Target="https://pbs.twimg.com/media/Esg7p4kXMAEKFNr.jpg" TargetMode="External"/><Relationship Id="rId100" Type="http://schemas.openxmlformats.org/officeDocument/2006/relationships/hyperlink" Target="https://twitter.com/LauraSanchezLey/status/1353141542916120576" TargetMode="External"/><Relationship Id="rId128" Type="http://schemas.openxmlformats.org/officeDocument/2006/relationships/drawing" Target="../drawings/drawing6.xml"/><Relationship Id="rId127" Type="http://schemas.openxmlformats.org/officeDocument/2006/relationships/hyperlink" Target="http://pic.twitter.com/56nKcvDrSO" TargetMode="External"/><Relationship Id="rId126" Type="http://schemas.openxmlformats.org/officeDocument/2006/relationships/hyperlink" Target="https://twitter.com/JJDiazMachuca/status/1353060035845210112" TargetMode="External"/><Relationship Id="rId121" Type="http://schemas.openxmlformats.org/officeDocument/2006/relationships/hyperlink" Target="https://twitter.com/licrse/status/1353122644934103040" TargetMode="External"/><Relationship Id="rId120" Type="http://schemas.openxmlformats.org/officeDocument/2006/relationships/hyperlink" Target="http://bayer.us" TargetMode="External"/><Relationship Id="rId125" Type="http://schemas.openxmlformats.org/officeDocument/2006/relationships/hyperlink" Target="http://geographunk.tumblr.com" TargetMode="External"/><Relationship Id="rId124" Type="http://schemas.openxmlformats.org/officeDocument/2006/relationships/hyperlink" Target="https://pbs.twimg.com/media/Esd_V9FXcAEqGtk.jpg" TargetMode="External"/><Relationship Id="rId123" Type="http://schemas.openxmlformats.org/officeDocument/2006/relationships/hyperlink" Target="https://pbs.twimg.com/media/EscYVy7UYAAjoLm.jpg" TargetMode="External"/><Relationship Id="rId122" Type="http://schemas.openxmlformats.org/officeDocument/2006/relationships/hyperlink" Target="https://pbs.twimg.com/media/EsdB34IU4AA61Ja.jpg" TargetMode="External"/><Relationship Id="rId95" Type="http://schemas.openxmlformats.org/officeDocument/2006/relationships/hyperlink" Target="https://pbs.twimg.com/media/EshsGC2VcAE6eqE.jpg" TargetMode="External"/><Relationship Id="rId94" Type="http://schemas.openxmlformats.org/officeDocument/2006/relationships/hyperlink" Target="https://pbs.twimg.com/media/EshoCM1UcAAziIU.jpg" TargetMode="External"/><Relationship Id="rId97" Type="http://schemas.openxmlformats.org/officeDocument/2006/relationships/hyperlink" Target="https://twitter.com/LunaGilV/status/1353230864528912384" TargetMode="External"/><Relationship Id="rId96" Type="http://schemas.openxmlformats.org/officeDocument/2006/relationships/hyperlink" Target="https://pbs.twimg.com/media/EshOkc7UUAAfNTo.jpg" TargetMode="External"/><Relationship Id="rId99" Type="http://schemas.openxmlformats.org/officeDocument/2006/relationships/hyperlink" Target="https://twitter.com/LauraSanchezLey/status/1353141542916120576" TargetMode="External"/><Relationship Id="rId98" Type="http://schemas.openxmlformats.org/officeDocument/2006/relationships/hyperlink" Target="https://es.m.wikipedia.org/wiki/Jaime_Mart%C3%ADnez_Veloz" TargetMode="External"/><Relationship Id="rId91" Type="http://schemas.openxmlformats.org/officeDocument/2006/relationships/hyperlink" Target="https://www.proceso.com.mx/reportajes/2021/1/20/romero-deschamps-no-salio-de-pemex-ni-rinde-cuentas-256658.html" TargetMode="External"/><Relationship Id="rId90" Type="http://schemas.openxmlformats.org/officeDocument/2006/relationships/hyperlink" Target="https://canalonce.mx/de-buena-fe" TargetMode="External"/><Relationship Id="rId93" Type="http://schemas.openxmlformats.org/officeDocument/2006/relationships/hyperlink" Target="https://twitter.com/diegoruzzarin/status/1353446105569087488" TargetMode="External"/><Relationship Id="rId92" Type="http://schemas.openxmlformats.org/officeDocument/2006/relationships/hyperlink" Target="https://pbs.twimg.com/media/EshwB8FVEAI2sBY.jpg" TargetMode="External"/><Relationship Id="rId118" Type="http://schemas.openxmlformats.org/officeDocument/2006/relationships/hyperlink" Target="https://twitter.com/LauraSanchezLey/status/1353141542916120576" TargetMode="External"/><Relationship Id="rId117" Type="http://schemas.openxmlformats.org/officeDocument/2006/relationships/hyperlink" Target="https://pbs.twimg.com/media/Esd4JCuXIAIPoQ5.jpg" TargetMode="External"/><Relationship Id="rId116" Type="http://schemas.openxmlformats.org/officeDocument/2006/relationships/hyperlink" Target="https://twitter.com/tugranmesias/status/1353182312113049600" TargetMode="External"/><Relationship Id="rId115" Type="http://schemas.openxmlformats.org/officeDocument/2006/relationships/hyperlink" Target="https://twitter.com/laurasanchezley/status/1353141542916120576" TargetMode="External"/><Relationship Id="rId119" Type="http://schemas.openxmlformats.org/officeDocument/2006/relationships/hyperlink" Target="http://pic.twitter.com/20NX8H9tjE" TargetMode="External"/><Relationship Id="rId110" Type="http://schemas.openxmlformats.org/officeDocument/2006/relationships/hyperlink" Target="https://www.facebook.com/pages/Josue-Arevalo-Meyer/172736986114532?ref=ts&amp;fref=ts" TargetMode="External"/><Relationship Id="rId114" Type="http://schemas.openxmlformats.org/officeDocument/2006/relationships/hyperlink" Target="https://twitter.com/oaks07/status/1353211953985040385" TargetMode="External"/><Relationship Id="rId113" Type="http://schemas.openxmlformats.org/officeDocument/2006/relationships/hyperlink" Target="http://www.instagram.com/SepichPalace" TargetMode="External"/><Relationship Id="rId112" Type="http://schemas.openxmlformats.org/officeDocument/2006/relationships/hyperlink" Target="https://pbs.twimg.com/media/EsgZjaTWMAY45L6.jpg" TargetMode="External"/><Relationship Id="rId111" Type="http://schemas.openxmlformats.org/officeDocument/2006/relationships/hyperlink" Target="https://pbs.twimg.com/media/EsgdR_FXEAINNnR.jpg" TargetMode="External"/></Relationships>
</file>

<file path=xl/worksheets/_rels/sheet7.xml.rels><?xml version="1.0" encoding="UTF-8" standalone="yes"?><Relationships xmlns="http://schemas.openxmlformats.org/package/2006/relationships"><Relationship Id="rId31" Type="http://schemas.openxmlformats.org/officeDocument/2006/relationships/table" Target="../tables/table7.xml"/><Relationship Id="rId20" Type="http://schemas.openxmlformats.org/officeDocument/2006/relationships/hyperlink" Target="https://pbs.twimg.com/media/EsOIcxyXIAAkfOf.jpg" TargetMode="External"/><Relationship Id="rId22" Type="http://schemas.openxmlformats.org/officeDocument/2006/relationships/hyperlink" Target="https://www.elfinanciero.com.mx/salud/llegan-a-mexico-5-mil-litros-de-componente-para-envasar-vacuna-de-astrazeneca" TargetMode="External"/><Relationship Id="rId21" Type="http://schemas.openxmlformats.org/officeDocument/2006/relationships/hyperlink" Target="https://geraldineponce.com" TargetMode="External"/><Relationship Id="rId24" Type="http://schemas.openxmlformats.org/officeDocument/2006/relationships/hyperlink" Target="https://pbs.twimg.com/media/EsJrYz4VcAEg1wQ.jpg" TargetMode="External"/><Relationship Id="rId23" Type="http://schemas.openxmlformats.org/officeDocument/2006/relationships/hyperlink" Target="https://geraldineponce.com" TargetMode="External"/><Relationship Id="rId26" Type="http://schemas.openxmlformats.org/officeDocument/2006/relationships/hyperlink" Target="http://pic.twitter.com/Nr8N97GtiZ" TargetMode="External"/><Relationship Id="rId25" Type="http://schemas.openxmlformats.org/officeDocument/2006/relationships/hyperlink" Target="https://geraldineponce.com" TargetMode="External"/><Relationship Id="rId28" Type="http://schemas.openxmlformats.org/officeDocument/2006/relationships/hyperlink" Target="https://geraldineponce.com" TargetMode="External"/><Relationship Id="rId27" Type="http://schemas.openxmlformats.org/officeDocument/2006/relationships/hyperlink" Target="https://geraldineponce.com" TargetMode="External"/><Relationship Id="rId29" Type="http://schemas.openxmlformats.org/officeDocument/2006/relationships/drawing" Target="../drawings/drawing7.xml"/><Relationship Id="rId11" Type="http://schemas.openxmlformats.org/officeDocument/2006/relationships/hyperlink" Target="https://geraldineponce.com" TargetMode="External"/><Relationship Id="rId10" Type="http://schemas.openxmlformats.org/officeDocument/2006/relationships/hyperlink" Target="http://pic.twitter.com/3QMWTinGQb" TargetMode="External"/><Relationship Id="rId13" Type="http://schemas.openxmlformats.org/officeDocument/2006/relationships/hyperlink" Target="https://geraldineponce.com" TargetMode="External"/><Relationship Id="rId12" Type="http://schemas.openxmlformats.org/officeDocument/2006/relationships/hyperlink" Target="https://pbs.twimg.com/media/EsY_y7YUUAALZr_.jpg" TargetMode="External"/><Relationship Id="rId15" Type="http://schemas.openxmlformats.org/officeDocument/2006/relationships/hyperlink" Target="https://geraldineponce.com" TargetMode="External"/><Relationship Id="rId14" Type="http://schemas.openxmlformats.org/officeDocument/2006/relationships/hyperlink" Target="https://pbs.twimg.com/media/EsYUvvWW8AcICC1.jpg" TargetMode="External"/><Relationship Id="rId17" Type="http://schemas.openxmlformats.org/officeDocument/2006/relationships/hyperlink" Target="https://geraldineponce.com" TargetMode="External"/><Relationship Id="rId16" Type="http://schemas.openxmlformats.org/officeDocument/2006/relationships/hyperlink" Target="https://pbs.twimg.com/media/EsTdEo0UYAUyBxw.jpg" TargetMode="External"/><Relationship Id="rId19" Type="http://schemas.openxmlformats.org/officeDocument/2006/relationships/hyperlink" Target="https://geraldineponce.com" TargetMode="External"/><Relationship Id="rId18" Type="http://schemas.openxmlformats.org/officeDocument/2006/relationships/hyperlink" Target="http://pic.twitter.com/0z68vOxluI" TargetMode="External"/><Relationship Id="rId1" Type="http://schemas.openxmlformats.org/officeDocument/2006/relationships/hyperlink" Target="https://pbs.twimg.com/media/EsnxZqGVkAYi47V.jpg" TargetMode="External"/><Relationship Id="rId2" Type="http://schemas.openxmlformats.org/officeDocument/2006/relationships/hyperlink" Target="https://geraldineponce.com" TargetMode="External"/><Relationship Id="rId3" Type="http://schemas.openxmlformats.org/officeDocument/2006/relationships/hyperlink" Target="https://geraldineponce.com" TargetMode="External"/><Relationship Id="rId4" Type="http://schemas.openxmlformats.org/officeDocument/2006/relationships/hyperlink" Target="https://twitter.com/lopezobrador_/status/1353732942904709123" TargetMode="External"/><Relationship Id="rId9" Type="http://schemas.openxmlformats.org/officeDocument/2006/relationships/hyperlink" Target="https://geraldineponce.com" TargetMode="External"/><Relationship Id="rId5" Type="http://schemas.openxmlformats.org/officeDocument/2006/relationships/hyperlink" Target="https://pbs.twimg.com/media/EslsQEeXIAUedvp.jpg" TargetMode="External"/><Relationship Id="rId6" Type="http://schemas.openxmlformats.org/officeDocument/2006/relationships/hyperlink" Target="https://geraldineponce.com" TargetMode="External"/><Relationship Id="rId7" Type="http://schemas.openxmlformats.org/officeDocument/2006/relationships/hyperlink" Target="https://geraldineponce.com" TargetMode="External"/><Relationship Id="rId8" Type="http://schemas.openxmlformats.org/officeDocument/2006/relationships/hyperlink" Target="https://pbs.twimg.com/media/EshQsl3UcAETKQB.jpg"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s://pbs.twimg.com/media/Esn5tc-UUAAE3Tk.jpg" TargetMode="External"/><Relationship Id="rId42" Type="http://schemas.openxmlformats.org/officeDocument/2006/relationships/hyperlink" Target="https://diariodelpueblo.mx/2021/01/25/geraldine-ponce-iria-por-tepic-y-navarro-por-nayarit-formula-ganadora-segun-encuestas/?fbclid=IwAR3iwfU8sorRck2YINfBoP2PbcXaKCObdbTBVBrjbNf2HbX_Ra15EPbfy_I" TargetMode="External"/><Relationship Id="rId41" Type="http://schemas.openxmlformats.org/officeDocument/2006/relationships/hyperlink" Target="http://pic.twitter.com/36RlBrWPf8" TargetMode="External"/><Relationship Id="rId44" Type="http://schemas.openxmlformats.org/officeDocument/2006/relationships/hyperlink" Target="https://twitter.com/Alfanges/status/1353832249024794625" TargetMode="External"/><Relationship Id="rId43" Type="http://schemas.openxmlformats.org/officeDocument/2006/relationships/hyperlink" Target="https://pbs.twimg.com/media/Esl-OXSWMAYNYMh.jpg" TargetMode="External"/><Relationship Id="rId46" Type="http://schemas.openxmlformats.org/officeDocument/2006/relationships/hyperlink" Target="https://pbs.twimg.com/media/EsnuzqCW4AEkw8E.jpg" TargetMode="External"/><Relationship Id="rId45" Type="http://schemas.openxmlformats.org/officeDocument/2006/relationships/hyperlink" Target="https://pbs.twimg.com/media/EsnHQGPXAAEUD1x.jpg" TargetMode="External"/><Relationship Id="rId48" Type="http://schemas.openxmlformats.org/officeDocument/2006/relationships/hyperlink" Target="http://pepepintos.blogspot.com/" TargetMode="External"/><Relationship Id="rId47" Type="http://schemas.openxmlformats.org/officeDocument/2006/relationships/hyperlink" Target="https://pbs.twimg.com/media/EsnuWqgW4AA7rbz.jpg" TargetMode="External"/><Relationship Id="rId49" Type="http://schemas.openxmlformats.org/officeDocument/2006/relationships/hyperlink" Target="https://pbs.twimg.com/media/EsmJrCeXEAIEuBj.jpg" TargetMode="External"/><Relationship Id="rId31" Type="http://schemas.openxmlformats.org/officeDocument/2006/relationships/hyperlink" Target="https://pbs.twimg.com/media/EsoLUhyU0AM1Laq.jpg" TargetMode="External"/><Relationship Id="rId30" Type="http://schemas.openxmlformats.org/officeDocument/2006/relationships/hyperlink" Target="https://pbs.twimg.com/media/EsoO3nIXYAMu0ps.jpg" TargetMode="External"/><Relationship Id="rId33" Type="http://schemas.openxmlformats.org/officeDocument/2006/relationships/hyperlink" Target="https://pbs.twimg.com/media/EsoKx6kXEAAlfeM.jpg" TargetMode="External"/><Relationship Id="rId32" Type="http://schemas.openxmlformats.org/officeDocument/2006/relationships/hyperlink" Target="https://politico.mx/_/rTS" TargetMode="External"/><Relationship Id="rId35" Type="http://schemas.openxmlformats.org/officeDocument/2006/relationships/hyperlink" Target="https://pbs.twimg.com/media/EsoIcCrW8AIFQgU.jpg" TargetMode="External"/><Relationship Id="rId34" Type="http://schemas.openxmlformats.org/officeDocument/2006/relationships/hyperlink" Target="http://www.politico.mx" TargetMode="External"/><Relationship Id="rId37" Type="http://schemas.openxmlformats.org/officeDocument/2006/relationships/hyperlink" Target="https://twitter.com/geraldineponcem/status/1353508796962750464" TargetMode="External"/><Relationship Id="rId36" Type="http://schemas.openxmlformats.org/officeDocument/2006/relationships/hyperlink" Target="https://pbs.twimg.com/media/EsoAlXvWMAQ0DIs.jpg" TargetMode="External"/><Relationship Id="rId39" Type="http://schemas.openxmlformats.org/officeDocument/2006/relationships/hyperlink" Target="http://sil.gobernacion.gob.mx/Librerias/pp_PerfilLegislador.php?Referencia=9223825" TargetMode="External"/><Relationship Id="rId38" Type="http://schemas.openxmlformats.org/officeDocument/2006/relationships/hyperlink" Target="https://twitter.com/GeraldinePonceM/status/1353790336108138496" TargetMode="External"/><Relationship Id="rId20" Type="http://schemas.openxmlformats.org/officeDocument/2006/relationships/hyperlink" Target="https://twitter.com/vladimirgaleana/status/1353821033535598594" TargetMode="External"/><Relationship Id="rId22" Type="http://schemas.openxmlformats.org/officeDocument/2006/relationships/hyperlink" Target="https://mariovanzzini.com.mx/" TargetMode="External"/><Relationship Id="rId21" Type="http://schemas.openxmlformats.org/officeDocument/2006/relationships/hyperlink" Target="https://twitter.com/RoblesPetersson/status/1353574770432995334" TargetMode="External"/><Relationship Id="rId24" Type="http://schemas.openxmlformats.org/officeDocument/2006/relationships/hyperlink" Target="https://www.infobae.com/america/mexico/2021/01/25/geraldine-ponce-la-diputada-y-ex-reina-de-belleza-es-victima-de-agresiones-y-calumnias/" TargetMode="External"/><Relationship Id="rId23" Type="http://schemas.openxmlformats.org/officeDocument/2006/relationships/hyperlink" Target="http://containercity.com.mx" TargetMode="External"/><Relationship Id="rId26" Type="http://schemas.openxmlformats.org/officeDocument/2006/relationships/hyperlink" Target="https://twitter.com/dolby_joselo/status/1353934251356520448" TargetMode="External"/><Relationship Id="rId25" Type="http://schemas.openxmlformats.org/officeDocument/2006/relationships/hyperlink" Target="https://verdetemplodelamirada.blogspot.com/" TargetMode="External"/><Relationship Id="rId28" Type="http://schemas.openxmlformats.org/officeDocument/2006/relationships/hyperlink" Target="https://twitter.com/vladimirgaleana/status/1353821033535598594" TargetMode="External"/><Relationship Id="rId27" Type="http://schemas.openxmlformats.org/officeDocument/2006/relationships/hyperlink" Target="https://m.facebook.com/zonavickpster/" TargetMode="External"/><Relationship Id="rId29" Type="http://schemas.openxmlformats.org/officeDocument/2006/relationships/hyperlink" Target="https://pbs.twimg.com/media/Esoe65pWMAErfjW.jpg" TargetMode="External"/><Relationship Id="rId11" Type="http://schemas.openxmlformats.org/officeDocument/2006/relationships/hyperlink" Target="https://twitter.com/joseantoniolo06/status/1353903919290789890" TargetMode="External"/><Relationship Id="rId10" Type="http://schemas.openxmlformats.org/officeDocument/2006/relationships/hyperlink" Target="http://iterations.org/files/music/albums/hdremix/49%20Sexy%20Trunks%20(Balrog%20Stage).mp3" TargetMode="External"/><Relationship Id="rId13" Type="http://schemas.openxmlformats.org/officeDocument/2006/relationships/hyperlink" Target="http://pic.twitter.com/yhjgmaTUZR" TargetMode="External"/><Relationship Id="rId12" Type="http://schemas.openxmlformats.org/officeDocument/2006/relationships/hyperlink" Target="https://pbs.twimg.com/media/EsoIcCrW8AIFQgU.jpg" TargetMode="External"/><Relationship Id="rId15" Type="http://schemas.openxmlformats.org/officeDocument/2006/relationships/hyperlink" Target="https://pbs.twimg.com/media/EsqsF8cXUAsVvUn.jpg" TargetMode="External"/><Relationship Id="rId14" Type="http://schemas.openxmlformats.org/officeDocument/2006/relationships/hyperlink" Target="https://pbs.twimg.com/media/Esq5afRXIAAAsIQ.jpg" TargetMode="External"/><Relationship Id="rId17" Type="http://schemas.openxmlformats.org/officeDocument/2006/relationships/hyperlink" Target="https://pbs.twimg.com/media/EsqkPBbXIAE0CkL.jpg" TargetMode="External"/><Relationship Id="rId16" Type="http://schemas.openxmlformats.org/officeDocument/2006/relationships/hyperlink" Target="http://www.lospoliticosveracruz.com.mx/?p=67206" TargetMode="External"/><Relationship Id="rId19" Type="http://schemas.openxmlformats.org/officeDocument/2006/relationships/hyperlink" Target="https://pbs.twimg.com/media/EsqL29MW8AEOUfu.jpg" TargetMode="External"/><Relationship Id="rId18" Type="http://schemas.openxmlformats.org/officeDocument/2006/relationships/hyperlink" Target="https://pbs.twimg.com/media/EsqZ91-W4AIDoYt.jpg" TargetMode="External"/><Relationship Id="rId84" Type="http://schemas.openxmlformats.org/officeDocument/2006/relationships/hyperlink" Target="https://pbs.twimg.com/media/EsrpaIrXEAEeZn9.jpg" TargetMode="External"/><Relationship Id="rId83" Type="http://schemas.openxmlformats.org/officeDocument/2006/relationships/hyperlink" Target="https://pbs.twimg.com/media/Esq6Uy5XYAgPlTM.jpg" TargetMode="External"/><Relationship Id="rId86" Type="http://schemas.openxmlformats.org/officeDocument/2006/relationships/hyperlink" Target="http://pic.twitter.com/vMhrLQBww4" TargetMode="External"/><Relationship Id="rId85" Type="http://schemas.openxmlformats.org/officeDocument/2006/relationships/hyperlink" Target="https://pbs.twimg.com/media/Esrn5xZXYAICHGl.jpg" TargetMode="External"/><Relationship Id="rId88" Type="http://schemas.openxmlformats.org/officeDocument/2006/relationships/hyperlink" Target="https://pbs.twimg.com/media/Esq4c3UXcAADrYD.jpg" TargetMode="External"/><Relationship Id="rId150" Type="http://schemas.openxmlformats.org/officeDocument/2006/relationships/hyperlink" Target="https://pbs.twimg.com/media/EslgCB_XcAEmAMI.jpg" TargetMode="External"/><Relationship Id="rId87" Type="http://schemas.openxmlformats.org/officeDocument/2006/relationships/hyperlink" Target="https://twitter.com/La_TiaAngie/status/1354097449569288192" TargetMode="External"/><Relationship Id="rId89" Type="http://schemas.openxmlformats.org/officeDocument/2006/relationships/hyperlink" Target="http://iterations.org/files/music/albums/hdremix/49%20Sexy%20Trunks%20(Balrog%20Stage).mp3" TargetMode="External"/><Relationship Id="rId80" Type="http://schemas.openxmlformats.org/officeDocument/2006/relationships/hyperlink" Target="http://www.puratolvanera.blogspot.com" TargetMode="External"/><Relationship Id="rId82" Type="http://schemas.openxmlformats.org/officeDocument/2006/relationships/hyperlink" Target="https://twitter.com/Akenathon3/status/1354099506476797953" TargetMode="External"/><Relationship Id="rId81" Type="http://schemas.openxmlformats.org/officeDocument/2006/relationships/hyperlink" Target="https://pbs.twimg.com/media/Esrz4aaW8AETHgv.jpg" TargetMode="External"/><Relationship Id="rId1" Type="http://schemas.openxmlformats.org/officeDocument/2006/relationships/hyperlink" Target="https://twitter.com/lpazosp/status/1354121971055931396" TargetMode="External"/><Relationship Id="rId2" Type="http://schemas.openxmlformats.org/officeDocument/2006/relationships/hyperlink" Target="https://pbs.twimg.com/media/Esrz4aaW8AETHgv.jpg" TargetMode="External"/><Relationship Id="rId3" Type="http://schemas.openxmlformats.org/officeDocument/2006/relationships/hyperlink" Target="https://twitter.com/Akenathon3/status/1354099506476797953" TargetMode="External"/><Relationship Id="rId149" Type="http://schemas.openxmlformats.org/officeDocument/2006/relationships/hyperlink" Target="https://pbs.twimg.com/media/EsmesuAWMAAgSI8.jpg" TargetMode="External"/><Relationship Id="rId4" Type="http://schemas.openxmlformats.org/officeDocument/2006/relationships/hyperlink" Target="https://pbs.twimg.com/media/Esq6Uy5XYAgPlTM.jpg" TargetMode="External"/><Relationship Id="rId148" Type="http://schemas.openxmlformats.org/officeDocument/2006/relationships/hyperlink" Target="https://pbs.twimg.com/media/EsmizfEUYAAtakb.jpg" TargetMode="External"/><Relationship Id="rId9" Type="http://schemas.openxmlformats.org/officeDocument/2006/relationships/hyperlink" Target="https://pbs.twimg.com/media/Esq4c3UXcAADrYD.jpg" TargetMode="External"/><Relationship Id="rId143" Type="http://schemas.openxmlformats.org/officeDocument/2006/relationships/hyperlink" Target="https://www.artstation.com/juliansaintmartin" TargetMode="External"/><Relationship Id="rId142" Type="http://schemas.openxmlformats.org/officeDocument/2006/relationships/hyperlink" Target="https://pbs.twimg.com/media/Esgz2UTUwAAe0y2.jpg" TargetMode="External"/><Relationship Id="rId141" Type="http://schemas.openxmlformats.org/officeDocument/2006/relationships/hyperlink" Target="https://twitter.com/MiguelTorrucoG/status/1353388704660787200" TargetMode="External"/><Relationship Id="rId140" Type="http://schemas.openxmlformats.org/officeDocument/2006/relationships/hyperlink" Target="https://pbs.twimg.com/media/EsnD4zgW8AE15st.jpg" TargetMode="External"/><Relationship Id="rId5" Type="http://schemas.openxmlformats.org/officeDocument/2006/relationships/hyperlink" Target="https://pbs.twimg.com/media/EsrpaIrXEAEeZn9.jpg" TargetMode="External"/><Relationship Id="rId147" Type="http://schemas.openxmlformats.org/officeDocument/2006/relationships/hyperlink" Target="https://pbs.twimg.com/media/EsmmbOnU0AElw_K.jpg" TargetMode="External"/><Relationship Id="rId6" Type="http://schemas.openxmlformats.org/officeDocument/2006/relationships/hyperlink" Target="https://pbs.twimg.com/media/Esrn5xZXYAICHGl.jpg" TargetMode="External"/><Relationship Id="rId146" Type="http://schemas.openxmlformats.org/officeDocument/2006/relationships/hyperlink" Target="http://www.tuputamadre.com" TargetMode="External"/><Relationship Id="rId7" Type="http://schemas.openxmlformats.org/officeDocument/2006/relationships/hyperlink" Target="http://pic.twitter.com/vMhrLQBww4" TargetMode="External"/><Relationship Id="rId145" Type="http://schemas.openxmlformats.org/officeDocument/2006/relationships/hyperlink" Target="https://pbs.twimg.com/media/EsmwRPzVcAUF9Vd.jpg" TargetMode="External"/><Relationship Id="rId8" Type="http://schemas.openxmlformats.org/officeDocument/2006/relationships/hyperlink" Target="https://twitter.com/La_TiaAngie/status/1354097449569288192" TargetMode="External"/><Relationship Id="rId144" Type="http://schemas.openxmlformats.org/officeDocument/2006/relationships/hyperlink" Target="https://twitter.com/jesusnicolas/status/1353539088217993217" TargetMode="External"/><Relationship Id="rId73" Type="http://schemas.openxmlformats.org/officeDocument/2006/relationships/hyperlink" Target="https://pbs.twimg.com/media/Esl-OXSWMAYNYMh.jpg" TargetMode="External"/><Relationship Id="rId72" Type="http://schemas.openxmlformats.org/officeDocument/2006/relationships/hyperlink" Target="https://www.informador.mx/staff/eolvera" TargetMode="External"/><Relationship Id="rId75" Type="http://schemas.openxmlformats.org/officeDocument/2006/relationships/hyperlink" Target="https://twitter.com/bethcastilloo/status/1353504935611162624" TargetMode="External"/><Relationship Id="rId74" Type="http://schemas.openxmlformats.org/officeDocument/2006/relationships/hyperlink" Target="https://twitter.com/LaMismaTats/status/1353770635793735681" TargetMode="External"/><Relationship Id="rId77" Type="http://schemas.openxmlformats.org/officeDocument/2006/relationships/hyperlink" Target="http://pic.twitter.com/36RlBrWPf8" TargetMode="External"/><Relationship Id="rId76" Type="http://schemas.openxmlformats.org/officeDocument/2006/relationships/hyperlink" Target="https://pbs.twimg.com/media/EsmGGW9XMAwjdRd.jpg" TargetMode="External"/><Relationship Id="rId79" Type="http://schemas.openxmlformats.org/officeDocument/2006/relationships/hyperlink" Target="https://pbs.twimg.com/media/Esl5mIqWMAcv-5t.jpg" TargetMode="External"/><Relationship Id="rId78" Type="http://schemas.openxmlformats.org/officeDocument/2006/relationships/hyperlink" Target="https://pbs.twimg.com/media/EslgCB_XcAEmAMI.jpg" TargetMode="External"/><Relationship Id="rId71" Type="http://schemas.openxmlformats.org/officeDocument/2006/relationships/hyperlink" Target="https://pbs.twimg.com/media/EslgCB_XcAEmAMI.jpg" TargetMode="External"/><Relationship Id="rId70" Type="http://schemas.openxmlformats.org/officeDocument/2006/relationships/hyperlink" Target="https://pbs.twimg.com/media/EsmesuAWMAAgSI8.jpg" TargetMode="External"/><Relationship Id="rId139" Type="http://schemas.openxmlformats.org/officeDocument/2006/relationships/hyperlink" Target="http://pepepintos.blogspot.com/" TargetMode="External"/><Relationship Id="rId138" Type="http://schemas.openxmlformats.org/officeDocument/2006/relationships/hyperlink" Target="https://twitter.com/alarcondibujos/status/1353828979627667458" TargetMode="External"/><Relationship Id="rId137" Type="http://schemas.openxmlformats.org/officeDocument/2006/relationships/hyperlink" Target="https://pbs.twimg.com/media/EsnHQGPXAAEUD1x.jpg" TargetMode="External"/><Relationship Id="rId132" Type="http://schemas.openxmlformats.org/officeDocument/2006/relationships/hyperlink" Target="https://twitter.com/garcimonero/status/1353506654105563138" TargetMode="External"/><Relationship Id="rId131" Type="http://schemas.openxmlformats.org/officeDocument/2006/relationships/hyperlink" Target="http://sdpnoticias.com/" TargetMode="External"/><Relationship Id="rId130" Type="http://schemas.openxmlformats.org/officeDocument/2006/relationships/hyperlink" Target="https://www.sdpnoticias.com/nacional/geraldine-ponce-diputada-morena-acoso-agresiones-en-twitter.html" TargetMode="External"/><Relationship Id="rId136" Type="http://schemas.openxmlformats.org/officeDocument/2006/relationships/hyperlink" Target="http://pic.twitter.com/7OF2MuLKjh" TargetMode="External"/><Relationship Id="rId135" Type="http://schemas.openxmlformats.org/officeDocument/2006/relationships/hyperlink" Target="https://twitter.com/A_ausdenRuthen/status/1353782436040237057" TargetMode="External"/><Relationship Id="rId134" Type="http://schemas.openxmlformats.org/officeDocument/2006/relationships/hyperlink" Target="https://pbs.twimg.com/media/EsnY_RyWMAYfi6J.jpg" TargetMode="External"/><Relationship Id="rId133" Type="http://schemas.openxmlformats.org/officeDocument/2006/relationships/hyperlink" Target="https://pbs.twimg.com/media/EsnfD1aXEAARnXZ.jpg" TargetMode="External"/><Relationship Id="rId62" Type="http://schemas.openxmlformats.org/officeDocument/2006/relationships/hyperlink" Target="https://twitter.com/MiguelTorrucoG/status/1353388704660787200" TargetMode="External"/><Relationship Id="rId61" Type="http://schemas.openxmlformats.org/officeDocument/2006/relationships/hyperlink" Target="https://pbs.twimg.com/media/EsnD4zgW8AE15st.jpg" TargetMode="External"/><Relationship Id="rId64" Type="http://schemas.openxmlformats.org/officeDocument/2006/relationships/hyperlink" Target="https://www.artstation.com/juliansaintmartin" TargetMode="External"/><Relationship Id="rId63" Type="http://schemas.openxmlformats.org/officeDocument/2006/relationships/hyperlink" Target="https://pbs.twimg.com/media/Esgz2UTUwAAe0y2.jpg" TargetMode="External"/><Relationship Id="rId66" Type="http://schemas.openxmlformats.org/officeDocument/2006/relationships/hyperlink" Target="https://pbs.twimg.com/media/EsmwRPzVcAUF9Vd.jpg" TargetMode="External"/><Relationship Id="rId65" Type="http://schemas.openxmlformats.org/officeDocument/2006/relationships/hyperlink" Target="https://twitter.com/jesusnicolas/status/1353539088217993217" TargetMode="External"/><Relationship Id="rId68" Type="http://schemas.openxmlformats.org/officeDocument/2006/relationships/hyperlink" Target="https://pbs.twimg.com/media/EsmmbOnU0AElw_K.jpg" TargetMode="External"/><Relationship Id="rId67" Type="http://schemas.openxmlformats.org/officeDocument/2006/relationships/hyperlink" Target="http://www.tuputamadre.com" TargetMode="External"/><Relationship Id="rId60" Type="http://schemas.openxmlformats.org/officeDocument/2006/relationships/hyperlink" Target="http://pepepintos.blogspot.com/" TargetMode="External"/><Relationship Id="rId69" Type="http://schemas.openxmlformats.org/officeDocument/2006/relationships/hyperlink" Target="https://pbs.twimg.com/media/EsmizfEUYAAtakb.jpg" TargetMode="External"/><Relationship Id="rId162" Type="http://schemas.openxmlformats.org/officeDocument/2006/relationships/table" Target="../tables/table8.xml"/><Relationship Id="rId51" Type="http://schemas.openxmlformats.org/officeDocument/2006/relationships/hyperlink" Target="https://www.sdpnoticias.com/nacional/geraldine-ponce-diputada-morena-acoso-agresiones-en-twitter.html" TargetMode="External"/><Relationship Id="rId50" Type="http://schemas.openxmlformats.org/officeDocument/2006/relationships/hyperlink" Target="http://m.facebook.com/Elhuyyuyuy?_rdr" TargetMode="External"/><Relationship Id="rId53" Type="http://schemas.openxmlformats.org/officeDocument/2006/relationships/hyperlink" Target="https://twitter.com/garcimonero/status/1353506654105563138" TargetMode="External"/><Relationship Id="rId52" Type="http://schemas.openxmlformats.org/officeDocument/2006/relationships/hyperlink" Target="http://sdpnoticias.com/" TargetMode="External"/><Relationship Id="rId55" Type="http://schemas.openxmlformats.org/officeDocument/2006/relationships/hyperlink" Target="https://pbs.twimg.com/media/EsnY_RyWMAYfi6J.jpg" TargetMode="External"/><Relationship Id="rId54" Type="http://schemas.openxmlformats.org/officeDocument/2006/relationships/hyperlink" Target="https://pbs.twimg.com/media/EsnfD1aXEAARnXZ.jpg" TargetMode="External"/><Relationship Id="rId160" Type="http://schemas.openxmlformats.org/officeDocument/2006/relationships/drawing" Target="../drawings/drawing8.xml"/><Relationship Id="rId57" Type="http://schemas.openxmlformats.org/officeDocument/2006/relationships/hyperlink" Target="http://pic.twitter.com/7OF2MuLKjh" TargetMode="External"/><Relationship Id="rId56" Type="http://schemas.openxmlformats.org/officeDocument/2006/relationships/hyperlink" Target="https://twitter.com/A_ausdenRuthen/status/1353782436040237057" TargetMode="External"/><Relationship Id="rId159" Type="http://schemas.openxmlformats.org/officeDocument/2006/relationships/hyperlink" Target="http://www.puratolvanera.blogspot.com" TargetMode="External"/><Relationship Id="rId59" Type="http://schemas.openxmlformats.org/officeDocument/2006/relationships/hyperlink" Target="https://twitter.com/alarcondibujos/status/1353828979627667458" TargetMode="External"/><Relationship Id="rId154" Type="http://schemas.openxmlformats.org/officeDocument/2006/relationships/hyperlink" Target="https://twitter.com/bethcastilloo/status/1353504935611162624" TargetMode="External"/><Relationship Id="rId58" Type="http://schemas.openxmlformats.org/officeDocument/2006/relationships/hyperlink" Target="https://pbs.twimg.com/media/EsnHQGPXAAEUD1x.jpg" TargetMode="External"/><Relationship Id="rId153" Type="http://schemas.openxmlformats.org/officeDocument/2006/relationships/hyperlink" Target="https://twitter.com/LaMismaTats/status/1353770635793735681" TargetMode="External"/><Relationship Id="rId152" Type="http://schemas.openxmlformats.org/officeDocument/2006/relationships/hyperlink" Target="https://pbs.twimg.com/media/Esl-OXSWMAYNYMh.jpg" TargetMode="External"/><Relationship Id="rId151" Type="http://schemas.openxmlformats.org/officeDocument/2006/relationships/hyperlink" Target="https://www.informador.mx/staff/eolvera" TargetMode="External"/><Relationship Id="rId158" Type="http://schemas.openxmlformats.org/officeDocument/2006/relationships/hyperlink" Target="https://pbs.twimg.com/media/Esl5mIqWMAcv-5t.jpg" TargetMode="External"/><Relationship Id="rId157" Type="http://schemas.openxmlformats.org/officeDocument/2006/relationships/hyperlink" Target="https://pbs.twimg.com/media/EslgCB_XcAEmAMI.jpg" TargetMode="External"/><Relationship Id="rId156" Type="http://schemas.openxmlformats.org/officeDocument/2006/relationships/hyperlink" Target="http://pic.twitter.com/36RlBrWPf8" TargetMode="External"/><Relationship Id="rId155" Type="http://schemas.openxmlformats.org/officeDocument/2006/relationships/hyperlink" Target="https://pbs.twimg.com/media/EsmGGW9XMAwjdRd.jpg" TargetMode="External"/><Relationship Id="rId107" Type="http://schemas.openxmlformats.org/officeDocument/2006/relationships/hyperlink" Target="https://twitter.com/vladimirgaleana/status/1353821033535598594" TargetMode="External"/><Relationship Id="rId106" Type="http://schemas.openxmlformats.org/officeDocument/2006/relationships/hyperlink" Target="https://m.facebook.com/zonavickpster/" TargetMode="External"/><Relationship Id="rId105" Type="http://schemas.openxmlformats.org/officeDocument/2006/relationships/hyperlink" Target="https://twitter.com/dolby_joselo/status/1353934251356520448" TargetMode="External"/><Relationship Id="rId104" Type="http://schemas.openxmlformats.org/officeDocument/2006/relationships/hyperlink" Target="https://verdetemplodelamirada.blogspot.com/" TargetMode="External"/><Relationship Id="rId109" Type="http://schemas.openxmlformats.org/officeDocument/2006/relationships/hyperlink" Target="https://pbs.twimg.com/media/EsoO3nIXYAMu0ps.jpg" TargetMode="External"/><Relationship Id="rId108" Type="http://schemas.openxmlformats.org/officeDocument/2006/relationships/hyperlink" Target="https://pbs.twimg.com/media/Esoe65pWMAErfjW.jpg" TargetMode="External"/><Relationship Id="rId103" Type="http://schemas.openxmlformats.org/officeDocument/2006/relationships/hyperlink" Target="https://www.infobae.com/america/mexico/2021/01/25/geraldine-ponce-la-diputada-y-ex-reina-de-belleza-es-victima-de-agresiones-y-calumnias/" TargetMode="External"/><Relationship Id="rId102" Type="http://schemas.openxmlformats.org/officeDocument/2006/relationships/hyperlink" Target="http://containercity.com.mx" TargetMode="External"/><Relationship Id="rId101" Type="http://schemas.openxmlformats.org/officeDocument/2006/relationships/hyperlink" Target="https://mariovanzzini.com.mx/" TargetMode="External"/><Relationship Id="rId100" Type="http://schemas.openxmlformats.org/officeDocument/2006/relationships/hyperlink" Target="https://twitter.com/RoblesPetersson/status/1353574770432995334" TargetMode="External"/><Relationship Id="rId129" Type="http://schemas.openxmlformats.org/officeDocument/2006/relationships/hyperlink" Target="http://m.facebook.com/Elhuyyuyuy?_rdr" TargetMode="External"/><Relationship Id="rId128" Type="http://schemas.openxmlformats.org/officeDocument/2006/relationships/hyperlink" Target="https://pbs.twimg.com/media/EsmJrCeXEAIEuBj.jpg" TargetMode="External"/><Relationship Id="rId127" Type="http://schemas.openxmlformats.org/officeDocument/2006/relationships/hyperlink" Target="http://pepepintos.blogspot.com/" TargetMode="External"/><Relationship Id="rId126" Type="http://schemas.openxmlformats.org/officeDocument/2006/relationships/hyperlink" Target="https://pbs.twimg.com/media/EsnuWqgW4AA7rbz.jpg" TargetMode="External"/><Relationship Id="rId121" Type="http://schemas.openxmlformats.org/officeDocument/2006/relationships/hyperlink" Target="https://diariodelpueblo.mx/2021/01/25/geraldine-ponce-iria-por-tepic-y-navarro-por-nayarit-formula-ganadora-segun-encuestas/?fbclid=IwAR3iwfU8sorRck2YINfBoP2PbcXaKCObdbTBVBrjbNf2HbX_Ra15EPbfy_I" TargetMode="External"/><Relationship Id="rId120" Type="http://schemas.openxmlformats.org/officeDocument/2006/relationships/hyperlink" Target="http://pic.twitter.com/36RlBrWPf8" TargetMode="External"/><Relationship Id="rId125" Type="http://schemas.openxmlformats.org/officeDocument/2006/relationships/hyperlink" Target="https://pbs.twimg.com/media/EsnuzqCW4AEkw8E.jpg" TargetMode="External"/><Relationship Id="rId124" Type="http://schemas.openxmlformats.org/officeDocument/2006/relationships/hyperlink" Target="https://pbs.twimg.com/media/EsnHQGPXAAEUD1x.jpg" TargetMode="External"/><Relationship Id="rId123" Type="http://schemas.openxmlformats.org/officeDocument/2006/relationships/hyperlink" Target="https://twitter.com/Alfanges/status/1353832249024794625" TargetMode="External"/><Relationship Id="rId122" Type="http://schemas.openxmlformats.org/officeDocument/2006/relationships/hyperlink" Target="https://pbs.twimg.com/media/Esl-OXSWMAYNYMh.jpg" TargetMode="External"/><Relationship Id="rId95" Type="http://schemas.openxmlformats.org/officeDocument/2006/relationships/hyperlink" Target="http://www.lospoliticosveracruz.com.mx/?p=67206" TargetMode="External"/><Relationship Id="rId94" Type="http://schemas.openxmlformats.org/officeDocument/2006/relationships/hyperlink" Target="https://pbs.twimg.com/media/EsqsF8cXUAsVvUn.jpg" TargetMode="External"/><Relationship Id="rId97" Type="http://schemas.openxmlformats.org/officeDocument/2006/relationships/hyperlink" Target="https://pbs.twimg.com/media/EsqZ91-W4AIDoYt.jpg" TargetMode="External"/><Relationship Id="rId96" Type="http://schemas.openxmlformats.org/officeDocument/2006/relationships/hyperlink" Target="https://pbs.twimg.com/media/EsqkPBbXIAE0CkL.jpg" TargetMode="External"/><Relationship Id="rId99" Type="http://schemas.openxmlformats.org/officeDocument/2006/relationships/hyperlink" Target="https://twitter.com/vladimirgaleana/status/1353821033535598594" TargetMode="External"/><Relationship Id="rId98" Type="http://schemas.openxmlformats.org/officeDocument/2006/relationships/hyperlink" Target="https://pbs.twimg.com/media/EsqL29MW8AEOUfu.jpg" TargetMode="External"/><Relationship Id="rId91" Type="http://schemas.openxmlformats.org/officeDocument/2006/relationships/hyperlink" Target="https://pbs.twimg.com/media/EsoIcCrW8AIFQgU.jpg" TargetMode="External"/><Relationship Id="rId90" Type="http://schemas.openxmlformats.org/officeDocument/2006/relationships/hyperlink" Target="https://twitter.com/joseantoniolo06/status/1353903919290789890" TargetMode="External"/><Relationship Id="rId93" Type="http://schemas.openxmlformats.org/officeDocument/2006/relationships/hyperlink" Target="https://pbs.twimg.com/media/Esq5afRXIAAAsIQ.jpg" TargetMode="External"/><Relationship Id="rId92" Type="http://schemas.openxmlformats.org/officeDocument/2006/relationships/hyperlink" Target="http://pic.twitter.com/yhjgmaTUZR" TargetMode="External"/><Relationship Id="rId118" Type="http://schemas.openxmlformats.org/officeDocument/2006/relationships/hyperlink" Target="http://sil.gobernacion.gob.mx/Librerias/pp_PerfilLegislador.php?Referencia=9223825" TargetMode="External"/><Relationship Id="rId117" Type="http://schemas.openxmlformats.org/officeDocument/2006/relationships/hyperlink" Target="https://twitter.com/GeraldinePonceM/status/1353790336108138496" TargetMode="External"/><Relationship Id="rId116" Type="http://schemas.openxmlformats.org/officeDocument/2006/relationships/hyperlink" Target="https://twitter.com/geraldineponcem/status/1353508796962750464" TargetMode="External"/><Relationship Id="rId115" Type="http://schemas.openxmlformats.org/officeDocument/2006/relationships/hyperlink" Target="https://pbs.twimg.com/media/EsoAlXvWMAQ0DIs.jpg" TargetMode="External"/><Relationship Id="rId119" Type="http://schemas.openxmlformats.org/officeDocument/2006/relationships/hyperlink" Target="https://pbs.twimg.com/media/Esn5tc-UUAAE3Tk.jpg" TargetMode="External"/><Relationship Id="rId110" Type="http://schemas.openxmlformats.org/officeDocument/2006/relationships/hyperlink" Target="https://pbs.twimg.com/media/EsoLUhyU0AM1Laq.jpg" TargetMode="External"/><Relationship Id="rId114" Type="http://schemas.openxmlformats.org/officeDocument/2006/relationships/hyperlink" Target="https://pbs.twimg.com/media/EsoIcCrW8AIFQgU.jpg" TargetMode="External"/><Relationship Id="rId113" Type="http://schemas.openxmlformats.org/officeDocument/2006/relationships/hyperlink" Target="http://www.politico.mx" TargetMode="External"/><Relationship Id="rId112" Type="http://schemas.openxmlformats.org/officeDocument/2006/relationships/hyperlink" Target="https://pbs.twimg.com/media/EsoKx6kXEAAlfeM.jpg" TargetMode="External"/><Relationship Id="rId111" Type="http://schemas.openxmlformats.org/officeDocument/2006/relationships/hyperlink" Target="https://politico.mx/_/rTS" TargetMode="External"/></Relationships>
</file>

<file path=xl/worksheets/_rels/sheet9.xml.rels><?xml version="1.0" encoding="UTF-8" standalone="yes"?><Relationships xmlns="http://schemas.openxmlformats.org/package/2006/relationships"><Relationship Id="rId31" Type="http://schemas.openxmlformats.org/officeDocument/2006/relationships/hyperlink" Target="https://www.jornada.com.mx/2021/01/20/capital/028n1cap" TargetMode="External"/><Relationship Id="rId30" Type="http://schemas.openxmlformats.org/officeDocument/2006/relationships/hyperlink" Target="http://citlallihernandez.mx" TargetMode="External"/><Relationship Id="rId33" Type="http://schemas.openxmlformats.org/officeDocument/2006/relationships/hyperlink" Target="http://citlallihernandez.mx" TargetMode="External"/><Relationship Id="rId32" Type="http://schemas.openxmlformats.org/officeDocument/2006/relationships/hyperlink" Target="https://pbs.twimg.com/media/EsLO9moVcAcIlmF.jpg" TargetMode="External"/><Relationship Id="rId35" Type="http://schemas.openxmlformats.org/officeDocument/2006/relationships/hyperlink" Target="http://citlallihernandez.mx" TargetMode="External"/><Relationship Id="rId34" Type="http://schemas.openxmlformats.org/officeDocument/2006/relationships/hyperlink" Target="https://m.excelsior.com.mx/opinion/citlalli-hernandez/vacunas-para-que/1427828" TargetMode="External"/><Relationship Id="rId36" Type="http://schemas.openxmlformats.org/officeDocument/2006/relationships/drawing" Target="../drawings/drawing9.xml"/><Relationship Id="rId38" Type="http://schemas.openxmlformats.org/officeDocument/2006/relationships/table" Target="../tables/table9.xml"/><Relationship Id="rId20" Type="http://schemas.openxmlformats.org/officeDocument/2006/relationships/hyperlink" Target="https://pbs.twimg.com/media/EscOn2XVcAEstJk.jpg" TargetMode="External"/><Relationship Id="rId22" Type="http://schemas.openxmlformats.org/officeDocument/2006/relationships/hyperlink" Target="http://pic.twitter.com/smYbnHBFWy" TargetMode="External"/><Relationship Id="rId21" Type="http://schemas.openxmlformats.org/officeDocument/2006/relationships/hyperlink" Target="http://citlallihernandez.mx" TargetMode="External"/><Relationship Id="rId24" Type="http://schemas.openxmlformats.org/officeDocument/2006/relationships/hyperlink" Target="http://citlallihernandez.mx" TargetMode="External"/><Relationship Id="rId23" Type="http://schemas.openxmlformats.org/officeDocument/2006/relationships/hyperlink" Target="http://citlallihernandez.mx" TargetMode="External"/><Relationship Id="rId26" Type="http://schemas.openxmlformats.org/officeDocument/2006/relationships/hyperlink" Target="http://citlallihernandez.mx" TargetMode="External"/><Relationship Id="rId25" Type="http://schemas.openxmlformats.org/officeDocument/2006/relationships/hyperlink" Target="http://pic.twitter.com/nOU8F3iVq3" TargetMode="External"/><Relationship Id="rId28" Type="http://schemas.openxmlformats.org/officeDocument/2006/relationships/hyperlink" Target="https://pbs.twimg.com/media/EsMeuY1W8AAOAsC.jpg" TargetMode="External"/><Relationship Id="rId27" Type="http://schemas.openxmlformats.org/officeDocument/2006/relationships/hyperlink" Target="https://twitter.com/enriquealfaror/status/1351962737358811139" TargetMode="External"/><Relationship Id="rId29" Type="http://schemas.openxmlformats.org/officeDocument/2006/relationships/hyperlink" Target="http://citlallihernandez.mx" TargetMode="External"/><Relationship Id="rId11" Type="http://schemas.openxmlformats.org/officeDocument/2006/relationships/hyperlink" Target="https://pbs.twimg.com/media/EslfM0aXMAIV33S.jpg" TargetMode="External"/><Relationship Id="rId10" Type="http://schemas.openxmlformats.org/officeDocument/2006/relationships/hyperlink" Target="https://twitter.com/claudiashein/status/1353717839618830341" TargetMode="External"/><Relationship Id="rId13" Type="http://schemas.openxmlformats.org/officeDocument/2006/relationships/hyperlink" Target="https://twitter.com/twitterseguro/status/1353507120424112129" TargetMode="External"/><Relationship Id="rId12" Type="http://schemas.openxmlformats.org/officeDocument/2006/relationships/hyperlink" Target="http://citlallihernandez.mx" TargetMode="External"/><Relationship Id="rId15" Type="http://schemas.openxmlformats.org/officeDocument/2006/relationships/hyperlink" Target="http://citlallihernandez.mx" TargetMode="External"/><Relationship Id="rId14" Type="http://schemas.openxmlformats.org/officeDocument/2006/relationships/hyperlink" Target="http://citlallihernandez.mx" TargetMode="External"/><Relationship Id="rId17" Type="http://schemas.openxmlformats.org/officeDocument/2006/relationships/hyperlink" Target="https://twitter.com/lopezobrador_/status/1353500519344578560" TargetMode="External"/><Relationship Id="rId16" Type="http://schemas.openxmlformats.org/officeDocument/2006/relationships/hyperlink" Target="http://citlallihernandez.mx" TargetMode="External"/><Relationship Id="rId19" Type="http://schemas.openxmlformats.org/officeDocument/2006/relationships/hyperlink" Target="https://twitter.com/AALMAC_Mx/status/1353066312986025986" TargetMode="External"/><Relationship Id="rId18" Type="http://schemas.openxmlformats.org/officeDocument/2006/relationships/hyperlink" Target="http://citlallihernandez.mx" TargetMode="External"/><Relationship Id="rId1" Type="http://schemas.openxmlformats.org/officeDocument/2006/relationships/hyperlink" Target="http://www.excelsior.com.mx/opinion/citlalli-hernandez/una-nueva-conquista-ciudadana/1429117" TargetMode="External"/><Relationship Id="rId2" Type="http://schemas.openxmlformats.org/officeDocument/2006/relationships/hyperlink" Target="http://citlallihernandez.mx" TargetMode="External"/><Relationship Id="rId3" Type="http://schemas.openxmlformats.org/officeDocument/2006/relationships/hyperlink" Target="http://citlallihernandez.mx" TargetMode="External"/><Relationship Id="rId4" Type="http://schemas.openxmlformats.org/officeDocument/2006/relationships/hyperlink" Target="http://citlallihernandez.mx" TargetMode="External"/><Relationship Id="rId9" Type="http://schemas.openxmlformats.org/officeDocument/2006/relationships/hyperlink" Target="http://citlallihernandez.mx" TargetMode="External"/><Relationship Id="rId5" Type="http://schemas.openxmlformats.org/officeDocument/2006/relationships/hyperlink" Target="https://twitter.com/_marianae_/status/1353788688828948481" TargetMode="External"/><Relationship Id="rId6" Type="http://schemas.openxmlformats.org/officeDocument/2006/relationships/hyperlink" Target="https://pbs.twimg.com/media/EsmfoO9W4AQNkFy.jpg" TargetMode="External"/><Relationship Id="rId7" Type="http://schemas.openxmlformats.org/officeDocument/2006/relationships/hyperlink" Target="http://citlallihernandez.mx" TargetMode="External"/><Relationship Id="rId8" Type="http://schemas.openxmlformats.org/officeDocument/2006/relationships/hyperlink" Target="https://www.milenio.com/policia/mauricio-toledo-fgj-cdmx-jefe-delegacional-coyoacan" TargetMode="External"/></Relationships>
</file>

<file path=xl/worksheets/_rels/sheet10.xml.rels><?xml version="1.0" encoding="UTF-8" standalone="yes"?><Relationships xmlns="http://schemas.openxmlformats.org/package/2006/relationships"><Relationship Id="rId40" Type="http://schemas.openxmlformats.org/officeDocument/2006/relationships/hyperlink" Target="https://www.excelsior.com.mx/opinion/citlalli-hernandez/una-nueva-conquista-ciudadana/1429117" TargetMode="External"/><Relationship Id="rId42" Type="http://schemas.openxmlformats.org/officeDocument/2006/relationships/hyperlink" Target="https://twitter.com/LillyTellez/status/1353763553895845888" TargetMode="External"/><Relationship Id="rId41" Type="http://schemas.openxmlformats.org/officeDocument/2006/relationships/hyperlink" Target="https://www.facebook.com/khrispsy" TargetMode="External"/><Relationship Id="rId44" Type="http://schemas.openxmlformats.org/officeDocument/2006/relationships/hyperlink" Target="http://www.misionpolitica.com" TargetMode="External"/><Relationship Id="rId43" Type="http://schemas.openxmlformats.org/officeDocument/2006/relationships/hyperlink" Target="https://misionpolitica.com/2021/01/26/irrespetuoso-con-los-poderosos/" TargetMode="External"/><Relationship Id="rId46" Type="http://schemas.openxmlformats.org/officeDocument/2006/relationships/hyperlink" Target="http://espejohernandez.blogspot.com" TargetMode="External"/><Relationship Id="rId45" Type="http://schemas.openxmlformats.org/officeDocument/2006/relationships/hyperlink" Target="https://pbs.twimg.com/media/EsqiyalVcAU9SU8.jpg" TargetMode="External"/><Relationship Id="rId48" Type="http://schemas.openxmlformats.org/officeDocument/2006/relationships/hyperlink" Target="http://espejohernandez.blogspot.com" TargetMode="External"/><Relationship Id="rId47" Type="http://schemas.openxmlformats.org/officeDocument/2006/relationships/hyperlink" Target="https://pbs.twimg.com/media/EsqhBZQUUAEyD_J.jpg" TargetMode="External"/><Relationship Id="rId49" Type="http://schemas.openxmlformats.org/officeDocument/2006/relationships/hyperlink" Target="https://bit.ly/3t8iaT8" TargetMode="External"/><Relationship Id="rId31" Type="http://schemas.openxmlformats.org/officeDocument/2006/relationships/hyperlink" Target="https://twitter.com/paobresi/status/1354089202183528451" TargetMode="External"/><Relationship Id="rId30" Type="http://schemas.openxmlformats.org/officeDocument/2006/relationships/hyperlink" Target="http://espejohernandez.blogspot.com" TargetMode="External"/><Relationship Id="rId33" Type="http://schemas.openxmlformats.org/officeDocument/2006/relationships/hyperlink" Target="https://pbs.twimg.com/media/Esqt2BnXIAIRzlT.jpg" TargetMode="External"/><Relationship Id="rId32" Type="http://schemas.openxmlformats.org/officeDocument/2006/relationships/hyperlink" Target="https://twitter.com/tripa1974/status/1354084819324559360" TargetMode="External"/><Relationship Id="rId35" Type="http://schemas.openxmlformats.org/officeDocument/2006/relationships/hyperlink" Target="https://pbs.twimg.com/media/Esqqfn5XYAUHsVi.jpg" TargetMode="External"/><Relationship Id="rId34" Type="http://schemas.openxmlformats.org/officeDocument/2006/relationships/hyperlink" Target="http://espejohernandez.blogspot.com" TargetMode="External"/><Relationship Id="rId37" Type="http://schemas.openxmlformats.org/officeDocument/2006/relationships/hyperlink" Target="http://espejohernandez.blogspot.com" TargetMode="External"/><Relationship Id="rId36" Type="http://schemas.openxmlformats.org/officeDocument/2006/relationships/hyperlink" Target="https://pbs.twimg.com/media/EsqnpUDUYAACD-v.jpg" TargetMode="External"/><Relationship Id="rId39" Type="http://schemas.openxmlformats.org/officeDocument/2006/relationships/hyperlink" Target="https://pbs.twimg.com/media/EsojtYMUwAE2oo4.jpg" TargetMode="External"/><Relationship Id="rId38" Type="http://schemas.openxmlformats.org/officeDocument/2006/relationships/hyperlink" Target="https://twitter.com/ulisesmejiah_/status/1353933916927737856" TargetMode="External"/><Relationship Id="rId20" Type="http://schemas.openxmlformats.org/officeDocument/2006/relationships/hyperlink" Target="https://www.eleconomista.com.mx/amp/opinion/De-esto-si-hay-que-hablar-20210125-0143.html" TargetMode="External"/><Relationship Id="rId22" Type="http://schemas.openxmlformats.org/officeDocument/2006/relationships/hyperlink" Target="https://twitter.com/Lennonbecqer/status/1354078362927587330" TargetMode="External"/><Relationship Id="rId21" Type="http://schemas.openxmlformats.org/officeDocument/2006/relationships/hyperlink" Target="https://www.facebook.com/www.elentornopolitico.com.mx/" TargetMode="External"/><Relationship Id="rId24" Type="http://schemas.openxmlformats.org/officeDocument/2006/relationships/hyperlink" Target="https://twitter.com/CeliaCC11/status/1353958344617304066" TargetMode="External"/><Relationship Id="rId23" Type="http://schemas.openxmlformats.org/officeDocument/2006/relationships/hyperlink" Target="https://pbs.twimg.com/media/EsqnGEOXAAYjf9_.jpg" TargetMode="External"/><Relationship Id="rId26" Type="http://schemas.openxmlformats.org/officeDocument/2006/relationships/hyperlink" Target="https://pbs.twimg.com/media/Esq7QMGXAAEGk-f.jpg" TargetMode="External"/><Relationship Id="rId25" Type="http://schemas.openxmlformats.org/officeDocument/2006/relationships/hyperlink" Target="https://pbs.twimg.com/media/Esq-a6JW8AICyNM.png" TargetMode="External"/><Relationship Id="rId28" Type="http://schemas.openxmlformats.org/officeDocument/2006/relationships/hyperlink" Target="https://pbs.twimg.com/media/Esnxjo3W8AEEj5k.jpg" TargetMode="External"/><Relationship Id="rId27" Type="http://schemas.openxmlformats.org/officeDocument/2006/relationships/hyperlink" Target="https://twitter.com/la_cardiel/status/1353878764388823045" TargetMode="External"/><Relationship Id="rId29" Type="http://schemas.openxmlformats.org/officeDocument/2006/relationships/hyperlink" Target="https://pbs.twimg.com/media/EsqytOsVkAEcZSq.jpg" TargetMode="External"/><Relationship Id="rId11" Type="http://schemas.openxmlformats.org/officeDocument/2006/relationships/hyperlink" Target="http://www.youtube.com/ByronBarranco/" TargetMode="External"/><Relationship Id="rId10" Type="http://schemas.openxmlformats.org/officeDocument/2006/relationships/hyperlink" Target="http://www.comunal.social" TargetMode="External"/><Relationship Id="rId13" Type="http://schemas.openxmlformats.org/officeDocument/2006/relationships/hyperlink" Target="http://espejohernandez.blogspot.com" TargetMode="External"/><Relationship Id="rId12" Type="http://schemas.openxmlformats.org/officeDocument/2006/relationships/hyperlink" Target="https://pbs.twimg.com/media/EsreQ1UUUAIa8Sp.jpg" TargetMode="External"/><Relationship Id="rId15" Type="http://schemas.openxmlformats.org/officeDocument/2006/relationships/hyperlink" Target="https://pbs.twimg.com/media/EsrZfZ9WMAEeE-C.jpg" TargetMode="External"/><Relationship Id="rId14" Type="http://schemas.openxmlformats.org/officeDocument/2006/relationships/hyperlink" Target="http://elcolordelaletra.blogspot.com" TargetMode="External"/><Relationship Id="rId17" Type="http://schemas.openxmlformats.org/officeDocument/2006/relationships/hyperlink" Target="https://pbs.twimg.com/media/EsrYMDqVoAAzqep.jpg" TargetMode="External"/><Relationship Id="rId16" Type="http://schemas.openxmlformats.org/officeDocument/2006/relationships/hyperlink" Target="https://twitter.com/Regia_Alexandra/status/1354132343229829120" TargetMode="External"/><Relationship Id="rId19" Type="http://schemas.openxmlformats.org/officeDocument/2006/relationships/hyperlink" Target="http://www.contraparte.mx" TargetMode="External"/><Relationship Id="rId18" Type="http://schemas.openxmlformats.org/officeDocument/2006/relationships/hyperlink" Target="http://pic.twitter.com/C1qznlVkgE" TargetMode="External"/><Relationship Id="rId84" Type="http://schemas.openxmlformats.org/officeDocument/2006/relationships/hyperlink" Target="https://twitter.com/RuizGal8/status/1353902711767490560" TargetMode="External"/><Relationship Id="rId83" Type="http://schemas.openxmlformats.org/officeDocument/2006/relationships/hyperlink" Target="https://pbs.twimg.com/media/EsoOhdPW4AQOmi6.jpg" TargetMode="External"/><Relationship Id="rId86" Type="http://schemas.openxmlformats.org/officeDocument/2006/relationships/hyperlink" Target="https://pbs.twimg.com/media/EsoIT23WMAAZv6E.jpg" TargetMode="External"/><Relationship Id="rId85" Type="http://schemas.openxmlformats.org/officeDocument/2006/relationships/hyperlink" Target="https://pbs.twimg.com/media/EsoHVkNWMAg5Dkv.jpg" TargetMode="External"/><Relationship Id="rId88" Type="http://schemas.openxmlformats.org/officeDocument/2006/relationships/hyperlink" Target="https://pbs.twimg.com/media/EsY_y7YUUAALZr_.jpg" TargetMode="External"/><Relationship Id="rId87" Type="http://schemas.openxmlformats.org/officeDocument/2006/relationships/hyperlink" Target="https://twitter.com/geraldineponcem/status/1352838904106258432" TargetMode="External"/><Relationship Id="rId89" Type="http://schemas.openxmlformats.org/officeDocument/2006/relationships/hyperlink" Target="https://pbs.twimg.com/media/EsoDkuwXUAAbACL.jpg" TargetMode="External"/><Relationship Id="rId80" Type="http://schemas.openxmlformats.org/officeDocument/2006/relationships/hyperlink" Target="https://www.facebook.com/ErickReyesAO/" TargetMode="External"/><Relationship Id="rId82" Type="http://schemas.openxmlformats.org/officeDocument/2006/relationships/hyperlink" Target="https://twitter.com/Grame47853033/status/1353909549879746560" TargetMode="External"/><Relationship Id="rId81" Type="http://schemas.openxmlformats.org/officeDocument/2006/relationships/hyperlink" Target="https://pbs.twimg.com/media/EsoQXjGXAAArxlY.jpg" TargetMode="External"/><Relationship Id="rId1" Type="http://schemas.openxmlformats.org/officeDocument/2006/relationships/hyperlink" Target="https://twitter.com/avieu/status/1354151333192843265" TargetMode="External"/><Relationship Id="rId2" Type="http://schemas.openxmlformats.org/officeDocument/2006/relationships/hyperlink" Target="https://pbs.twimg.com/media/EsrpdYFVkAEOMWF.jpg" TargetMode="External"/><Relationship Id="rId3" Type="http://schemas.openxmlformats.org/officeDocument/2006/relationships/hyperlink" Target="https://t.me/C_SSM" TargetMode="External"/><Relationship Id="rId4" Type="http://schemas.openxmlformats.org/officeDocument/2006/relationships/hyperlink" Target="https://twitter.com/Antor333/status/1354098933539106818" TargetMode="External"/><Relationship Id="rId9" Type="http://schemas.openxmlformats.org/officeDocument/2006/relationships/hyperlink" Target="https://es-us.noticias.yahoo.com/la-cientifica-de-harvard-que-explica-como-lopez-gatell-ha-hecho-una-gestion-criminal-de-la-pandemia-en-mexico-020139158.html" TargetMode="External"/><Relationship Id="rId5" Type="http://schemas.openxmlformats.org/officeDocument/2006/relationships/hyperlink" Target="https://t.me/C_SSM" TargetMode="External"/><Relationship Id="rId6" Type="http://schemas.openxmlformats.org/officeDocument/2006/relationships/hyperlink" Target="https://pbs.twimg.com/media/Esrpg7iVEAAZg_i.jpg" TargetMode="External"/><Relationship Id="rId7" Type="http://schemas.openxmlformats.org/officeDocument/2006/relationships/hyperlink" Target="http://espejohernandez.blogspot.com" TargetMode="External"/><Relationship Id="rId8" Type="http://schemas.openxmlformats.org/officeDocument/2006/relationships/hyperlink" Target="https://twitter.com/LuisArm28147370/status/1354093183769079809" TargetMode="External"/><Relationship Id="rId73" Type="http://schemas.openxmlformats.org/officeDocument/2006/relationships/hyperlink" Target="https://twitter.com/GeneralaRebelde/status/1353888806236286976" TargetMode="External"/><Relationship Id="rId72" Type="http://schemas.openxmlformats.org/officeDocument/2006/relationships/hyperlink" Target="https://pbs.twimg.com/media/Esnn5k3WMAAKfa6.jpg" TargetMode="External"/><Relationship Id="rId75" Type="http://schemas.openxmlformats.org/officeDocument/2006/relationships/hyperlink" Target="https://twitter.com/mas_critica/status/1353871836212301824" TargetMode="External"/><Relationship Id="rId74" Type="http://schemas.openxmlformats.org/officeDocument/2006/relationships/hyperlink" Target="https://pbs.twimg.com/media/Esn6sHzWMAYXfXV.jpg" TargetMode="External"/><Relationship Id="rId77" Type="http://schemas.openxmlformats.org/officeDocument/2006/relationships/hyperlink" Target="https://twitter.com/HAYUSO46/status/1353915362383949824" TargetMode="External"/><Relationship Id="rId76" Type="http://schemas.openxmlformats.org/officeDocument/2006/relationships/hyperlink" Target="https://pbs.twimg.com/media/EsnrQeUW4AAtOEX.jpg" TargetMode="External"/><Relationship Id="rId79" Type="http://schemas.openxmlformats.org/officeDocument/2006/relationships/hyperlink" Target="https://pbs.twimg.com/media/EsoRDECW4AINOwP.jpg" TargetMode="External"/><Relationship Id="rId78" Type="http://schemas.openxmlformats.org/officeDocument/2006/relationships/hyperlink" Target="https://pbs.twimg.com/media/EsoS2JjW8AID_Uh.jpg" TargetMode="External"/><Relationship Id="rId71" Type="http://schemas.openxmlformats.org/officeDocument/2006/relationships/hyperlink" Target="https://twitter.com/m_olgascordero/status/1353868414255833094" TargetMode="External"/><Relationship Id="rId70" Type="http://schemas.openxmlformats.org/officeDocument/2006/relationships/hyperlink" Target="https://pbs.twimg.com/media/EsobgIEXIAAfGrE.jpg" TargetMode="External"/><Relationship Id="rId62" Type="http://schemas.openxmlformats.org/officeDocument/2006/relationships/hyperlink" Target="https://youtu.be/1919Kbfgoa0" TargetMode="External"/><Relationship Id="rId61" Type="http://schemas.openxmlformats.org/officeDocument/2006/relationships/hyperlink" Target="https://www.excelsior.com.mx/opinion/citlalli-hernandez/una-nueva-conquista-ciudadana/1429117" TargetMode="External"/><Relationship Id="rId64" Type="http://schemas.openxmlformats.org/officeDocument/2006/relationships/hyperlink" Target="http://www.hrlegalcontable.com/" TargetMode="External"/><Relationship Id="rId63" Type="http://schemas.openxmlformats.org/officeDocument/2006/relationships/hyperlink" Target="http://www.facebook.com/herlindoalberto.roblesperez.9" TargetMode="External"/><Relationship Id="rId66" Type="http://schemas.openxmlformats.org/officeDocument/2006/relationships/hyperlink" Target="https://pbs.twimg.com/media/Esofrm9W4AI-hp1.jpg" TargetMode="External"/><Relationship Id="rId65" Type="http://schemas.openxmlformats.org/officeDocument/2006/relationships/hyperlink" Target="https://twitter.com/hmbrhrmg/status/1353929477290647554" TargetMode="External"/><Relationship Id="rId68" Type="http://schemas.openxmlformats.org/officeDocument/2006/relationships/hyperlink" Target="https://twitter.com/hmbrhrmg/status/1353928831577567234" TargetMode="External"/><Relationship Id="rId67" Type="http://schemas.openxmlformats.org/officeDocument/2006/relationships/hyperlink" Target="https://pbs.twimg.com/media/EsopquwVEAAKQMI.jpg" TargetMode="External"/><Relationship Id="rId60" Type="http://schemas.openxmlformats.org/officeDocument/2006/relationships/hyperlink" Target="https://castrogallegos.wordpress.com" TargetMode="External"/><Relationship Id="rId69" Type="http://schemas.openxmlformats.org/officeDocument/2006/relationships/hyperlink" Target="https://pbs.twimg.com/media/EsofGABXMAohimu.jpg" TargetMode="External"/><Relationship Id="rId51" Type="http://schemas.openxmlformats.org/officeDocument/2006/relationships/hyperlink" Target="https://www.excelsior.com.mx/" TargetMode="External"/><Relationship Id="rId50" Type="http://schemas.openxmlformats.org/officeDocument/2006/relationships/hyperlink" Target="https://pbs.twimg.com/media/EsqgcZiXEAE-Buk.png" TargetMode="External"/><Relationship Id="rId53" Type="http://schemas.openxmlformats.org/officeDocument/2006/relationships/hyperlink" Target="https://www.excelsior.com.mx/opinion/citlalli-hernandez/una-nueva-conquista-ciudadana/1429117" TargetMode="External"/><Relationship Id="rId52" Type="http://schemas.openxmlformats.org/officeDocument/2006/relationships/hyperlink" Target="https://twitter.com/Garcimonero/status/1353741453730701319" TargetMode="External"/><Relationship Id="rId55" Type="http://schemas.openxmlformats.org/officeDocument/2006/relationships/hyperlink" Target="https://ljz.mx/2021/01/25/mario-delgado-y-la-division-en-las-filas-de-morena-zacatecas/?platform=hootsuite" TargetMode="External"/><Relationship Id="rId54" Type="http://schemas.openxmlformats.org/officeDocument/2006/relationships/hyperlink" Target="https://manueldiaz.online/" TargetMode="External"/><Relationship Id="rId57" Type="http://schemas.openxmlformats.org/officeDocument/2006/relationships/hyperlink" Target="https://misionpolitica.com/2021/01/26/ardua-tarea-en-estados-unidos-borrar-las-imposiciones-de-trump/" TargetMode="External"/><Relationship Id="rId56" Type="http://schemas.openxmlformats.org/officeDocument/2006/relationships/hyperlink" Target="https://elpresentedelpasado.com/" TargetMode="External"/><Relationship Id="rId59" Type="http://schemas.openxmlformats.org/officeDocument/2006/relationships/hyperlink" Target="https://www.excelsior.com.mx/opinion/citlalli-hernandez/una-nueva-conquista-ciudadana/1429117" TargetMode="External"/><Relationship Id="rId58" Type="http://schemas.openxmlformats.org/officeDocument/2006/relationships/hyperlink" Target="http://www.misionpolitica.com" TargetMode="External"/><Relationship Id="rId107" Type="http://schemas.openxmlformats.org/officeDocument/2006/relationships/hyperlink" Target="http://espejohernandez.blogspot.com" TargetMode="External"/><Relationship Id="rId106" Type="http://schemas.openxmlformats.org/officeDocument/2006/relationships/hyperlink" Target="https://pbs.twimg.com/media/EsnjnTsUYAAf8G-.jpg" TargetMode="External"/><Relationship Id="rId105" Type="http://schemas.openxmlformats.org/officeDocument/2006/relationships/hyperlink" Target="http://medulafp.com" TargetMode="External"/><Relationship Id="rId104" Type="http://schemas.openxmlformats.org/officeDocument/2006/relationships/hyperlink" Target="https://www.facebook.com/MarthaBarraganMar" TargetMode="External"/><Relationship Id="rId109" Type="http://schemas.openxmlformats.org/officeDocument/2006/relationships/hyperlink" Target="http://facebook.com/JChimalhuacan/" TargetMode="External"/><Relationship Id="rId108" Type="http://schemas.openxmlformats.org/officeDocument/2006/relationships/hyperlink" Target="https://pbs.twimg.com/media/EsnhI-PW8AA7qfI.jpg" TargetMode="External"/><Relationship Id="rId103" Type="http://schemas.openxmlformats.org/officeDocument/2006/relationships/hyperlink" Target="https://pbs.twimg.com/media/EsnxuBlVcAUUIgC.jpg" TargetMode="External"/><Relationship Id="rId102" Type="http://schemas.openxmlformats.org/officeDocument/2006/relationships/hyperlink" Target="https://pbs.twimg.com/media/EsXbdNSXAAAiJ7M.jpg" TargetMode="External"/><Relationship Id="rId101" Type="http://schemas.openxmlformats.org/officeDocument/2006/relationships/hyperlink" Target="https://twitter.com/ErnestoViveros8/status/1352728564135849990" TargetMode="External"/><Relationship Id="rId100" Type="http://schemas.openxmlformats.org/officeDocument/2006/relationships/hyperlink" Target="https://pbs.twimg.com/media/Esn3f4MXcAAZdbY.jpg" TargetMode="External"/><Relationship Id="rId95" Type="http://schemas.openxmlformats.org/officeDocument/2006/relationships/hyperlink" Target="https://www.facebook.com/www.elentornopolitico.com.mx/" TargetMode="External"/><Relationship Id="rId94" Type="http://schemas.openxmlformats.org/officeDocument/2006/relationships/hyperlink" Target="https://pbs.twimg.com/media/EsoAqntU4AMLZCE.jpg" TargetMode="External"/><Relationship Id="rId97" Type="http://schemas.openxmlformats.org/officeDocument/2006/relationships/hyperlink" Target="https://pbs.twimg.com/media/Esn9HRwW4AAuIpW.jpg" TargetMode="External"/><Relationship Id="rId96" Type="http://schemas.openxmlformats.org/officeDocument/2006/relationships/hyperlink" Target="https://pbs.twimg.com/media/Esn-xQFXYAEnDDC.jpg" TargetMode="External"/><Relationship Id="rId99" Type="http://schemas.openxmlformats.org/officeDocument/2006/relationships/hyperlink" Target="https://pbs.twimg.com/media/Esn7bziW4AMgt97.jpg" TargetMode="External"/><Relationship Id="rId98" Type="http://schemas.openxmlformats.org/officeDocument/2006/relationships/hyperlink" Target="https://www.facebook.com/ErickReyesAO/" TargetMode="External"/><Relationship Id="rId91" Type="http://schemas.openxmlformats.org/officeDocument/2006/relationships/hyperlink" Target="http://pic.twitter.com/0I9J3HkKzk" TargetMode="External"/><Relationship Id="rId90" Type="http://schemas.openxmlformats.org/officeDocument/2006/relationships/hyperlink" Target="https://twitter.com/CitlaHM/status/1353857414899015681" TargetMode="External"/><Relationship Id="rId93" Type="http://schemas.openxmlformats.org/officeDocument/2006/relationships/hyperlink" Target="https://pbs.twimg.com/media/EsoFSZjXYAAYGWp.jpg" TargetMode="External"/><Relationship Id="rId92" Type="http://schemas.openxmlformats.org/officeDocument/2006/relationships/hyperlink" Target="https://fb.watch/3fd2iq5h87/" TargetMode="External"/><Relationship Id="rId117" Type="http://schemas.openxmlformats.org/officeDocument/2006/relationships/drawing" Target="../drawings/drawing10.xml"/><Relationship Id="rId116" Type="http://schemas.openxmlformats.org/officeDocument/2006/relationships/hyperlink" Target="https://pbs.twimg.com/media/Esm0IqTW8AE6wUq.jpg" TargetMode="External"/><Relationship Id="rId115" Type="http://schemas.openxmlformats.org/officeDocument/2006/relationships/hyperlink" Target="https://twitter.com/DivsexM/status/1353811225864376326" TargetMode="External"/><Relationship Id="rId119" Type="http://schemas.openxmlformats.org/officeDocument/2006/relationships/table" Target="../tables/table10.xml"/><Relationship Id="rId110" Type="http://schemas.openxmlformats.org/officeDocument/2006/relationships/hyperlink" Target="https://twitter.com/carlostorresf_/status/1353855531606274049" TargetMode="External"/><Relationship Id="rId114" Type="http://schemas.openxmlformats.org/officeDocument/2006/relationships/hyperlink" Target="https://vk.com/soymexicano_1" TargetMode="External"/><Relationship Id="rId113" Type="http://schemas.openxmlformats.org/officeDocument/2006/relationships/hyperlink" Target="https://twitter.com/Macruz76701932/status/1353738039835684864" TargetMode="External"/><Relationship Id="rId112" Type="http://schemas.openxmlformats.org/officeDocument/2006/relationships/hyperlink" Target="https://www.kamchatka.es/es/lolita-lebron-carcel-asaltar-capitolio-estados-unidos" TargetMode="External"/><Relationship Id="rId111" Type="http://schemas.openxmlformats.org/officeDocument/2006/relationships/hyperlink" Target="https://pbs.twimg.com/media/EsncbX_XIAArOVH.jpg" TargetMode="External"/></Relationships>
</file>

<file path=xl/worksheets/_rels/sheet11.xml.rels><?xml version="1.0" encoding="UTF-8" standalone="yes"?><Relationships xmlns="http://schemas.openxmlformats.org/package/2006/relationships"><Relationship Id="rId40" Type="http://schemas.openxmlformats.org/officeDocument/2006/relationships/hyperlink" Target="http://lillytellez.mx" TargetMode="External"/><Relationship Id="rId42" Type="http://schemas.openxmlformats.org/officeDocument/2006/relationships/hyperlink" Target="http://lillytellez.mx" TargetMode="External"/><Relationship Id="rId41" Type="http://schemas.openxmlformats.org/officeDocument/2006/relationships/hyperlink" Target="http://lillytellez.mx" TargetMode="External"/><Relationship Id="rId44" Type="http://schemas.openxmlformats.org/officeDocument/2006/relationships/hyperlink" Target="http://lillytellez.mx" TargetMode="External"/><Relationship Id="rId43" Type="http://schemas.openxmlformats.org/officeDocument/2006/relationships/hyperlink" Target="http://lillytellez.mx" TargetMode="External"/><Relationship Id="rId46" Type="http://schemas.openxmlformats.org/officeDocument/2006/relationships/hyperlink" Target="http://lillytellez.mx" TargetMode="External"/><Relationship Id="rId45" Type="http://schemas.openxmlformats.org/officeDocument/2006/relationships/hyperlink" Target="http://lillytellez.mx" TargetMode="External"/><Relationship Id="rId48" Type="http://schemas.openxmlformats.org/officeDocument/2006/relationships/hyperlink" Target="http://lillytellez.mx" TargetMode="External"/><Relationship Id="rId47" Type="http://schemas.openxmlformats.org/officeDocument/2006/relationships/hyperlink" Target="http://lillytellez.mx" TargetMode="External"/><Relationship Id="rId49" Type="http://schemas.openxmlformats.org/officeDocument/2006/relationships/hyperlink" Target="http://lillytellez.mx" TargetMode="External"/><Relationship Id="rId31" Type="http://schemas.openxmlformats.org/officeDocument/2006/relationships/hyperlink" Target="http://lillytellez.mx" TargetMode="External"/><Relationship Id="rId30" Type="http://schemas.openxmlformats.org/officeDocument/2006/relationships/hyperlink" Target="https://pbs.twimg.com/media/EsQ-notVEAAnGC8.jpg" TargetMode="External"/><Relationship Id="rId33" Type="http://schemas.openxmlformats.org/officeDocument/2006/relationships/hyperlink" Target="http://lillytellez.mx" TargetMode="External"/><Relationship Id="rId32" Type="http://schemas.openxmlformats.org/officeDocument/2006/relationships/hyperlink" Target="http://lillytellez.mx" TargetMode="External"/><Relationship Id="rId35" Type="http://schemas.openxmlformats.org/officeDocument/2006/relationships/hyperlink" Target="http://lillytellez.mx" TargetMode="External"/><Relationship Id="rId34" Type="http://schemas.openxmlformats.org/officeDocument/2006/relationships/hyperlink" Target="https://pbs.twimg.com/media/EsM7zNFUYAAPrmE.jpg" TargetMode="External"/><Relationship Id="rId37" Type="http://schemas.openxmlformats.org/officeDocument/2006/relationships/hyperlink" Target="http://lillytellez.mx" TargetMode="External"/><Relationship Id="rId36" Type="http://schemas.openxmlformats.org/officeDocument/2006/relationships/hyperlink" Target="https://pbs.twimg.com/media/EsJifaNVEAARhkp.jpg" TargetMode="External"/><Relationship Id="rId39" Type="http://schemas.openxmlformats.org/officeDocument/2006/relationships/hyperlink" Target="http://lillytellez.mx" TargetMode="External"/><Relationship Id="rId38" Type="http://schemas.openxmlformats.org/officeDocument/2006/relationships/hyperlink" Target="https://pbs.twimg.com/media/EsHAn_BVoAAP2Yn.jpg" TargetMode="External"/><Relationship Id="rId20" Type="http://schemas.openxmlformats.org/officeDocument/2006/relationships/hyperlink" Target="http://lillytellez.mx" TargetMode="External"/><Relationship Id="rId22" Type="http://schemas.openxmlformats.org/officeDocument/2006/relationships/hyperlink" Target="http://lillytellez.mx" TargetMode="External"/><Relationship Id="rId21" Type="http://schemas.openxmlformats.org/officeDocument/2006/relationships/hyperlink" Target="https://pbs.twimg.com/media/EsllqbmU0AAoGYe.jpg" TargetMode="External"/><Relationship Id="rId24" Type="http://schemas.openxmlformats.org/officeDocument/2006/relationships/hyperlink" Target="http://lillytellez.mx" TargetMode="External"/><Relationship Id="rId23" Type="http://schemas.openxmlformats.org/officeDocument/2006/relationships/hyperlink" Target="https://www.eluniversal.com.mx/opinion/hector-de-mauleon/la-tumba-de-gatell" TargetMode="External"/><Relationship Id="rId26" Type="http://schemas.openxmlformats.org/officeDocument/2006/relationships/hyperlink" Target="https://www.milenio.com/opinion/ricardo-raphael/politica-zoom/un-dano-irreparable" TargetMode="External"/><Relationship Id="rId25" Type="http://schemas.openxmlformats.org/officeDocument/2006/relationships/hyperlink" Target="http://lillytellez.mx" TargetMode="External"/><Relationship Id="rId28" Type="http://schemas.openxmlformats.org/officeDocument/2006/relationships/hyperlink" Target="http://lillytellez.mx" TargetMode="External"/><Relationship Id="rId27" Type="http://schemas.openxmlformats.org/officeDocument/2006/relationships/hyperlink" Target="http://lillytellez.mx" TargetMode="External"/><Relationship Id="rId29" Type="http://schemas.openxmlformats.org/officeDocument/2006/relationships/hyperlink" Target="http://lillytellez.mx" TargetMode="External"/><Relationship Id="rId11" Type="http://schemas.openxmlformats.org/officeDocument/2006/relationships/hyperlink" Target="http://lillytellez.mx" TargetMode="External"/><Relationship Id="rId10" Type="http://schemas.openxmlformats.org/officeDocument/2006/relationships/hyperlink" Target="https://www.milenio.com/internacional/angela-merkel-impulsara-aval-vacuna-rusa" TargetMode="External"/><Relationship Id="rId13" Type="http://schemas.openxmlformats.org/officeDocument/2006/relationships/hyperlink" Target="http://lillytellez.mx" TargetMode="External"/><Relationship Id="rId12" Type="http://schemas.openxmlformats.org/officeDocument/2006/relationships/hyperlink" Target="http://lillytellez.mx" TargetMode="External"/><Relationship Id="rId15" Type="http://schemas.openxmlformats.org/officeDocument/2006/relationships/hyperlink" Target="http://lillytellez.mx" TargetMode="External"/><Relationship Id="rId14" Type="http://schemas.openxmlformats.org/officeDocument/2006/relationships/hyperlink" Target="https://twitter.com/drpacomoreno1/status/1353899275416199169" TargetMode="External"/><Relationship Id="rId17" Type="http://schemas.openxmlformats.org/officeDocument/2006/relationships/hyperlink" Target="http://lillytellez.mx" TargetMode="External"/><Relationship Id="rId16" Type="http://schemas.openxmlformats.org/officeDocument/2006/relationships/hyperlink" Target="http://lillytellez.mx" TargetMode="External"/><Relationship Id="rId19" Type="http://schemas.openxmlformats.org/officeDocument/2006/relationships/hyperlink" Target="http://lillytellez.mx" TargetMode="External"/><Relationship Id="rId18" Type="http://schemas.openxmlformats.org/officeDocument/2006/relationships/hyperlink" Target="http://lillytellez.mx" TargetMode="External"/><Relationship Id="rId84" Type="http://schemas.openxmlformats.org/officeDocument/2006/relationships/hyperlink" Target="http://lillytellez.mx" TargetMode="External"/><Relationship Id="rId83" Type="http://schemas.openxmlformats.org/officeDocument/2006/relationships/hyperlink" Target="http://lillytellez.mx" TargetMode="External"/><Relationship Id="rId86" Type="http://schemas.openxmlformats.org/officeDocument/2006/relationships/hyperlink" Target="http://lillytellez.mx" TargetMode="External"/><Relationship Id="rId85" Type="http://schemas.openxmlformats.org/officeDocument/2006/relationships/hyperlink" Target="http://lillytellez.mx" TargetMode="External"/><Relationship Id="rId87" Type="http://schemas.openxmlformats.org/officeDocument/2006/relationships/drawing" Target="../drawings/drawing11.xml"/><Relationship Id="rId89" Type="http://schemas.openxmlformats.org/officeDocument/2006/relationships/table" Target="../tables/table11.xml"/><Relationship Id="rId80" Type="http://schemas.openxmlformats.org/officeDocument/2006/relationships/hyperlink" Target="http://lillytellez.mx" TargetMode="External"/><Relationship Id="rId82" Type="http://schemas.openxmlformats.org/officeDocument/2006/relationships/hyperlink" Target="http://lillytellez.mx" TargetMode="External"/><Relationship Id="rId81" Type="http://schemas.openxmlformats.org/officeDocument/2006/relationships/hyperlink" Target="http://lillytellez.mx" TargetMode="External"/><Relationship Id="rId1" Type="http://schemas.openxmlformats.org/officeDocument/2006/relationships/hyperlink" Target="http://lillytellez.mx" TargetMode="External"/><Relationship Id="rId2" Type="http://schemas.openxmlformats.org/officeDocument/2006/relationships/hyperlink" Target="http://pic.twitter.com/FtTBVOYbMn" TargetMode="External"/><Relationship Id="rId3" Type="http://schemas.openxmlformats.org/officeDocument/2006/relationships/hyperlink" Target="http://lillytellez.mx" TargetMode="External"/><Relationship Id="rId4" Type="http://schemas.openxmlformats.org/officeDocument/2006/relationships/hyperlink" Target="http://lillytellez.mx" TargetMode="External"/><Relationship Id="rId9" Type="http://schemas.openxmlformats.org/officeDocument/2006/relationships/hyperlink" Target="http://lillytellez.mx" TargetMode="External"/><Relationship Id="rId5" Type="http://schemas.openxmlformats.org/officeDocument/2006/relationships/hyperlink" Target="https://www.eluniversal.com.mx/mundo/lo-peor-esta-por-venir-advierte-angela-merkel-sobre-pandemia-covid-19" TargetMode="External"/><Relationship Id="rId6" Type="http://schemas.openxmlformats.org/officeDocument/2006/relationships/hyperlink" Target="http://lillytellez.mx" TargetMode="External"/><Relationship Id="rId7" Type="http://schemas.openxmlformats.org/officeDocument/2006/relationships/hyperlink" Target="https://twitter.com/rodriguezmonos/status/1353978807007535109" TargetMode="External"/><Relationship Id="rId8" Type="http://schemas.openxmlformats.org/officeDocument/2006/relationships/hyperlink" Target="https://pbs.twimg.com/media/EspLl9HXYAALLtK.jpg" TargetMode="External"/><Relationship Id="rId73" Type="http://schemas.openxmlformats.org/officeDocument/2006/relationships/hyperlink" Target="http://lillytellez.mx" TargetMode="External"/><Relationship Id="rId72" Type="http://schemas.openxmlformats.org/officeDocument/2006/relationships/hyperlink" Target="http://lillytellez.mx" TargetMode="External"/><Relationship Id="rId75" Type="http://schemas.openxmlformats.org/officeDocument/2006/relationships/hyperlink" Target="http://lillytellez.mx" TargetMode="External"/><Relationship Id="rId74" Type="http://schemas.openxmlformats.org/officeDocument/2006/relationships/hyperlink" Target="http://lillytellez.mx" TargetMode="External"/><Relationship Id="rId77" Type="http://schemas.openxmlformats.org/officeDocument/2006/relationships/hyperlink" Target="http://lillytellez.mx" TargetMode="External"/><Relationship Id="rId76" Type="http://schemas.openxmlformats.org/officeDocument/2006/relationships/hyperlink" Target="http://lillytellez.mx" TargetMode="External"/><Relationship Id="rId79" Type="http://schemas.openxmlformats.org/officeDocument/2006/relationships/hyperlink" Target="http://lillytellez.mx" TargetMode="External"/><Relationship Id="rId78" Type="http://schemas.openxmlformats.org/officeDocument/2006/relationships/hyperlink" Target="http://lillytellez.mx" TargetMode="External"/><Relationship Id="rId71" Type="http://schemas.openxmlformats.org/officeDocument/2006/relationships/hyperlink" Target="http://lillytellez.mx" TargetMode="External"/><Relationship Id="rId70" Type="http://schemas.openxmlformats.org/officeDocument/2006/relationships/hyperlink" Target="http://lillytellez.mx" TargetMode="External"/><Relationship Id="rId62" Type="http://schemas.openxmlformats.org/officeDocument/2006/relationships/hyperlink" Target="http://lillytellez.mx" TargetMode="External"/><Relationship Id="rId61" Type="http://schemas.openxmlformats.org/officeDocument/2006/relationships/hyperlink" Target="http://lillytellez.mx" TargetMode="External"/><Relationship Id="rId64" Type="http://schemas.openxmlformats.org/officeDocument/2006/relationships/hyperlink" Target="http://lillytellez.mx" TargetMode="External"/><Relationship Id="rId63" Type="http://schemas.openxmlformats.org/officeDocument/2006/relationships/hyperlink" Target="http://lillytellez.mx" TargetMode="External"/><Relationship Id="rId66" Type="http://schemas.openxmlformats.org/officeDocument/2006/relationships/hyperlink" Target="http://lillytellez.mx" TargetMode="External"/><Relationship Id="rId65" Type="http://schemas.openxmlformats.org/officeDocument/2006/relationships/hyperlink" Target="http://lillytellez.mx" TargetMode="External"/><Relationship Id="rId68" Type="http://schemas.openxmlformats.org/officeDocument/2006/relationships/hyperlink" Target="http://lillytellez.mx" TargetMode="External"/><Relationship Id="rId67" Type="http://schemas.openxmlformats.org/officeDocument/2006/relationships/hyperlink" Target="http://lillytellez.mx" TargetMode="External"/><Relationship Id="rId60" Type="http://schemas.openxmlformats.org/officeDocument/2006/relationships/hyperlink" Target="http://lillytellez.mx" TargetMode="External"/><Relationship Id="rId69" Type="http://schemas.openxmlformats.org/officeDocument/2006/relationships/hyperlink" Target="http://lillytellez.mx" TargetMode="External"/><Relationship Id="rId51" Type="http://schemas.openxmlformats.org/officeDocument/2006/relationships/hyperlink" Target="http://lillytellez.mx" TargetMode="External"/><Relationship Id="rId50" Type="http://schemas.openxmlformats.org/officeDocument/2006/relationships/hyperlink" Target="http://lillytellez.mx" TargetMode="External"/><Relationship Id="rId53" Type="http://schemas.openxmlformats.org/officeDocument/2006/relationships/hyperlink" Target="http://lillytellez.mx" TargetMode="External"/><Relationship Id="rId52" Type="http://schemas.openxmlformats.org/officeDocument/2006/relationships/hyperlink" Target="http://lillytellez.mx" TargetMode="External"/><Relationship Id="rId55" Type="http://schemas.openxmlformats.org/officeDocument/2006/relationships/hyperlink" Target="http://lillytellez.mx" TargetMode="External"/><Relationship Id="rId54" Type="http://schemas.openxmlformats.org/officeDocument/2006/relationships/hyperlink" Target="http://lillytellez.mx" TargetMode="External"/><Relationship Id="rId57" Type="http://schemas.openxmlformats.org/officeDocument/2006/relationships/hyperlink" Target="http://28.se" TargetMode="External"/><Relationship Id="rId56" Type="http://schemas.openxmlformats.org/officeDocument/2006/relationships/hyperlink" Target="http://lillytellez.mx" TargetMode="External"/><Relationship Id="rId59" Type="http://schemas.openxmlformats.org/officeDocument/2006/relationships/hyperlink" Target="http://lillytellez.mx" TargetMode="External"/><Relationship Id="rId58" Type="http://schemas.openxmlformats.org/officeDocument/2006/relationships/hyperlink" Target="http://lillytellez.mx" TargetMode="External"/></Relationships>
</file>

<file path=xl/worksheets/_rels/sheet12.xml.rels><?xml version="1.0" encoding="UTF-8" standalone="yes"?><Relationships xmlns="http://schemas.openxmlformats.org/package/2006/relationships"><Relationship Id="rId40" Type="http://schemas.openxmlformats.org/officeDocument/2006/relationships/hyperlink" Target="http://www.senado.gob.mx/64/senador/1071" TargetMode="External"/><Relationship Id="rId42" Type="http://schemas.openxmlformats.org/officeDocument/2006/relationships/hyperlink" Target="http://tenejapanboy.wordpress.com" TargetMode="External"/><Relationship Id="rId41" Type="http://schemas.openxmlformats.org/officeDocument/2006/relationships/hyperlink" Target="https://twitter.com/salgado_juvenal/status/1354125515557232640" TargetMode="External"/><Relationship Id="rId44" Type="http://schemas.openxmlformats.org/officeDocument/2006/relationships/hyperlink" Target="https://twitter.com/evayflork1/status/1354012035286142976" TargetMode="External"/><Relationship Id="rId43" Type="http://schemas.openxmlformats.org/officeDocument/2006/relationships/hyperlink" Target="https://pbs.twimg.com/media/EsrmSkoUYAA6dJR.jpg" TargetMode="External"/><Relationship Id="rId46" Type="http://schemas.openxmlformats.org/officeDocument/2006/relationships/hyperlink" Target="https://twitter.com/Matador08640286/status/1354079275440349188" TargetMode="External"/><Relationship Id="rId45" Type="http://schemas.openxmlformats.org/officeDocument/2006/relationships/hyperlink" Target="https://pbs.twimg.com/media/EspqxOrUUAAMzHA.jpg" TargetMode="External"/><Relationship Id="rId48" Type="http://schemas.openxmlformats.org/officeDocument/2006/relationships/hyperlink" Target="https://twitter.com/JD_shoe/status/1353908301893754881" TargetMode="External"/><Relationship Id="rId47" Type="http://schemas.openxmlformats.org/officeDocument/2006/relationships/hyperlink" Target="https://pbs.twimg.com/media/Esqn7MKXYAISM-O.jpg" TargetMode="External"/><Relationship Id="rId49" Type="http://schemas.openxmlformats.org/officeDocument/2006/relationships/hyperlink" Target="https://pbs.twimg.com/media/EsoMa1TUwAMniQN.jpg" TargetMode="External"/><Relationship Id="rId31" Type="http://schemas.openxmlformats.org/officeDocument/2006/relationships/hyperlink" Target="http://pic.twitter.com/LpTCPK53sC" TargetMode="External"/><Relationship Id="rId30" Type="http://schemas.openxmlformats.org/officeDocument/2006/relationships/hyperlink" Target="http://instagram.com/arturo_huerta" TargetMode="External"/><Relationship Id="rId33" Type="http://schemas.openxmlformats.org/officeDocument/2006/relationships/hyperlink" Target="https://pbs.twimg.com/media/EsoDmteXIAAUo-s.jpg" TargetMode="External"/><Relationship Id="rId32" Type="http://schemas.openxmlformats.org/officeDocument/2006/relationships/hyperlink" Target="https://twitter.com/SadimLopez/status/1353898603216044032" TargetMode="External"/><Relationship Id="rId35" Type="http://schemas.openxmlformats.org/officeDocument/2006/relationships/hyperlink" Target="https://twitter.com/jaretos/status/1354067051598340096" TargetMode="External"/><Relationship Id="rId34" Type="http://schemas.openxmlformats.org/officeDocument/2006/relationships/hyperlink" Target="https://pbs.twimg.com/media/EsrnU2OUUAEuzEd.jpg" TargetMode="External"/><Relationship Id="rId37" Type="http://schemas.openxmlformats.org/officeDocument/2006/relationships/hyperlink" Target="https://twitter.com/LeonKrauze/status/1354099179530776576" TargetMode="External"/><Relationship Id="rId36" Type="http://schemas.openxmlformats.org/officeDocument/2006/relationships/hyperlink" Target="https://pbs.twimg.com/media/Esqcza7VEAcb2lL.jpg" TargetMode="External"/><Relationship Id="rId39" Type="http://schemas.openxmlformats.org/officeDocument/2006/relationships/hyperlink" Target="https://twitter.com/lillytellez/status/1354146659102466049" TargetMode="External"/><Relationship Id="rId38" Type="http://schemas.openxmlformats.org/officeDocument/2006/relationships/hyperlink" Target="https://twitter.com/rochaperiodista/status/1354077861464973314" TargetMode="External"/><Relationship Id="rId20" Type="http://schemas.openxmlformats.org/officeDocument/2006/relationships/hyperlink" Target="https://pbs.twimg.com/media/EsroC2vXIAE7cTz.jpg" TargetMode="External"/><Relationship Id="rId22" Type="http://schemas.openxmlformats.org/officeDocument/2006/relationships/hyperlink" Target="http://www.youtube.com/SinCensuraMedia" TargetMode="External"/><Relationship Id="rId21" Type="http://schemas.openxmlformats.org/officeDocument/2006/relationships/hyperlink" Target="https://youtu.be/w5XGzOkGS7Q" TargetMode="External"/><Relationship Id="rId24" Type="http://schemas.openxmlformats.org/officeDocument/2006/relationships/hyperlink" Target="http://pic.twitter.com/viiliUFUf6" TargetMode="External"/><Relationship Id="rId23" Type="http://schemas.openxmlformats.org/officeDocument/2006/relationships/hyperlink" Target="https://pbs.twimg.com/media/Esrn5xCXYAQUOap.jpg" TargetMode="External"/><Relationship Id="rId26" Type="http://schemas.openxmlformats.org/officeDocument/2006/relationships/hyperlink" Target="https://twitter.com/noti_beka/status/1354148706996596736" TargetMode="External"/><Relationship Id="rId25" Type="http://schemas.openxmlformats.org/officeDocument/2006/relationships/hyperlink" Target="http://nicolascorte.tumblr.com/" TargetMode="External"/><Relationship Id="rId28" Type="http://schemas.openxmlformats.org/officeDocument/2006/relationships/hyperlink" Target="https://twitter.com/dw_espanol/status/1354115634913812481" TargetMode="External"/><Relationship Id="rId27" Type="http://schemas.openxmlformats.org/officeDocument/2006/relationships/hyperlink" Target="http://pic.twitter.com/mYWyfwtRUT" TargetMode="External"/><Relationship Id="rId29" Type="http://schemas.openxmlformats.org/officeDocument/2006/relationships/hyperlink" Target="https://pbs.twimg.com/media/Esq8MznXEAEp3IB.jpg" TargetMode="External"/><Relationship Id="rId11" Type="http://schemas.openxmlformats.org/officeDocument/2006/relationships/hyperlink" Target="https://www.facebook.com/DEI-253649804807053/" TargetMode="External"/><Relationship Id="rId10" Type="http://schemas.openxmlformats.org/officeDocument/2006/relationships/hyperlink" Target="https://pbs.twimg.com/media/EsrpD-YXMAAmhPu.jpg" TargetMode="External"/><Relationship Id="rId13" Type="http://schemas.openxmlformats.org/officeDocument/2006/relationships/hyperlink" Target="https://pbs.twimg.com/media/Esq2eT7XMAI-woF.jpg" TargetMode="External"/><Relationship Id="rId12" Type="http://schemas.openxmlformats.org/officeDocument/2006/relationships/hyperlink" Target="https://twitter.com/SamyAlvarezGtz/status/1354095271890751495" TargetMode="External"/><Relationship Id="rId15" Type="http://schemas.openxmlformats.org/officeDocument/2006/relationships/hyperlink" Target="https://twitter.com/camaney19/status/1354135336163618822" TargetMode="External"/><Relationship Id="rId14" Type="http://schemas.openxmlformats.org/officeDocument/2006/relationships/hyperlink" Target="http://www.senado.gob.mx/64/senador/1071" TargetMode="External"/><Relationship Id="rId17" Type="http://schemas.openxmlformats.org/officeDocument/2006/relationships/hyperlink" Target="https://pbs.twimg.com/media/EsrofKZW8AAJSnZ.jpg" TargetMode="External"/><Relationship Id="rId16" Type="http://schemas.openxmlformats.org/officeDocument/2006/relationships/hyperlink" Target="http://pic.twitter.com/WzjgIAdzRn" TargetMode="External"/><Relationship Id="rId19" Type="http://schemas.openxmlformats.org/officeDocument/2006/relationships/hyperlink" Target="https://www.youtube.com/channel/UCAbKORztxHcvLXQ8akhzINA?view_as=subscriber" TargetMode="External"/><Relationship Id="rId18" Type="http://schemas.openxmlformats.org/officeDocument/2006/relationships/hyperlink" Target="https://pbs.twimg.com/media/EsroZm6XEAE7kej.jpg" TargetMode="External"/><Relationship Id="rId84" Type="http://schemas.openxmlformats.org/officeDocument/2006/relationships/hyperlink" Target="https://www.facebook.com/TuisteryBenditasRedes" TargetMode="External"/><Relationship Id="rId83" Type="http://schemas.openxmlformats.org/officeDocument/2006/relationships/hyperlink" Target="https://twitter.com/LillyTellez/status/1354074671411458048" TargetMode="External"/><Relationship Id="rId86" Type="http://schemas.openxmlformats.org/officeDocument/2006/relationships/hyperlink" Target="https://pbs.twimg.com/media/EsrSkZ1WMAA65KS.jpg" TargetMode="External"/><Relationship Id="rId85" Type="http://schemas.openxmlformats.org/officeDocument/2006/relationships/hyperlink" Target="https://twitter.com/AntonioAttolini/status/1354126166358163456" TargetMode="External"/><Relationship Id="rId88" Type="http://schemas.openxmlformats.org/officeDocument/2006/relationships/hyperlink" Target="http://www.eluniversal.com.mx" TargetMode="External"/><Relationship Id="rId87" Type="http://schemas.openxmlformats.org/officeDocument/2006/relationships/hyperlink" Target="https://www.youtube.com/watch?v=_CuB9PODZmg" TargetMode="External"/><Relationship Id="rId89" Type="http://schemas.openxmlformats.org/officeDocument/2006/relationships/hyperlink" Target="https://www.sdpnoticias.com/internacional/plitidepsina-medicamento-antiviral-reduce-99-por-ciento-carga-viral-coronavirus-covid-19-pharmamar.html" TargetMode="External"/><Relationship Id="rId80" Type="http://schemas.openxmlformats.org/officeDocument/2006/relationships/hyperlink" Target="https://twitter.com/cristianlpz_trc/status/1354143659843674112" TargetMode="External"/><Relationship Id="rId82" Type="http://schemas.openxmlformats.org/officeDocument/2006/relationships/hyperlink" Target="http://www.senado.gob.mx/64/senador/1071" TargetMode="External"/><Relationship Id="rId81" Type="http://schemas.openxmlformats.org/officeDocument/2006/relationships/hyperlink" Target="http://www.senado.gob.mx/64/senador/1071" TargetMode="External"/><Relationship Id="rId1" Type="http://schemas.openxmlformats.org/officeDocument/2006/relationships/hyperlink" Target="https://pbs.twimg.com/media/Esrq6euXAAEk_e1.jpg" TargetMode="External"/><Relationship Id="rId2" Type="http://schemas.openxmlformats.org/officeDocument/2006/relationships/hyperlink" Target="http://www.senado.gob.mx/64/senador/1071" TargetMode="External"/><Relationship Id="rId3" Type="http://schemas.openxmlformats.org/officeDocument/2006/relationships/hyperlink" Target="https://www.facebook.com/TuisteryBenditasRedes" TargetMode="External"/><Relationship Id="rId4" Type="http://schemas.openxmlformats.org/officeDocument/2006/relationships/hyperlink" Target="https://www.facebook.com/100028434450300/posts/552881915669619/?sfnsn=scwspmo" TargetMode="External"/><Relationship Id="rId9" Type="http://schemas.openxmlformats.org/officeDocument/2006/relationships/hyperlink" Target="https://pbs.twimg.com/media/Esq-Z2KXUAElEHI.jpg" TargetMode="External"/><Relationship Id="rId5" Type="http://schemas.openxmlformats.org/officeDocument/2006/relationships/hyperlink" Target="https://pbs.twimg.com/media/EsrpsnyXMAUdlFF.jpg" TargetMode="External"/><Relationship Id="rId6" Type="http://schemas.openxmlformats.org/officeDocument/2006/relationships/hyperlink" Target="https://pbs.twimg.com/media/EsrpkjkU4AA1sxi.jpg" TargetMode="External"/><Relationship Id="rId7" Type="http://schemas.openxmlformats.org/officeDocument/2006/relationships/hyperlink" Target="https://twitter.com/AitorValls20/status/1354091446014382080" TargetMode="External"/><Relationship Id="rId8" Type="http://schemas.openxmlformats.org/officeDocument/2006/relationships/hyperlink" Target="https://twitter.com/AitorValls20/status/1354103994415722498" TargetMode="External"/><Relationship Id="rId73" Type="http://schemas.openxmlformats.org/officeDocument/2006/relationships/hyperlink" Target="https://pbs.twimg.com/media/EsrUXLuXAAM5N15.jpg" TargetMode="External"/><Relationship Id="rId72" Type="http://schemas.openxmlformats.org/officeDocument/2006/relationships/hyperlink" Target="https://twitter.com/AlExCoL06/status/1354140974222598149" TargetMode="External"/><Relationship Id="rId75" Type="http://schemas.openxmlformats.org/officeDocument/2006/relationships/hyperlink" Target="https://twitter.com/lillytellez/status/1354114779095343110" TargetMode="External"/><Relationship Id="rId74" Type="http://schemas.openxmlformats.org/officeDocument/2006/relationships/hyperlink" Target="http://www.dsausa.org" TargetMode="External"/><Relationship Id="rId77" Type="http://schemas.openxmlformats.org/officeDocument/2006/relationships/hyperlink" Target="https://pbs.twimg.com/media/EsrjK33U0AAfErr.jpg" TargetMode="External"/><Relationship Id="rId76" Type="http://schemas.openxmlformats.org/officeDocument/2006/relationships/hyperlink" Target="https://mx.linkedin.com/in/fernandobelaunzaran" TargetMode="External"/><Relationship Id="rId79" Type="http://schemas.openxmlformats.org/officeDocument/2006/relationships/hyperlink" Target="http://mauceballos71.wordpress.com" TargetMode="External"/><Relationship Id="rId78" Type="http://schemas.openxmlformats.org/officeDocument/2006/relationships/hyperlink" Target="https://twitter.com/atameAti/status/1354137388210147329" TargetMode="External"/><Relationship Id="rId71" Type="http://schemas.openxmlformats.org/officeDocument/2006/relationships/hyperlink" Target="http://tenejapanboy.wordpress.com" TargetMode="External"/><Relationship Id="rId70" Type="http://schemas.openxmlformats.org/officeDocument/2006/relationships/hyperlink" Target="https://pbs.twimg.com/media/Esrj1J2U4AALhuX.jpg" TargetMode="External"/><Relationship Id="rId62" Type="http://schemas.openxmlformats.org/officeDocument/2006/relationships/hyperlink" Target="http://www.senado.gob.mx/64/senador/1071" TargetMode="External"/><Relationship Id="rId61" Type="http://schemas.openxmlformats.org/officeDocument/2006/relationships/hyperlink" Target="https://twitter.com/LeonKrauze/status/1354099179530776576" TargetMode="External"/><Relationship Id="rId64" Type="http://schemas.openxmlformats.org/officeDocument/2006/relationships/hyperlink" Target="https://twitter.com/samyalvarezgtz/status/1354095271890751495" TargetMode="External"/><Relationship Id="rId63" Type="http://schemas.openxmlformats.org/officeDocument/2006/relationships/hyperlink" Target="https://twitter.com/CaraveoBertha/status/1354129319900057600" TargetMode="External"/><Relationship Id="rId66" Type="http://schemas.openxmlformats.org/officeDocument/2006/relationships/hyperlink" Target="https://www.google.com.mx/amp/s/www.latimes.com/espanol/california/articulo/2020-12-14/muchas-cosas-son-diferentes-cuando-esta%3f_amp=true" TargetMode="External"/><Relationship Id="rId65" Type="http://schemas.openxmlformats.org/officeDocument/2006/relationships/hyperlink" Target="https://pbs.twimg.com/media/Esq2eT7XMAI-woF.jpg" TargetMode="External"/><Relationship Id="rId68" Type="http://schemas.openxmlformats.org/officeDocument/2006/relationships/hyperlink" Target="https://twitter.com/chucho_neto/status/1341791152731791361" TargetMode="External"/><Relationship Id="rId67" Type="http://schemas.openxmlformats.org/officeDocument/2006/relationships/hyperlink" Target="http://www.flickr.com/photos/aacevedoa67" TargetMode="External"/><Relationship Id="rId60" Type="http://schemas.openxmlformats.org/officeDocument/2006/relationships/hyperlink" Target="https://www.youtube.com/channel/UCAbKORztxHcvLXQ8akhzINA?view_as=subscriber" TargetMode="External"/><Relationship Id="rId69" Type="http://schemas.openxmlformats.org/officeDocument/2006/relationships/hyperlink" Target="https://pbs.twimg.com/media/EsrDp5vXUAAcGB3.jpg" TargetMode="External"/><Relationship Id="rId51" Type="http://schemas.openxmlformats.org/officeDocument/2006/relationships/hyperlink" Target="https://twitter.com/MalthusGamba/status/1354077253265747968" TargetMode="External"/><Relationship Id="rId50" Type="http://schemas.openxmlformats.org/officeDocument/2006/relationships/hyperlink" Target="https://vm.tiktok.com/ZMJEhCVvP/" TargetMode="External"/><Relationship Id="rId53" Type="http://schemas.openxmlformats.org/officeDocument/2006/relationships/hyperlink" Target="http://tenejapanboy.wordpress.com" TargetMode="External"/><Relationship Id="rId52" Type="http://schemas.openxmlformats.org/officeDocument/2006/relationships/hyperlink" Target="https://pbs.twimg.com/media/Esrl3rkVEAAOYro.jpg" TargetMode="External"/><Relationship Id="rId55" Type="http://schemas.openxmlformats.org/officeDocument/2006/relationships/hyperlink" Target="https://twitter.com/dw_espanol/status/1354115634913812481" TargetMode="External"/><Relationship Id="rId54" Type="http://schemas.openxmlformats.org/officeDocument/2006/relationships/hyperlink" Target="https://twitter.com/Erikamelonheart/status/1353936836935245824" TargetMode="External"/><Relationship Id="rId57" Type="http://schemas.openxmlformats.org/officeDocument/2006/relationships/hyperlink" Target="https://twitter.com/LillyTellez/status/1354079501110681606" TargetMode="External"/><Relationship Id="rId56" Type="http://schemas.openxmlformats.org/officeDocument/2006/relationships/hyperlink" Target="https://pbs.twimg.com/media/Esq8MznXEAEp3IB.jpg" TargetMode="External"/><Relationship Id="rId59" Type="http://schemas.openxmlformats.org/officeDocument/2006/relationships/hyperlink" Target="https://pbs.twimg.com/media/EsrlBzTWMAgBPt-.jpg" TargetMode="External"/><Relationship Id="rId58" Type="http://schemas.openxmlformats.org/officeDocument/2006/relationships/hyperlink" Target="http://www.senado.gob.mx/64/senador/1071" TargetMode="External"/><Relationship Id="rId94" Type="http://schemas.openxmlformats.org/officeDocument/2006/relationships/drawing" Target="../drawings/drawing12.xml"/><Relationship Id="rId96" Type="http://schemas.openxmlformats.org/officeDocument/2006/relationships/table" Target="../tables/table12.xml"/><Relationship Id="rId91" Type="http://schemas.openxmlformats.org/officeDocument/2006/relationships/hyperlink" Target="https://www.google.com.mx/amp/s/www.latimes.com/espanol/california/articulo/2020-12-14/muchas-cosas-son-diferentes-cuando-esta%3f_amp=true" TargetMode="External"/><Relationship Id="rId90" Type="http://schemas.openxmlformats.org/officeDocument/2006/relationships/hyperlink" Target="https://pbs.twimg.com/media/Esrh_OmXEAQRSbG.jpg" TargetMode="External"/><Relationship Id="rId93" Type="http://schemas.openxmlformats.org/officeDocument/2006/relationships/hyperlink" Target="https://twitter.com/LillyTellez/status/1353741627576127490" TargetMode="External"/><Relationship Id="rId92" Type="http://schemas.openxmlformats.org/officeDocument/2006/relationships/hyperlink" Target="https://pbs.twimg.com/media/EsrhvwsXIAYEv0E.jpg"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0</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44222.525729166664</v>
      </c>
      <c r="B3" s="9" t="str">
        <f t="shared" ref="B3:B102" si="1">HYPERLINK("https://twitter.com/azucenau","@azucenau")</f>
        <v>@azucenau</v>
      </c>
      <c r="C3" s="10" t="s">
        <v>21</v>
      </c>
      <c r="D3" s="10" t="s">
        <v>22</v>
      </c>
      <c r="E3" s="9" t="str">
        <f>HYPERLINK("https://twitter.com/azucenau/status/1354136283262705671","1354136283262705671")</f>
        <v>1354136283262705671</v>
      </c>
      <c r="F3" s="11" t="s">
        <v>23</v>
      </c>
      <c r="G3" s="12"/>
      <c r="H3" s="12"/>
      <c r="I3" s="13">
        <v>9.0</v>
      </c>
      <c r="J3" s="13">
        <v>29.0</v>
      </c>
      <c r="K3" s="9" t="str">
        <f t="shared" ref="K3:K5" si="2">HYPERLINK("http://twitter.com/download/iphone","Twitter for iPhone")</f>
        <v>Twitter for iPhone</v>
      </c>
      <c r="L3" s="14">
        <v>337894.0</v>
      </c>
      <c r="M3" s="14">
        <v>2999.0</v>
      </c>
      <c r="N3" s="14">
        <v>1093.0</v>
      </c>
      <c r="O3" s="15" t="s">
        <v>24</v>
      </c>
      <c r="P3" s="16">
        <v>40148.55200231481</v>
      </c>
      <c r="Q3" s="12"/>
      <c r="R3" s="10" t="s">
        <v>25</v>
      </c>
      <c r="S3" s="11" t="s">
        <v>26</v>
      </c>
      <c r="T3" s="12"/>
      <c r="U3" s="17" t="str">
        <f t="shared" ref="U3:U102" si="3">HYPERLINK("https://pbs.twimg.com/profile_images/1237312895966416896/at7T_laX.jpg","View")</f>
        <v>View</v>
      </c>
      <c r="V3" s="12"/>
      <c r="W3" s="12"/>
      <c r="X3" s="12"/>
      <c r="Y3" s="12"/>
      <c r="Z3" s="12"/>
    </row>
    <row r="4">
      <c r="A4" s="8">
        <v>44222.41148148148</v>
      </c>
      <c r="B4" s="9" t="str">
        <f t="shared" si="1"/>
        <v>@azucenau</v>
      </c>
      <c r="C4" s="10" t="s">
        <v>21</v>
      </c>
      <c r="D4" s="10" t="s">
        <v>27</v>
      </c>
      <c r="E4" s="9" t="str">
        <f>HYPERLINK("https://twitter.com/azucenau/status/1354094881665404930","1354094881665404930")</f>
        <v>1354094881665404930</v>
      </c>
      <c r="F4" s="11" t="s">
        <v>28</v>
      </c>
      <c r="G4" s="12"/>
      <c r="H4" s="12"/>
      <c r="I4" s="13">
        <v>293.0</v>
      </c>
      <c r="J4" s="13">
        <v>1425.0</v>
      </c>
      <c r="K4" s="9" t="str">
        <f t="shared" si="2"/>
        <v>Twitter for iPhone</v>
      </c>
      <c r="L4" s="14">
        <v>337894.0</v>
      </c>
      <c r="M4" s="14">
        <v>2999.0</v>
      </c>
      <c r="N4" s="14">
        <v>1093.0</v>
      </c>
      <c r="O4" s="15" t="s">
        <v>24</v>
      </c>
      <c r="P4" s="16">
        <v>40148.55200231481</v>
      </c>
      <c r="Q4" s="12"/>
      <c r="R4" s="10" t="s">
        <v>25</v>
      </c>
      <c r="S4" s="11" t="s">
        <v>26</v>
      </c>
      <c r="T4" s="12"/>
      <c r="U4" s="17" t="str">
        <f t="shared" si="3"/>
        <v>View</v>
      </c>
      <c r="V4" s="12"/>
      <c r="W4" s="12"/>
      <c r="X4" s="12"/>
      <c r="Y4" s="12"/>
      <c r="Z4" s="12"/>
    </row>
    <row r="5">
      <c r="A5" s="8">
        <v>44222.30847222223</v>
      </c>
      <c r="B5" s="9" t="str">
        <f t="shared" si="1"/>
        <v>@azucenau</v>
      </c>
      <c r="C5" s="10" t="s">
        <v>21</v>
      </c>
      <c r="D5" s="10" t="s">
        <v>29</v>
      </c>
      <c r="E5" s="9" t="str">
        <f>HYPERLINK("https://twitter.com/azucenau/status/1354057553852948483","1354057553852948483")</f>
        <v>1354057553852948483</v>
      </c>
      <c r="F5" s="12"/>
      <c r="G5" s="11" t="s">
        <v>30</v>
      </c>
      <c r="H5" s="12"/>
      <c r="I5" s="13">
        <v>145.0</v>
      </c>
      <c r="J5" s="13">
        <v>1069.0</v>
      </c>
      <c r="K5" s="9" t="str">
        <f t="shared" si="2"/>
        <v>Twitter for iPhone</v>
      </c>
      <c r="L5" s="14">
        <v>337894.0</v>
      </c>
      <c r="M5" s="14">
        <v>2999.0</v>
      </c>
      <c r="N5" s="14">
        <v>1093.0</v>
      </c>
      <c r="O5" s="15" t="s">
        <v>24</v>
      </c>
      <c r="P5" s="16">
        <v>40148.55200231481</v>
      </c>
      <c r="Q5" s="12"/>
      <c r="R5" s="10" t="s">
        <v>25</v>
      </c>
      <c r="S5" s="11" t="s">
        <v>26</v>
      </c>
      <c r="T5" s="12"/>
      <c r="U5" s="17" t="str">
        <f t="shared" si="3"/>
        <v>View</v>
      </c>
      <c r="V5" s="12"/>
      <c r="W5" s="12"/>
      <c r="X5" s="12"/>
      <c r="Y5" s="12"/>
      <c r="Z5" s="12"/>
    </row>
    <row r="6">
      <c r="A6" s="8">
        <v>44221.97346064815</v>
      </c>
      <c r="B6" s="9" t="str">
        <f t="shared" si="1"/>
        <v>@azucenau</v>
      </c>
      <c r="C6" s="10" t="s">
        <v>21</v>
      </c>
      <c r="D6" s="10" t="s">
        <v>31</v>
      </c>
      <c r="E6" s="9" t="str">
        <f>HYPERLINK("https://twitter.com/azucenau/status/1353936150210236418","1353936150210236418")</f>
        <v>1353936150210236418</v>
      </c>
      <c r="F6" s="12"/>
      <c r="G6" s="11" t="s">
        <v>32</v>
      </c>
      <c r="H6" s="12"/>
      <c r="I6" s="13">
        <v>20.0</v>
      </c>
      <c r="J6" s="13">
        <v>135.0</v>
      </c>
      <c r="K6" s="9" t="str">
        <f t="shared" ref="K6:K27" si="4">HYPERLINK("https://www.twitter.com/","Twitter Media Studio - LiveCut")</f>
        <v>Twitter Media Studio - LiveCut</v>
      </c>
      <c r="L6" s="14">
        <v>337894.0</v>
      </c>
      <c r="M6" s="14">
        <v>2999.0</v>
      </c>
      <c r="N6" s="14">
        <v>1093.0</v>
      </c>
      <c r="O6" s="15" t="s">
        <v>24</v>
      </c>
      <c r="P6" s="16">
        <v>40148.55200231481</v>
      </c>
      <c r="Q6" s="12"/>
      <c r="R6" s="10" t="s">
        <v>25</v>
      </c>
      <c r="S6" s="11" t="s">
        <v>26</v>
      </c>
      <c r="T6" s="12"/>
      <c r="U6" s="17" t="str">
        <f t="shared" si="3"/>
        <v>View</v>
      </c>
      <c r="V6" s="12"/>
      <c r="W6" s="12"/>
      <c r="X6" s="12"/>
      <c r="Y6" s="12"/>
      <c r="Z6" s="12"/>
    </row>
    <row r="7">
      <c r="A7" s="8">
        <v>44221.971655092595</v>
      </c>
      <c r="B7" s="9" t="str">
        <f t="shared" si="1"/>
        <v>@azucenau</v>
      </c>
      <c r="C7" s="10" t="s">
        <v>21</v>
      </c>
      <c r="D7" s="10" t="s">
        <v>33</v>
      </c>
      <c r="E7" s="9" t="str">
        <f>HYPERLINK("https://twitter.com/azucenau/status/1353935495382896640","1353935495382896640")</f>
        <v>1353935495382896640</v>
      </c>
      <c r="F7" s="12"/>
      <c r="G7" s="11" t="s">
        <v>34</v>
      </c>
      <c r="H7" s="12"/>
      <c r="I7" s="13">
        <v>15.0</v>
      </c>
      <c r="J7" s="13">
        <v>43.0</v>
      </c>
      <c r="K7" s="9" t="str">
        <f t="shared" si="4"/>
        <v>Twitter Media Studio - LiveCut</v>
      </c>
      <c r="L7" s="14">
        <v>337894.0</v>
      </c>
      <c r="M7" s="14">
        <v>2999.0</v>
      </c>
      <c r="N7" s="14">
        <v>1093.0</v>
      </c>
      <c r="O7" s="15" t="s">
        <v>24</v>
      </c>
      <c r="P7" s="16">
        <v>40148.55200231481</v>
      </c>
      <c r="Q7" s="12"/>
      <c r="R7" s="10" t="s">
        <v>25</v>
      </c>
      <c r="S7" s="11" t="s">
        <v>26</v>
      </c>
      <c r="T7" s="12"/>
      <c r="U7" s="17" t="str">
        <f t="shared" si="3"/>
        <v>View</v>
      </c>
      <c r="V7" s="12"/>
      <c r="W7" s="12"/>
      <c r="X7" s="12"/>
      <c r="Y7" s="12"/>
      <c r="Z7" s="12"/>
    </row>
    <row r="8">
      <c r="A8" s="8">
        <v>44221.9702662037</v>
      </c>
      <c r="B8" s="9" t="str">
        <f t="shared" si="1"/>
        <v>@azucenau</v>
      </c>
      <c r="C8" s="10" t="s">
        <v>21</v>
      </c>
      <c r="D8" s="10" t="s">
        <v>35</v>
      </c>
      <c r="E8" s="9" t="str">
        <f>HYPERLINK("https://twitter.com/azucenau/status/1353934989709217793","1353934989709217793")</f>
        <v>1353934989709217793</v>
      </c>
      <c r="F8" s="12"/>
      <c r="G8" s="11" t="s">
        <v>36</v>
      </c>
      <c r="H8" s="12"/>
      <c r="I8" s="13">
        <v>11.0</v>
      </c>
      <c r="J8" s="13">
        <v>40.0</v>
      </c>
      <c r="K8" s="9" t="str">
        <f t="shared" si="4"/>
        <v>Twitter Media Studio - LiveCut</v>
      </c>
      <c r="L8" s="14">
        <v>337894.0</v>
      </c>
      <c r="M8" s="14">
        <v>2999.0</v>
      </c>
      <c r="N8" s="14">
        <v>1093.0</v>
      </c>
      <c r="O8" s="15" t="s">
        <v>24</v>
      </c>
      <c r="P8" s="16">
        <v>40148.55200231481</v>
      </c>
      <c r="Q8" s="12"/>
      <c r="R8" s="10" t="s">
        <v>25</v>
      </c>
      <c r="S8" s="11" t="s">
        <v>26</v>
      </c>
      <c r="T8" s="12"/>
      <c r="U8" s="17" t="str">
        <f t="shared" si="3"/>
        <v>View</v>
      </c>
      <c r="V8" s="12"/>
      <c r="W8" s="12"/>
      <c r="X8" s="12"/>
      <c r="Y8" s="12"/>
      <c r="Z8" s="12"/>
    </row>
    <row r="9">
      <c r="A9" s="8">
        <v>44221.96965277778</v>
      </c>
      <c r="B9" s="9" t="str">
        <f t="shared" si="1"/>
        <v>@azucenau</v>
      </c>
      <c r="C9" s="10" t="s">
        <v>21</v>
      </c>
      <c r="D9" s="10" t="s">
        <v>37</v>
      </c>
      <c r="E9" s="9" t="str">
        <f>HYPERLINK("https://twitter.com/azucenau/status/1353934770787516418","1353934770787516418")</f>
        <v>1353934770787516418</v>
      </c>
      <c r="F9" s="12"/>
      <c r="G9" s="11" t="s">
        <v>38</v>
      </c>
      <c r="H9" s="12"/>
      <c r="I9" s="13">
        <v>4.0</v>
      </c>
      <c r="J9" s="13">
        <v>24.0</v>
      </c>
      <c r="K9" s="9" t="str">
        <f t="shared" si="4"/>
        <v>Twitter Media Studio - LiveCut</v>
      </c>
      <c r="L9" s="14">
        <v>337894.0</v>
      </c>
      <c r="M9" s="14">
        <v>2999.0</v>
      </c>
      <c r="N9" s="14">
        <v>1093.0</v>
      </c>
      <c r="O9" s="15" t="s">
        <v>24</v>
      </c>
      <c r="P9" s="16">
        <v>40148.55200231481</v>
      </c>
      <c r="Q9" s="12"/>
      <c r="R9" s="10" t="s">
        <v>25</v>
      </c>
      <c r="S9" s="11" t="s">
        <v>26</v>
      </c>
      <c r="T9" s="12"/>
      <c r="U9" s="17" t="str">
        <f t="shared" si="3"/>
        <v>View</v>
      </c>
      <c r="V9" s="12"/>
      <c r="W9" s="12"/>
      <c r="X9" s="12"/>
      <c r="Y9" s="12"/>
      <c r="Z9" s="12"/>
    </row>
    <row r="10">
      <c r="A10" s="8">
        <v>44221.968553240746</v>
      </c>
      <c r="B10" s="9" t="str">
        <f t="shared" si="1"/>
        <v>@azucenau</v>
      </c>
      <c r="C10" s="10" t="s">
        <v>21</v>
      </c>
      <c r="D10" s="10" t="s">
        <v>39</v>
      </c>
      <c r="E10" s="9" t="str">
        <f>HYPERLINK("https://twitter.com/azucenau/status/1353934370751582209","1353934370751582209")</f>
        <v>1353934370751582209</v>
      </c>
      <c r="F10" s="12"/>
      <c r="G10" s="11" t="s">
        <v>40</v>
      </c>
      <c r="H10" s="12"/>
      <c r="I10" s="13">
        <v>6.0</v>
      </c>
      <c r="J10" s="13">
        <v>69.0</v>
      </c>
      <c r="K10" s="9" t="str">
        <f t="shared" si="4"/>
        <v>Twitter Media Studio - LiveCut</v>
      </c>
      <c r="L10" s="14">
        <v>337894.0</v>
      </c>
      <c r="M10" s="14">
        <v>2999.0</v>
      </c>
      <c r="N10" s="14">
        <v>1093.0</v>
      </c>
      <c r="O10" s="15" t="s">
        <v>24</v>
      </c>
      <c r="P10" s="16">
        <v>40148.55200231481</v>
      </c>
      <c r="Q10" s="12"/>
      <c r="R10" s="10" t="s">
        <v>25</v>
      </c>
      <c r="S10" s="11" t="s">
        <v>26</v>
      </c>
      <c r="T10" s="12"/>
      <c r="U10" s="17" t="str">
        <f t="shared" si="3"/>
        <v>View</v>
      </c>
      <c r="V10" s="12"/>
      <c r="W10" s="12"/>
      <c r="X10" s="12"/>
      <c r="Y10" s="12"/>
      <c r="Z10" s="12"/>
    </row>
    <row r="11">
      <c r="A11" s="8">
        <v>44221.96770833334</v>
      </c>
      <c r="B11" s="9" t="str">
        <f t="shared" si="1"/>
        <v>@azucenau</v>
      </c>
      <c r="C11" s="10" t="s">
        <v>21</v>
      </c>
      <c r="D11" s="10" t="s">
        <v>41</v>
      </c>
      <c r="E11" s="9" t="str">
        <f>HYPERLINK("https://twitter.com/azucenau/status/1353934065800540162","1353934065800540162")</f>
        <v>1353934065800540162</v>
      </c>
      <c r="F11" s="12"/>
      <c r="G11" s="11" t="s">
        <v>42</v>
      </c>
      <c r="H11" s="12"/>
      <c r="I11" s="13">
        <v>5.0</v>
      </c>
      <c r="J11" s="13">
        <v>27.0</v>
      </c>
      <c r="K11" s="9" t="str">
        <f t="shared" si="4"/>
        <v>Twitter Media Studio - LiveCut</v>
      </c>
      <c r="L11" s="14">
        <v>337894.0</v>
      </c>
      <c r="M11" s="14">
        <v>2999.0</v>
      </c>
      <c r="N11" s="14">
        <v>1093.0</v>
      </c>
      <c r="O11" s="15" t="s">
        <v>24</v>
      </c>
      <c r="P11" s="16">
        <v>40148.55200231481</v>
      </c>
      <c r="Q11" s="12"/>
      <c r="R11" s="10" t="s">
        <v>25</v>
      </c>
      <c r="S11" s="11" t="s">
        <v>26</v>
      </c>
      <c r="T11" s="12"/>
      <c r="U11" s="17" t="str">
        <f t="shared" si="3"/>
        <v>View</v>
      </c>
      <c r="V11" s="12"/>
      <c r="W11" s="12"/>
      <c r="X11" s="12"/>
      <c r="Y11" s="12"/>
      <c r="Z11" s="12"/>
    </row>
    <row r="12">
      <c r="A12" s="8">
        <v>44221.96736111111</v>
      </c>
      <c r="B12" s="9" t="str">
        <f t="shared" si="1"/>
        <v>@azucenau</v>
      </c>
      <c r="C12" s="10" t="s">
        <v>21</v>
      </c>
      <c r="D12" s="10" t="s">
        <v>43</v>
      </c>
      <c r="E12" s="9" t="str">
        <f>HYPERLINK("https://twitter.com/azucenau/status/1353933937693908995","1353933937693908995")</f>
        <v>1353933937693908995</v>
      </c>
      <c r="F12" s="12"/>
      <c r="G12" s="11" t="s">
        <v>44</v>
      </c>
      <c r="H12" s="12"/>
      <c r="I12" s="13">
        <v>7.0</v>
      </c>
      <c r="J12" s="13">
        <v>47.0</v>
      </c>
      <c r="K12" s="9" t="str">
        <f t="shared" si="4"/>
        <v>Twitter Media Studio - LiveCut</v>
      </c>
      <c r="L12" s="14">
        <v>337894.0</v>
      </c>
      <c r="M12" s="14">
        <v>2999.0</v>
      </c>
      <c r="N12" s="14">
        <v>1093.0</v>
      </c>
      <c r="O12" s="15" t="s">
        <v>24</v>
      </c>
      <c r="P12" s="16">
        <v>40148.55200231481</v>
      </c>
      <c r="Q12" s="12"/>
      <c r="R12" s="10" t="s">
        <v>25</v>
      </c>
      <c r="S12" s="11" t="s">
        <v>26</v>
      </c>
      <c r="T12" s="12"/>
      <c r="U12" s="17" t="str">
        <f t="shared" si="3"/>
        <v>View</v>
      </c>
      <c r="V12" s="12"/>
      <c r="W12" s="12"/>
      <c r="X12" s="12"/>
      <c r="Y12" s="12"/>
      <c r="Z12" s="12"/>
    </row>
    <row r="13">
      <c r="A13" s="8">
        <v>44221.96672453704</v>
      </c>
      <c r="B13" s="9" t="str">
        <f t="shared" si="1"/>
        <v>@azucenau</v>
      </c>
      <c r="C13" s="10" t="s">
        <v>21</v>
      </c>
      <c r="D13" s="10" t="s">
        <v>45</v>
      </c>
      <c r="E13" s="9" t="str">
        <f>HYPERLINK("https://twitter.com/azucenau/status/1353933709011988486","1353933709011988486")</f>
        <v>1353933709011988486</v>
      </c>
      <c r="F13" s="12"/>
      <c r="G13" s="11" t="s">
        <v>46</v>
      </c>
      <c r="H13" s="12"/>
      <c r="I13" s="13">
        <v>1.0</v>
      </c>
      <c r="J13" s="13">
        <v>34.0</v>
      </c>
      <c r="K13" s="9" t="str">
        <f t="shared" si="4"/>
        <v>Twitter Media Studio - LiveCut</v>
      </c>
      <c r="L13" s="14">
        <v>337894.0</v>
      </c>
      <c r="M13" s="14">
        <v>2999.0</v>
      </c>
      <c r="N13" s="14">
        <v>1093.0</v>
      </c>
      <c r="O13" s="15" t="s">
        <v>24</v>
      </c>
      <c r="P13" s="16">
        <v>40148.55200231481</v>
      </c>
      <c r="Q13" s="12"/>
      <c r="R13" s="10" t="s">
        <v>25</v>
      </c>
      <c r="S13" s="11" t="s">
        <v>26</v>
      </c>
      <c r="T13" s="12"/>
      <c r="U13" s="17" t="str">
        <f t="shared" si="3"/>
        <v>View</v>
      </c>
      <c r="V13" s="12"/>
      <c r="W13" s="12"/>
      <c r="X13" s="12"/>
      <c r="Y13" s="12"/>
      <c r="Z13" s="12"/>
    </row>
    <row r="14">
      <c r="A14" s="8">
        <v>44221.965833333335</v>
      </c>
      <c r="B14" s="9" t="str">
        <f t="shared" si="1"/>
        <v>@azucenau</v>
      </c>
      <c r="C14" s="10" t="s">
        <v>21</v>
      </c>
      <c r="D14" s="10" t="s">
        <v>47</v>
      </c>
      <c r="E14" s="9" t="str">
        <f>HYPERLINK("https://twitter.com/azucenau/status/1353933383957704704","1353933383957704704")</f>
        <v>1353933383957704704</v>
      </c>
      <c r="F14" s="12"/>
      <c r="G14" s="11" t="s">
        <v>48</v>
      </c>
      <c r="H14" s="12"/>
      <c r="I14" s="13">
        <v>20.0</v>
      </c>
      <c r="J14" s="13">
        <v>55.0</v>
      </c>
      <c r="K14" s="9" t="str">
        <f t="shared" si="4"/>
        <v>Twitter Media Studio - LiveCut</v>
      </c>
      <c r="L14" s="14">
        <v>337894.0</v>
      </c>
      <c r="M14" s="14">
        <v>2999.0</v>
      </c>
      <c r="N14" s="14">
        <v>1093.0</v>
      </c>
      <c r="O14" s="15" t="s">
        <v>24</v>
      </c>
      <c r="P14" s="16">
        <v>40148.55200231481</v>
      </c>
      <c r="Q14" s="12"/>
      <c r="R14" s="10" t="s">
        <v>25</v>
      </c>
      <c r="S14" s="11" t="s">
        <v>26</v>
      </c>
      <c r="T14" s="12"/>
      <c r="U14" s="17" t="str">
        <f t="shared" si="3"/>
        <v>View</v>
      </c>
      <c r="V14" s="12"/>
      <c r="W14" s="12"/>
      <c r="X14" s="12"/>
      <c r="Y14" s="12"/>
      <c r="Z14" s="12"/>
    </row>
    <row r="15">
      <c r="A15" s="8">
        <v>44221.964733796296</v>
      </c>
      <c r="B15" s="9" t="str">
        <f t="shared" si="1"/>
        <v>@azucenau</v>
      </c>
      <c r="C15" s="10" t="s">
        <v>21</v>
      </c>
      <c r="D15" s="10" t="s">
        <v>49</v>
      </c>
      <c r="E15" s="9" t="str">
        <f>HYPERLINK("https://twitter.com/azucenau/status/1353932985352007680","1353932985352007680")</f>
        <v>1353932985352007680</v>
      </c>
      <c r="F15" s="12"/>
      <c r="G15" s="11" t="s">
        <v>50</v>
      </c>
      <c r="H15" s="12"/>
      <c r="I15" s="13">
        <v>5.0</v>
      </c>
      <c r="J15" s="13">
        <v>35.0</v>
      </c>
      <c r="K15" s="9" t="str">
        <f t="shared" si="4"/>
        <v>Twitter Media Studio - LiveCut</v>
      </c>
      <c r="L15" s="14">
        <v>337894.0</v>
      </c>
      <c r="M15" s="14">
        <v>2999.0</v>
      </c>
      <c r="N15" s="14">
        <v>1093.0</v>
      </c>
      <c r="O15" s="15" t="s">
        <v>24</v>
      </c>
      <c r="P15" s="16">
        <v>40148.55200231481</v>
      </c>
      <c r="Q15" s="12"/>
      <c r="R15" s="10" t="s">
        <v>25</v>
      </c>
      <c r="S15" s="11" t="s">
        <v>26</v>
      </c>
      <c r="T15" s="12"/>
      <c r="U15" s="17" t="str">
        <f t="shared" si="3"/>
        <v>View</v>
      </c>
      <c r="V15" s="12"/>
      <c r="W15" s="12"/>
      <c r="X15" s="12"/>
      <c r="Y15" s="12"/>
      <c r="Z15" s="12"/>
    </row>
    <row r="16">
      <c r="A16" s="8">
        <v>44221.948483796295</v>
      </c>
      <c r="B16" s="9" t="str">
        <f t="shared" si="1"/>
        <v>@azucenau</v>
      </c>
      <c r="C16" s="10" t="s">
        <v>21</v>
      </c>
      <c r="D16" s="10" t="s">
        <v>51</v>
      </c>
      <c r="E16" s="9" t="str">
        <f>HYPERLINK("https://twitter.com/azucenau/status/1353927097719410689","1353927097719410689")</f>
        <v>1353927097719410689</v>
      </c>
      <c r="F16" s="12"/>
      <c r="G16" s="11" t="s">
        <v>52</v>
      </c>
      <c r="H16" s="12"/>
      <c r="I16" s="13">
        <v>72.0</v>
      </c>
      <c r="J16" s="13">
        <v>188.0</v>
      </c>
      <c r="K16" s="9" t="str">
        <f t="shared" si="4"/>
        <v>Twitter Media Studio - LiveCut</v>
      </c>
      <c r="L16" s="14">
        <v>337894.0</v>
      </c>
      <c r="M16" s="14">
        <v>2999.0</v>
      </c>
      <c r="N16" s="14">
        <v>1093.0</v>
      </c>
      <c r="O16" s="15" t="s">
        <v>24</v>
      </c>
      <c r="P16" s="16">
        <v>40148.55200231481</v>
      </c>
      <c r="Q16" s="12"/>
      <c r="R16" s="10" t="s">
        <v>25</v>
      </c>
      <c r="S16" s="11" t="s">
        <v>26</v>
      </c>
      <c r="T16" s="12"/>
      <c r="U16" s="17" t="str">
        <f t="shared" si="3"/>
        <v>View</v>
      </c>
      <c r="V16" s="12"/>
      <c r="W16" s="12"/>
      <c r="X16" s="12"/>
      <c r="Y16" s="12"/>
      <c r="Z16" s="12"/>
    </row>
    <row r="17">
      <c r="A17" s="8">
        <v>44221.94700231482</v>
      </c>
      <c r="B17" s="9" t="str">
        <f t="shared" si="1"/>
        <v>@azucenau</v>
      </c>
      <c r="C17" s="10" t="s">
        <v>21</v>
      </c>
      <c r="D17" s="10" t="s">
        <v>53</v>
      </c>
      <c r="E17" s="9" t="str">
        <f>HYPERLINK("https://twitter.com/azucenau/status/1353926560613617665","1353926560613617665")</f>
        <v>1353926560613617665</v>
      </c>
      <c r="F17" s="12"/>
      <c r="G17" s="11" t="s">
        <v>54</v>
      </c>
      <c r="H17" s="12"/>
      <c r="I17" s="13">
        <v>8.0</v>
      </c>
      <c r="J17" s="13">
        <v>43.0</v>
      </c>
      <c r="K17" s="9" t="str">
        <f t="shared" si="4"/>
        <v>Twitter Media Studio - LiveCut</v>
      </c>
      <c r="L17" s="14">
        <v>337894.0</v>
      </c>
      <c r="M17" s="14">
        <v>2999.0</v>
      </c>
      <c r="N17" s="14">
        <v>1093.0</v>
      </c>
      <c r="O17" s="15" t="s">
        <v>24</v>
      </c>
      <c r="P17" s="16">
        <v>40148.55200231481</v>
      </c>
      <c r="Q17" s="12"/>
      <c r="R17" s="10" t="s">
        <v>25</v>
      </c>
      <c r="S17" s="11" t="s">
        <v>26</v>
      </c>
      <c r="T17" s="12"/>
      <c r="U17" s="17" t="str">
        <f t="shared" si="3"/>
        <v>View</v>
      </c>
      <c r="V17" s="12"/>
      <c r="W17" s="12"/>
      <c r="X17" s="12"/>
      <c r="Y17" s="12"/>
      <c r="Z17" s="12"/>
    </row>
    <row r="18">
      <c r="A18" s="8">
        <v>44221.94646990741</v>
      </c>
      <c r="B18" s="9" t="str">
        <f t="shared" si="1"/>
        <v>@azucenau</v>
      </c>
      <c r="C18" s="10" t="s">
        <v>21</v>
      </c>
      <c r="D18" s="10" t="s">
        <v>55</v>
      </c>
      <c r="E18" s="9" t="str">
        <f>HYPERLINK("https://twitter.com/azucenau/status/1353926368560607232","1353926368560607232")</f>
        <v>1353926368560607232</v>
      </c>
      <c r="F18" s="12"/>
      <c r="G18" s="11" t="s">
        <v>56</v>
      </c>
      <c r="H18" s="12"/>
      <c r="I18" s="13">
        <v>13.0</v>
      </c>
      <c r="J18" s="13">
        <v>52.0</v>
      </c>
      <c r="K18" s="9" t="str">
        <f t="shared" si="4"/>
        <v>Twitter Media Studio - LiveCut</v>
      </c>
      <c r="L18" s="14">
        <v>337894.0</v>
      </c>
      <c r="M18" s="14">
        <v>2999.0</v>
      </c>
      <c r="N18" s="14">
        <v>1093.0</v>
      </c>
      <c r="O18" s="15" t="s">
        <v>24</v>
      </c>
      <c r="P18" s="16">
        <v>40148.55200231481</v>
      </c>
      <c r="Q18" s="12"/>
      <c r="R18" s="10" t="s">
        <v>25</v>
      </c>
      <c r="S18" s="11" t="s">
        <v>26</v>
      </c>
      <c r="T18" s="12"/>
      <c r="U18" s="17" t="str">
        <f t="shared" si="3"/>
        <v>View</v>
      </c>
      <c r="V18" s="12"/>
      <c r="W18" s="12"/>
      <c r="X18" s="12"/>
      <c r="Y18" s="12"/>
      <c r="Z18" s="12"/>
    </row>
    <row r="19">
      <c r="A19" s="8">
        <v>44221.9422337963</v>
      </c>
      <c r="B19" s="9" t="str">
        <f t="shared" si="1"/>
        <v>@azucenau</v>
      </c>
      <c r="C19" s="10" t="s">
        <v>21</v>
      </c>
      <c r="D19" s="10" t="s">
        <v>57</v>
      </c>
      <c r="E19" s="9" t="str">
        <f>HYPERLINK("https://twitter.com/azucenau/status/1353924834460368896","1353924834460368896")</f>
        <v>1353924834460368896</v>
      </c>
      <c r="F19" s="12"/>
      <c r="G19" s="11" t="s">
        <v>58</v>
      </c>
      <c r="H19" s="12"/>
      <c r="I19" s="13">
        <v>4.0</v>
      </c>
      <c r="J19" s="13">
        <v>41.0</v>
      </c>
      <c r="K19" s="9" t="str">
        <f t="shared" si="4"/>
        <v>Twitter Media Studio - LiveCut</v>
      </c>
      <c r="L19" s="14">
        <v>337894.0</v>
      </c>
      <c r="M19" s="14">
        <v>2999.0</v>
      </c>
      <c r="N19" s="14">
        <v>1093.0</v>
      </c>
      <c r="O19" s="15" t="s">
        <v>24</v>
      </c>
      <c r="P19" s="16">
        <v>40148.55200231481</v>
      </c>
      <c r="Q19" s="12"/>
      <c r="R19" s="10" t="s">
        <v>25</v>
      </c>
      <c r="S19" s="11" t="s">
        <v>26</v>
      </c>
      <c r="T19" s="12"/>
      <c r="U19" s="17" t="str">
        <f t="shared" si="3"/>
        <v>View</v>
      </c>
      <c r="V19" s="12"/>
      <c r="W19" s="12"/>
      <c r="X19" s="12"/>
      <c r="Y19" s="12"/>
      <c r="Z19" s="12"/>
    </row>
    <row r="20">
      <c r="A20" s="8">
        <v>44221.94112268518</v>
      </c>
      <c r="B20" s="9" t="str">
        <f t="shared" si="1"/>
        <v>@azucenau</v>
      </c>
      <c r="C20" s="10" t="s">
        <v>21</v>
      </c>
      <c r="D20" s="10" t="s">
        <v>59</v>
      </c>
      <c r="E20" s="9" t="str">
        <f>HYPERLINK("https://twitter.com/azucenau/status/1353924428896342016","1353924428896342016")</f>
        <v>1353924428896342016</v>
      </c>
      <c r="F20" s="12"/>
      <c r="G20" s="11" t="s">
        <v>60</v>
      </c>
      <c r="H20" s="12"/>
      <c r="I20" s="13">
        <v>6.0</v>
      </c>
      <c r="J20" s="13">
        <v>24.0</v>
      </c>
      <c r="K20" s="9" t="str">
        <f t="shared" si="4"/>
        <v>Twitter Media Studio - LiveCut</v>
      </c>
      <c r="L20" s="14">
        <v>337894.0</v>
      </c>
      <c r="M20" s="14">
        <v>2999.0</v>
      </c>
      <c r="N20" s="14">
        <v>1093.0</v>
      </c>
      <c r="O20" s="15" t="s">
        <v>24</v>
      </c>
      <c r="P20" s="16">
        <v>40148.55200231481</v>
      </c>
      <c r="Q20" s="12"/>
      <c r="R20" s="10" t="s">
        <v>25</v>
      </c>
      <c r="S20" s="11" t="s">
        <v>26</v>
      </c>
      <c r="T20" s="12"/>
      <c r="U20" s="17" t="str">
        <f t="shared" si="3"/>
        <v>View</v>
      </c>
      <c r="V20" s="12"/>
      <c r="W20" s="12"/>
      <c r="X20" s="12"/>
      <c r="Y20" s="12"/>
      <c r="Z20" s="12"/>
    </row>
    <row r="21">
      <c r="A21" s="8">
        <v>44221.9371875</v>
      </c>
      <c r="B21" s="9" t="str">
        <f t="shared" si="1"/>
        <v>@azucenau</v>
      </c>
      <c r="C21" s="10" t="s">
        <v>21</v>
      </c>
      <c r="D21" s="10" t="s">
        <v>61</v>
      </c>
      <c r="E21" s="9" t="str">
        <f>HYPERLINK("https://twitter.com/azucenau/status/1353923005685116928","1353923005685116928")</f>
        <v>1353923005685116928</v>
      </c>
      <c r="F21" s="12"/>
      <c r="G21" s="11" t="s">
        <v>62</v>
      </c>
      <c r="H21" s="12"/>
      <c r="I21" s="13">
        <v>23.0</v>
      </c>
      <c r="J21" s="13">
        <v>78.0</v>
      </c>
      <c r="K21" s="9" t="str">
        <f t="shared" si="4"/>
        <v>Twitter Media Studio - LiveCut</v>
      </c>
      <c r="L21" s="14">
        <v>337894.0</v>
      </c>
      <c r="M21" s="14">
        <v>2999.0</v>
      </c>
      <c r="N21" s="14">
        <v>1093.0</v>
      </c>
      <c r="O21" s="15" t="s">
        <v>24</v>
      </c>
      <c r="P21" s="16">
        <v>40148.55200231481</v>
      </c>
      <c r="Q21" s="12"/>
      <c r="R21" s="10" t="s">
        <v>25</v>
      </c>
      <c r="S21" s="11" t="s">
        <v>26</v>
      </c>
      <c r="T21" s="12"/>
      <c r="U21" s="17" t="str">
        <f t="shared" si="3"/>
        <v>View</v>
      </c>
      <c r="V21" s="12"/>
      <c r="W21" s="12"/>
      <c r="X21" s="12"/>
      <c r="Y21" s="12"/>
      <c r="Z21" s="12"/>
    </row>
    <row r="22">
      <c r="A22" s="8">
        <v>44221.9330787037</v>
      </c>
      <c r="B22" s="9" t="str">
        <f t="shared" si="1"/>
        <v>@azucenau</v>
      </c>
      <c r="C22" s="10" t="s">
        <v>21</v>
      </c>
      <c r="D22" s="10" t="s">
        <v>63</v>
      </c>
      <c r="E22" s="9" t="str">
        <f>HYPERLINK("https://twitter.com/azucenau/status/1353921514953969665","1353921514953969665")</f>
        <v>1353921514953969665</v>
      </c>
      <c r="F22" s="12"/>
      <c r="G22" s="11" t="s">
        <v>64</v>
      </c>
      <c r="H22" s="12"/>
      <c r="I22" s="13">
        <v>3.0</v>
      </c>
      <c r="J22" s="13">
        <v>32.0</v>
      </c>
      <c r="K22" s="9" t="str">
        <f t="shared" si="4"/>
        <v>Twitter Media Studio - LiveCut</v>
      </c>
      <c r="L22" s="14">
        <v>337894.0</v>
      </c>
      <c r="M22" s="14">
        <v>2999.0</v>
      </c>
      <c r="N22" s="14">
        <v>1093.0</v>
      </c>
      <c r="O22" s="15" t="s">
        <v>24</v>
      </c>
      <c r="P22" s="16">
        <v>40148.55200231481</v>
      </c>
      <c r="Q22" s="12"/>
      <c r="R22" s="10" t="s">
        <v>25</v>
      </c>
      <c r="S22" s="11" t="s">
        <v>26</v>
      </c>
      <c r="T22" s="12"/>
      <c r="U22" s="17" t="str">
        <f t="shared" si="3"/>
        <v>View</v>
      </c>
      <c r="V22" s="12"/>
      <c r="W22" s="12"/>
      <c r="X22" s="12"/>
      <c r="Y22" s="12"/>
      <c r="Z22" s="12"/>
    </row>
    <row r="23">
      <c r="A23" s="8">
        <v>44221.930752314816</v>
      </c>
      <c r="B23" s="9" t="str">
        <f t="shared" si="1"/>
        <v>@azucenau</v>
      </c>
      <c r="C23" s="10" t="s">
        <v>21</v>
      </c>
      <c r="D23" s="10" t="s">
        <v>65</v>
      </c>
      <c r="E23" s="9" t="str">
        <f>HYPERLINK("https://twitter.com/azucenau/status/1353920671806611457","1353920671806611457")</f>
        <v>1353920671806611457</v>
      </c>
      <c r="F23" s="12"/>
      <c r="G23" s="11" t="s">
        <v>66</v>
      </c>
      <c r="H23" s="12"/>
      <c r="I23" s="13">
        <v>11.0</v>
      </c>
      <c r="J23" s="13">
        <v>73.0</v>
      </c>
      <c r="K23" s="9" t="str">
        <f t="shared" si="4"/>
        <v>Twitter Media Studio - LiveCut</v>
      </c>
      <c r="L23" s="14">
        <v>337894.0</v>
      </c>
      <c r="M23" s="14">
        <v>2999.0</v>
      </c>
      <c r="N23" s="14">
        <v>1093.0</v>
      </c>
      <c r="O23" s="15" t="s">
        <v>24</v>
      </c>
      <c r="P23" s="16">
        <v>40148.55200231481</v>
      </c>
      <c r="Q23" s="12"/>
      <c r="R23" s="10" t="s">
        <v>25</v>
      </c>
      <c r="S23" s="11" t="s">
        <v>26</v>
      </c>
      <c r="T23" s="12"/>
      <c r="U23" s="17" t="str">
        <f t="shared" si="3"/>
        <v>View</v>
      </c>
      <c r="V23" s="12"/>
      <c r="W23" s="12"/>
      <c r="X23" s="12"/>
      <c r="Y23" s="12"/>
      <c r="Z23" s="12"/>
    </row>
    <row r="24">
      <c r="A24" s="8">
        <v>44221.92671296296</v>
      </c>
      <c r="B24" s="9" t="str">
        <f t="shared" si="1"/>
        <v>@azucenau</v>
      </c>
      <c r="C24" s="10" t="s">
        <v>21</v>
      </c>
      <c r="D24" s="10" t="s">
        <v>67</v>
      </c>
      <c r="E24" s="9" t="str">
        <f>HYPERLINK("https://twitter.com/azucenau/status/1353919209953251328","1353919209953251328")</f>
        <v>1353919209953251328</v>
      </c>
      <c r="F24" s="12"/>
      <c r="G24" s="11" t="s">
        <v>68</v>
      </c>
      <c r="H24" s="12"/>
      <c r="I24" s="13">
        <v>6.0</v>
      </c>
      <c r="J24" s="13">
        <v>34.0</v>
      </c>
      <c r="K24" s="9" t="str">
        <f t="shared" si="4"/>
        <v>Twitter Media Studio - LiveCut</v>
      </c>
      <c r="L24" s="14">
        <v>337894.0</v>
      </c>
      <c r="M24" s="14">
        <v>2999.0</v>
      </c>
      <c r="N24" s="14">
        <v>1093.0</v>
      </c>
      <c r="O24" s="15" t="s">
        <v>24</v>
      </c>
      <c r="P24" s="16">
        <v>40148.55200231481</v>
      </c>
      <c r="Q24" s="12"/>
      <c r="R24" s="10" t="s">
        <v>25</v>
      </c>
      <c r="S24" s="11" t="s">
        <v>26</v>
      </c>
      <c r="T24" s="12"/>
      <c r="U24" s="17" t="str">
        <f t="shared" si="3"/>
        <v>View</v>
      </c>
      <c r="V24" s="12"/>
      <c r="W24" s="12"/>
      <c r="X24" s="12"/>
      <c r="Y24" s="12"/>
      <c r="Z24" s="12"/>
    </row>
    <row r="25">
      <c r="A25" s="8">
        <v>44221.92447916667</v>
      </c>
      <c r="B25" s="9" t="str">
        <f t="shared" si="1"/>
        <v>@azucenau</v>
      </c>
      <c r="C25" s="10" t="s">
        <v>21</v>
      </c>
      <c r="D25" s="10" t="s">
        <v>69</v>
      </c>
      <c r="E25" s="9" t="str">
        <f>HYPERLINK("https://twitter.com/azucenau/status/1353918397281673216","1353918397281673216")</f>
        <v>1353918397281673216</v>
      </c>
      <c r="F25" s="12"/>
      <c r="G25" s="11" t="s">
        <v>70</v>
      </c>
      <c r="H25" s="12"/>
      <c r="I25" s="13">
        <v>2.0</v>
      </c>
      <c r="J25" s="13">
        <v>32.0</v>
      </c>
      <c r="K25" s="9" t="str">
        <f t="shared" si="4"/>
        <v>Twitter Media Studio - LiveCut</v>
      </c>
      <c r="L25" s="14">
        <v>337894.0</v>
      </c>
      <c r="M25" s="14">
        <v>2999.0</v>
      </c>
      <c r="N25" s="14">
        <v>1093.0</v>
      </c>
      <c r="O25" s="15" t="s">
        <v>24</v>
      </c>
      <c r="P25" s="16">
        <v>40148.55200231481</v>
      </c>
      <c r="Q25" s="12"/>
      <c r="R25" s="10" t="s">
        <v>25</v>
      </c>
      <c r="S25" s="11" t="s">
        <v>26</v>
      </c>
      <c r="T25" s="12"/>
      <c r="U25" s="17" t="str">
        <f t="shared" si="3"/>
        <v>View</v>
      </c>
      <c r="V25" s="12"/>
      <c r="W25" s="12"/>
      <c r="X25" s="12"/>
      <c r="Y25" s="12"/>
      <c r="Z25" s="12"/>
    </row>
    <row r="26">
      <c r="A26" s="8">
        <v>44221.92229166666</v>
      </c>
      <c r="B26" s="9" t="str">
        <f t="shared" si="1"/>
        <v>@azucenau</v>
      </c>
      <c r="C26" s="10" t="s">
        <v>21</v>
      </c>
      <c r="D26" s="10" t="s">
        <v>71</v>
      </c>
      <c r="E26" s="9" t="str">
        <f>HYPERLINK("https://twitter.com/azucenau/status/1353917607511027712","1353917607511027712")</f>
        <v>1353917607511027712</v>
      </c>
      <c r="F26" s="12"/>
      <c r="G26" s="11" t="s">
        <v>72</v>
      </c>
      <c r="H26" s="12"/>
      <c r="I26" s="13">
        <v>18.0</v>
      </c>
      <c r="J26" s="13">
        <v>83.0</v>
      </c>
      <c r="K26" s="9" t="str">
        <f t="shared" si="4"/>
        <v>Twitter Media Studio - LiveCut</v>
      </c>
      <c r="L26" s="14">
        <v>337894.0</v>
      </c>
      <c r="M26" s="14">
        <v>2999.0</v>
      </c>
      <c r="N26" s="14">
        <v>1093.0</v>
      </c>
      <c r="O26" s="15" t="s">
        <v>24</v>
      </c>
      <c r="P26" s="16">
        <v>40148.55200231481</v>
      </c>
      <c r="Q26" s="12"/>
      <c r="R26" s="10" t="s">
        <v>25</v>
      </c>
      <c r="S26" s="11" t="s">
        <v>26</v>
      </c>
      <c r="T26" s="12"/>
      <c r="U26" s="17" t="str">
        <f t="shared" si="3"/>
        <v>View</v>
      </c>
      <c r="V26" s="12"/>
      <c r="W26" s="12"/>
      <c r="X26" s="12"/>
      <c r="Y26" s="12"/>
      <c r="Z26" s="12"/>
    </row>
    <row r="27">
      <c r="A27" s="8">
        <v>44221.92060185185</v>
      </c>
      <c r="B27" s="9" t="str">
        <f t="shared" si="1"/>
        <v>@azucenau</v>
      </c>
      <c r="C27" s="10" t="s">
        <v>21</v>
      </c>
      <c r="D27" s="10" t="s">
        <v>73</v>
      </c>
      <c r="E27" s="9" t="str">
        <f>HYPERLINK("https://twitter.com/azucenau/status/1353916992844136448","1353916992844136448")</f>
        <v>1353916992844136448</v>
      </c>
      <c r="F27" s="12"/>
      <c r="G27" s="11" t="s">
        <v>74</v>
      </c>
      <c r="H27" s="12"/>
      <c r="I27" s="13">
        <v>25.0</v>
      </c>
      <c r="J27" s="13">
        <v>57.0</v>
      </c>
      <c r="K27" s="9" t="str">
        <f t="shared" si="4"/>
        <v>Twitter Media Studio - LiveCut</v>
      </c>
      <c r="L27" s="14">
        <v>337894.0</v>
      </c>
      <c r="M27" s="14">
        <v>2999.0</v>
      </c>
      <c r="N27" s="14">
        <v>1093.0</v>
      </c>
      <c r="O27" s="15" t="s">
        <v>24</v>
      </c>
      <c r="P27" s="16">
        <v>40148.55200231481</v>
      </c>
      <c r="Q27" s="12"/>
      <c r="R27" s="10" t="s">
        <v>25</v>
      </c>
      <c r="S27" s="11" t="s">
        <v>26</v>
      </c>
      <c r="T27" s="12"/>
      <c r="U27" s="17" t="str">
        <f t="shared" si="3"/>
        <v>View</v>
      </c>
      <c r="V27" s="12"/>
      <c r="W27" s="12"/>
      <c r="X27" s="12"/>
      <c r="Y27" s="12"/>
      <c r="Z27" s="12"/>
    </row>
    <row r="28">
      <c r="A28" s="8">
        <v>44221.917175925926</v>
      </c>
      <c r="B28" s="9" t="str">
        <f t="shared" si="1"/>
        <v>@azucenau</v>
      </c>
      <c r="C28" s="10" t="s">
        <v>21</v>
      </c>
      <c r="D28" s="10" t="s">
        <v>75</v>
      </c>
      <c r="E28" s="9" t="str">
        <f>HYPERLINK("https://twitter.com/azucenau/status/1353915751414034434","1353915751414034434")</f>
        <v>1353915751414034434</v>
      </c>
      <c r="F28" s="11" t="s">
        <v>76</v>
      </c>
      <c r="G28" s="12"/>
      <c r="H28" s="12"/>
      <c r="I28" s="13">
        <v>3.0</v>
      </c>
      <c r="J28" s="13">
        <v>48.0</v>
      </c>
      <c r="K28" s="9" t="str">
        <f>HYPERLINK("https://studio.twitter.com","Twitter Media Studio")</f>
        <v>Twitter Media Studio</v>
      </c>
      <c r="L28" s="14">
        <v>337894.0</v>
      </c>
      <c r="M28" s="14">
        <v>2999.0</v>
      </c>
      <c r="N28" s="14">
        <v>1093.0</v>
      </c>
      <c r="O28" s="15" t="s">
        <v>24</v>
      </c>
      <c r="P28" s="16">
        <v>40148.55200231481</v>
      </c>
      <c r="Q28" s="12"/>
      <c r="R28" s="10" t="s">
        <v>25</v>
      </c>
      <c r="S28" s="11" t="s">
        <v>26</v>
      </c>
      <c r="T28" s="12"/>
      <c r="U28" s="17" t="str">
        <f t="shared" si="3"/>
        <v>View</v>
      </c>
      <c r="V28" s="12"/>
      <c r="W28" s="12"/>
      <c r="X28" s="12"/>
      <c r="Y28" s="12"/>
      <c r="Z28" s="12"/>
    </row>
    <row r="29">
      <c r="A29" s="8">
        <v>44221.91665509259</v>
      </c>
      <c r="B29" s="9" t="str">
        <f t="shared" si="1"/>
        <v>@azucenau</v>
      </c>
      <c r="C29" s="10" t="s">
        <v>21</v>
      </c>
      <c r="D29" s="10" t="s">
        <v>77</v>
      </c>
      <c r="E29" s="9" t="str">
        <f>HYPERLINK("https://twitter.com/azucenau/status/1353915562783604738","1353915562783604738")</f>
        <v>1353915562783604738</v>
      </c>
      <c r="F29" s="11" t="s">
        <v>78</v>
      </c>
      <c r="G29" s="11" t="s">
        <v>79</v>
      </c>
      <c r="H29" s="12"/>
      <c r="I29" s="13">
        <v>19.0</v>
      </c>
      <c r="J29" s="13">
        <v>661.0</v>
      </c>
      <c r="K29" s="9" t="str">
        <f>HYPERLINK("http://twitter.com/download/iphone","Twitter for iPhone")</f>
        <v>Twitter for iPhone</v>
      </c>
      <c r="L29" s="14">
        <v>337894.0</v>
      </c>
      <c r="M29" s="14">
        <v>2999.0</v>
      </c>
      <c r="N29" s="14">
        <v>1093.0</v>
      </c>
      <c r="O29" s="15" t="s">
        <v>24</v>
      </c>
      <c r="P29" s="16">
        <v>40148.55200231481</v>
      </c>
      <c r="Q29" s="12"/>
      <c r="R29" s="10" t="s">
        <v>25</v>
      </c>
      <c r="S29" s="11" t="s">
        <v>26</v>
      </c>
      <c r="T29" s="12"/>
      <c r="U29" s="17" t="str">
        <f t="shared" si="3"/>
        <v>View</v>
      </c>
      <c r="V29" s="12"/>
      <c r="W29" s="12"/>
      <c r="X29" s="12"/>
      <c r="Y29" s="12"/>
      <c r="Z29" s="12"/>
    </row>
    <row r="30">
      <c r="A30" s="8">
        <v>44221.88045138889</v>
      </c>
      <c r="B30" s="9" t="str">
        <f t="shared" si="1"/>
        <v>@azucenau</v>
      </c>
      <c r="C30" s="10" t="s">
        <v>21</v>
      </c>
      <c r="D30" s="10" t="s">
        <v>80</v>
      </c>
      <c r="E30" s="9" t="str">
        <f>HYPERLINK("https://twitter.com/azucenau/status/1353902445202722818","1353902445202722818")</f>
        <v>1353902445202722818</v>
      </c>
      <c r="F30" s="12"/>
      <c r="G30" s="11" t="s">
        <v>81</v>
      </c>
      <c r="H30" s="12"/>
      <c r="I30" s="13">
        <v>111.0</v>
      </c>
      <c r="J30" s="13">
        <v>242.0</v>
      </c>
      <c r="K30" s="9" t="str">
        <f>HYPERLINK("https://studio.twitter.com","Twitter Media Studio")</f>
        <v>Twitter Media Studio</v>
      </c>
      <c r="L30" s="14">
        <v>337894.0</v>
      </c>
      <c r="M30" s="14">
        <v>2999.0</v>
      </c>
      <c r="N30" s="14">
        <v>1093.0</v>
      </c>
      <c r="O30" s="15" t="s">
        <v>24</v>
      </c>
      <c r="P30" s="16">
        <v>40148.55200231481</v>
      </c>
      <c r="Q30" s="12"/>
      <c r="R30" s="10" t="s">
        <v>25</v>
      </c>
      <c r="S30" s="11" t="s">
        <v>26</v>
      </c>
      <c r="T30" s="12"/>
      <c r="U30" s="17" t="str">
        <f t="shared" si="3"/>
        <v>View</v>
      </c>
      <c r="V30" s="12"/>
      <c r="W30" s="12"/>
      <c r="X30" s="12"/>
      <c r="Y30" s="12"/>
      <c r="Z30" s="12"/>
    </row>
    <row r="31">
      <c r="A31" s="8">
        <v>44221.86260416667</v>
      </c>
      <c r="B31" s="9" t="str">
        <f t="shared" si="1"/>
        <v>@azucenau</v>
      </c>
      <c r="C31" s="10" t="s">
        <v>21</v>
      </c>
      <c r="D31" s="10" t="s">
        <v>82</v>
      </c>
      <c r="E31" s="9" t="str">
        <f>HYPERLINK("https://twitter.com/azucenau/status/1353895975480401926","1353895975480401926")</f>
        <v>1353895975480401926</v>
      </c>
      <c r="F31" s="11" t="s">
        <v>83</v>
      </c>
      <c r="G31" s="12"/>
      <c r="H31" s="12"/>
      <c r="I31" s="13">
        <v>23.0</v>
      </c>
      <c r="J31" s="13">
        <v>74.0</v>
      </c>
      <c r="K31" s="9" t="str">
        <f>HYPERLINK("https://mobile.twitter.com","Twitter Web App")</f>
        <v>Twitter Web App</v>
      </c>
      <c r="L31" s="14">
        <v>337894.0</v>
      </c>
      <c r="M31" s="14">
        <v>2999.0</v>
      </c>
      <c r="N31" s="14">
        <v>1093.0</v>
      </c>
      <c r="O31" s="15" t="s">
        <v>24</v>
      </c>
      <c r="P31" s="16">
        <v>40148.55200231481</v>
      </c>
      <c r="Q31" s="12"/>
      <c r="R31" s="10" t="s">
        <v>25</v>
      </c>
      <c r="S31" s="11" t="s">
        <v>26</v>
      </c>
      <c r="T31" s="12"/>
      <c r="U31" s="17" t="str">
        <f t="shared" si="3"/>
        <v>View</v>
      </c>
      <c r="V31" s="12"/>
      <c r="W31" s="12"/>
      <c r="X31" s="12"/>
      <c r="Y31" s="12"/>
      <c r="Z31" s="12"/>
    </row>
    <row r="32">
      <c r="A32" s="8">
        <v>44221.82638888889</v>
      </c>
      <c r="B32" s="9" t="str">
        <f t="shared" si="1"/>
        <v>@azucenau</v>
      </c>
      <c r="C32" s="10" t="s">
        <v>21</v>
      </c>
      <c r="D32" s="10" t="s">
        <v>84</v>
      </c>
      <c r="E32" s="9" t="str">
        <f>HYPERLINK("https://twitter.com/azucenau/status/1353882850899070977","1353882850899070977")</f>
        <v>1353882850899070977</v>
      </c>
      <c r="F32" s="12"/>
      <c r="G32" s="11" t="s">
        <v>85</v>
      </c>
      <c r="H32" s="12"/>
      <c r="I32" s="13">
        <v>288.0</v>
      </c>
      <c r="J32" s="13">
        <v>361.0</v>
      </c>
      <c r="K32" s="9" t="str">
        <f>HYPERLINK("https://studio.twitter.com","Twitter Media Studio")</f>
        <v>Twitter Media Studio</v>
      </c>
      <c r="L32" s="14">
        <v>337894.0</v>
      </c>
      <c r="M32" s="14">
        <v>2999.0</v>
      </c>
      <c r="N32" s="14">
        <v>1093.0</v>
      </c>
      <c r="O32" s="15" t="s">
        <v>24</v>
      </c>
      <c r="P32" s="16">
        <v>40148.55200231481</v>
      </c>
      <c r="Q32" s="12"/>
      <c r="R32" s="10" t="s">
        <v>25</v>
      </c>
      <c r="S32" s="11" t="s">
        <v>26</v>
      </c>
      <c r="T32" s="12"/>
      <c r="U32" s="17" t="str">
        <f t="shared" si="3"/>
        <v>View</v>
      </c>
      <c r="V32" s="12"/>
      <c r="W32" s="12"/>
      <c r="X32" s="12"/>
      <c r="Y32" s="12"/>
      <c r="Z32" s="12"/>
    </row>
    <row r="33">
      <c r="A33" s="8">
        <v>44221.799155092594</v>
      </c>
      <c r="B33" s="9" t="str">
        <f t="shared" si="1"/>
        <v>@azucenau</v>
      </c>
      <c r="C33" s="10" t="s">
        <v>21</v>
      </c>
      <c r="D33" s="10" t="s">
        <v>86</v>
      </c>
      <c r="E33" s="9" t="str">
        <f>HYPERLINK("https://twitter.com/azucenau/status/1353872982242959360","1353872982242959360")</f>
        <v>1353872982242959360</v>
      </c>
      <c r="F33" s="12"/>
      <c r="G33" s="11" t="s">
        <v>87</v>
      </c>
      <c r="H33" s="12"/>
      <c r="I33" s="13">
        <v>51.0</v>
      </c>
      <c r="J33" s="13">
        <v>110.0</v>
      </c>
      <c r="K33" s="9" t="str">
        <f t="shared" ref="K33:K39" si="5">HYPERLINK("https://mobile.twitter.com","Twitter Web App")</f>
        <v>Twitter Web App</v>
      </c>
      <c r="L33" s="14">
        <v>337894.0</v>
      </c>
      <c r="M33" s="14">
        <v>2999.0</v>
      </c>
      <c r="N33" s="14">
        <v>1093.0</v>
      </c>
      <c r="O33" s="15" t="s">
        <v>24</v>
      </c>
      <c r="P33" s="16">
        <v>40148.55200231481</v>
      </c>
      <c r="Q33" s="12"/>
      <c r="R33" s="10" t="s">
        <v>25</v>
      </c>
      <c r="S33" s="11" t="s">
        <v>26</v>
      </c>
      <c r="T33" s="12"/>
      <c r="U33" s="17" t="str">
        <f t="shared" si="3"/>
        <v>View</v>
      </c>
      <c r="V33" s="12"/>
      <c r="W33" s="12"/>
      <c r="X33" s="12"/>
      <c r="Y33" s="12"/>
      <c r="Z33" s="12"/>
    </row>
    <row r="34">
      <c r="A34" s="8">
        <v>44221.795428240745</v>
      </c>
      <c r="B34" s="9" t="str">
        <f t="shared" si="1"/>
        <v>@azucenau</v>
      </c>
      <c r="C34" s="10" t="s">
        <v>21</v>
      </c>
      <c r="D34" s="10" t="s">
        <v>88</v>
      </c>
      <c r="E34" s="9" t="str">
        <f>HYPERLINK("https://twitter.com/azucenau/status/1353871631198920705","1353871631198920705")</f>
        <v>1353871631198920705</v>
      </c>
      <c r="F34" s="11" t="s">
        <v>89</v>
      </c>
      <c r="G34" s="12"/>
      <c r="H34" s="12"/>
      <c r="I34" s="13">
        <v>61.0</v>
      </c>
      <c r="J34" s="13">
        <v>283.0</v>
      </c>
      <c r="K34" s="9" t="str">
        <f t="shared" si="5"/>
        <v>Twitter Web App</v>
      </c>
      <c r="L34" s="14">
        <v>337894.0</v>
      </c>
      <c r="M34" s="14">
        <v>2999.0</v>
      </c>
      <c r="N34" s="14">
        <v>1093.0</v>
      </c>
      <c r="O34" s="15" t="s">
        <v>24</v>
      </c>
      <c r="P34" s="16">
        <v>40148.55200231481</v>
      </c>
      <c r="Q34" s="12"/>
      <c r="R34" s="10" t="s">
        <v>25</v>
      </c>
      <c r="S34" s="11" t="s">
        <v>26</v>
      </c>
      <c r="T34" s="12"/>
      <c r="U34" s="17" t="str">
        <f t="shared" si="3"/>
        <v>View</v>
      </c>
      <c r="V34" s="12"/>
      <c r="W34" s="12"/>
      <c r="X34" s="12"/>
      <c r="Y34" s="12"/>
      <c r="Z34" s="12"/>
    </row>
    <row r="35">
      <c r="A35" s="8">
        <v>44221.781446759254</v>
      </c>
      <c r="B35" s="9" t="str">
        <f t="shared" si="1"/>
        <v>@azucenau</v>
      </c>
      <c r="C35" s="10" t="s">
        <v>21</v>
      </c>
      <c r="D35" s="10" t="s">
        <v>90</v>
      </c>
      <c r="E35" s="9" t="str">
        <f>HYPERLINK("https://twitter.com/azucenau/status/1353866565406633996","1353866565406633996")</f>
        <v>1353866565406633996</v>
      </c>
      <c r="F35" s="12"/>
      <c r="G35" s="12"/>
      <c r="H35" s="12"/>
      <c r="I35" s="13">
        <v>8.0</v>
      </c>
      <c r="J35" s="13">
        <v>59.0</v>
      </c>
      <c r="K35" s="9" t="str">
        <f t="shared" si="5"/>
        <v>Twitter Web App</v>
      </c>
      <c r="L35" s="14">
        <v>337894.0</v>
      </c>
      <c r="M35" s="14">
        <v>2999.0</v>
      </c>
      <c r="N35" s="14">
        <v>1093.0</v>
      </c>
      <c r="O35" s="15" t="s">
        <v>24</v>
      </c>
      <c r="P35" s="16">
        <v>40148.55200231481</v>
      </c>
      <c r="Q35" s="12"/>
      <c r="R35" s="10" t="s">
        <v>25</v>
      </c>
      <c r="S35" s="11" t="s">
        <v>26</v>
      </c>
      <c r="T35" s="12"/>
      <c r="U35" s="17" t="str">
        <f t="shared" si="3"/>
        <v>View</v>
      </c>
      <c r="V35" s="12"/>
      <c r="W35" s="12"/>
      <c r="X35" s="12"/>
      <c r="Y35" s="12"/>
      <c r="Z35" s="12"/>
    </row>
    <row r="36">
      <c r="A36" s="8">
        <v>44221.77976851852</v>
      </c>
      <c r="B36" s="9" t="str">
        <f t="shared" si="1"/>
        <v>@azucenau</v>
      </c>
      <c r="C36" s="10" t="s">
        <v>21</v>
      </c>
      <c r="D36" s="10" t="s">
        <v>91</v>
      </c>
      <c r="E36" s="9" t="str">
        <f>HYPERLINK("https://twitter.com/azucenau/status/1353865958864134146","1353865958864134146")</f>
        <v>1353865958864134146</v>
      </c>
      <c r="F36" s="12"/>
      <c r="G36" s="12"/>
      <c r="H36" s="12"/>
      <c r="I36" s="13">
        <v>7.0</v>
      </c>
      <c r="J36" s="13">
        <v>43.0</v>
      </c>
      <c r="K36" s="9" t="str">
        <f t="shared" si="5"/>
        <v>Twitter Web App</v>
      </c>
      <c r="L36" s="14">
        <v>337894.0</v>
      </c>
      <c r="M36" s="14">
        <v>2999.0</v>
      </c>
      <c r="N36" s="14">
        <v>1093.0</v>
      </c>
      <c r="O36" s="15" t="s">
        <v>24</v>
      </c>
      <c r="P36" s="16">
        <v>40148.55200231481</v>
      </c>
      <c r="Q36" s="12"/>
      <c r="R36" s="10" t="s">
        <v>25</v>
      </c>
      <c r="S36" s="11" t="s">
        <v>26</v>
      </c>
      <c r="T36" s="12"/>
      <c r="U36" s="17" t="str">
        <f t="shared" si="3"/>
        <v>View</v>
      </c>
      <c r="V36" s="12"/>
      <c r="W36" s="12"/>
      <c r="X36" s="12"/>
      <c r="Y36" s="12"/>
      <c r="Z36" s="12"/>
    </row>
    <row r="37">
      <c r="A37" s="8">
        <v>44221.773877314816</v>
      </c>
      <c r="B37" s="9" t="str">
        <f t="shared" si="1"/>
        <v>@azucenau</v>
      </c>
      <c r="C37" s="10" t="s">
        <v>21</v>
      </c>
      <c r="D37" s="10" t="s">
        <v>92</v>
      </c>
      <c r="E37" s="9" t="str">
        <f>HYPERLINK("https://twitter.com/azucenau/status/1353863822944120833","1353863822944120833")</f>
        <v>1353863822944120833</v>
      </c>
      <c r="F37" s="12"/>
      <c r="G37" s="12"/>
      <c r="H37" s="12"/>
      <c r="I37" s="13">
        <v>6.0</v>
      </c>
      <c r="J37" s="13">
        <v>47.0</v>
      </c>
      <c r="K37" s="9" t="str">
        <f t="shared" si="5"/>
        <v>Twitter Web App</v>
      </c>
      <c r="L37" s="14">
        <v>337894.0</v>
      </c>
      <c r="M37" s="14">
        <v>2999.0</v>
      </c>
      <c r="N37" s="14">
        <v>1093.0</v>
      </c>
      <c r="O37" s="15" t="s">
        <v>24</v>
      </c>
      <c r="P37" s="16">
        <v>40148.55200231481</v>
      </c>
      <c r="Q37" s="12"/>
      <c r="R37" s="10" t="s">
        <v>25</v>
      </c>
      <c r="S37" s="11" t="s">
        <v>26</v>
      </c>
      <c r="T37" s="12"/>
      <c r="U37" s="17" t="str">
        <f t="shared" si="3"/>
        <v>View</v>
      </c>
      <c r="V37" s="12"/>
      <c r="W37" s="12"/>
      <c r="X37" s="12"/>
      <c r="Y37" s="12"/>
      <c r="Z37" s="12"/>
    </row>
    <row r="38">
      <c r="A38" s="8">
        <v>44221.76820601852</v>
      </c>
      <c r="B38" s="9" t="str">
        <f t="shared" si="1"/>
        <v>@azucenau</v>
      </c>
      <c r="C38" s="10" t="s">
        <v>21</v>
      </c>
      <c r="D38" s="10" t="s">
        <v>93</v>
      </c>
      <c r="E38" s="9" t="str">
        <f>HYPERLINK("https://twitter.com/azucenau/status/1353861766938300418","1353861766938300418")</f>
        <v>1353861766938300418</v>
      </c>
      <c r="F38" s="12"/>
      <c r="G38" s="12"/>
      <c r="H38" s="12"/>
      <c r="I38" s="13">
        <v>2.0</v>
      </c>
      <c r="J38" s="13">
        <v>42.0</v>
      </c>
      <c r="K38" s="9" t="str">
        <f t="shared" si="5"/>
        <v>Twitter Web App</v>
      </c>
      <c r="L38" s="14">
        <v>337894.0</v>
      </c>
      <c r="M38" s="14">
        <v>2999.0</v>
      </c>
      <c r="N38" s="14">
        <v>1093.0</v>
      </c>
      <c r="O38" s="15" t="s">
        <v>24</v>
      </c>
      <c r="P38" s="16">
        <v>40148.55200231481</v>
      </c>
      <c r="Q38" s="12"/>
      <c r="R38" s="10" t="s">
        <v>25</v>
      </c>
      <c r="S38" s="11" t="s">
        <v>26</v>
      </c>
      <c r="T38" s="12"/>
      <c r="U38" s="17" t="str">
        <f t="shared" si="3"/>
        <v>View</v>
      </c>
      <c r="V38" s="12"/>
      <c r="W38" s="12"/>
      <c r="X38" s="12"/>
      <c r="Y38" s="12"/>
      <c r="Z38" s="12"/>
    </row>
    <row r="39">
      <c r="A39" s="8">
        <v>44221.75755787037</v>
      </c>
      <c r="B39" s="9" t="str">
        <f t="shared" si="1"/>
        <v>@azucenau</v>
      </c>
      <c r="C39" s="10" t="s">
        <v>21</v>
      </c>
      <c r="D39" s="10" t="s">
        <v>94</v>
      </c>
      <c r="E39" s="9" t="str">
        <f>HYPERLINK("https://twitter.com/azucenau/status/1353857907532689409","1353857907532689409")</f>
        <v>1353857907532689409</v>
      </c>
      <c r="F39" s="12"/>
      <c r="G39" s="12"/>
      <c r="H39" s="12"/>
      <c r="I39" s="13">
        <v>18.0</v>
      </c>
      <c r="J39" s="13">
        <v>214.0</v>
      </c>
      <c r="K39" s="9" t="str">
        <f t="shared" si="5"/>
        <v>Twitter Web App</v>
      </c>
      <c r="L39" s="14">
        <v>337894.0</v>
      </c>
      <c r="M39" s="14">
        <v>2999.0</v>
      </c>
      <c r="N39" s="14">
        <v>1093.0</v>
      </c>
      <c r="O39" s="15" t="s">
        <v>24</v>
      </c>
      <c r="P39" s="16">
        <v>40148.55200231481</v>
      </c>
      <c r="Q39" s="12"/>
      <c r="R39" s="10" t="s">
        <v>25</v>
      </c>
      <c r="S39" s="11" t="s">
        <v>26</v>
      </c>
      <c r="T39" s="12"/>
      <c r="U39" s="17" t="str">
        <f t="shared" si="3"/>
        <v>View</v>
      </c>
      <c r="V39" s="12"/>
      <c r="W39" s="12"/>
      <c r="X39" s="12"/>
      <c r="Y39" s="12"/>
      <c r="Z39" s="12"/>
    </row>
    <row r="40">
      <c r="A40" s="8">
        <v>44221.75001157407</v>
      </c>
      <c r="B40" s="9" t="str">
        <f t="shared" si="1"/>
        <v>@azucenau</v>
      </c>
      <c r="C40" s="10" t="s">
        <v>21</v>
      </c>
      <c r="D40" s="10" t="s">
        <v>95</v>
      </c>
      <c r="E40" s="9" t="str">
        <f>HYPERLINK("https://twitter.com/azucenau/status/1353855173123133440","1353855173123133440")</f>
        <v>1353855173123133440</v>
      </c>
      <c r="F40" s="11" t="s">
        <v>96</v>
      </c>
      <c r="G40" s="12"/>
      <c r="H40" s="12"/>
      <c r="I40" s="13">
        <v>3.0</v>
      </c>
      <c r="J40" s="13">
        <v>47.0</v>
      </c>
      <c r="K40" s="9" t="str">
        <f>HYPERLINK("https://about.twitter.com/products/tweetdeck","TweetDeck")</f>
        <v>TweetDeck</v>
      </c>
      <c r="L40" s="14">
        <v>337894.0</v>
      </c>
      <c r="M40" s="14">
        <v>2999.0</v>
      </c>
      <c r="N40" s="14">
        <v>1093.0</v>
      </c>
      <c r="O40" s="15" t="s">
        <v>24</v>
      </c>
      <c r="P40" s="16">
        <v>40148.55200231481</v>
      </c>
      <c r="Q40" s="12"/>
      <c r="R40" s="10" t="s">
        <v>25</v>
      </c>
      <c r="S40" s="11" t="s">
        <v>26</v>
      </c>
      <c r="T40" s="12"/>
      <c r="U40" s="17" t="str">
        <f t="shared" si="3"/>
        <v>View</v>
      </c>
      <c r="V40" s="12"/>
      <c r="W40" s="12"/>
      <c r="X40" s="12"/>
      <c r="Y40" s="12"/>
      <c r="Z40" s="12"/>
    </row>
    <row r="41">
      <c r="A41" s="8">
        <v>44221.73633101852</v>
      </c>
      <c r="B41" s="9" t="str">
        <f t="shared" si="1"/>
        <v>@azucenau</v>
      </c>
      <c r="C41" s="10" t="s">
        <v>21</v>
      </c>
      <c r="D41" s="10" t="s">
        <v>97</v>
      </c>
      <c r="E41" s="9" t="str">
        <f>HYPERLINK("https://twitter.com/azucenau/status/1353850217687355392","1353850217687355392")</f>
        <v>1353850217687355392</v>
      </c>
      <c r="F41" s="12"/>
      <c r="G41" s="11" t="s">
        <v>98</v>
      </c>
      <c r="H41" s="12"/>
      <c r="I41" s="13">
        <v>11.0</v>
      </c>
      <c r="J41" s="13">
        <v>91.0</v>
      </c>
      <c r="K41" s="9" t="str">
        <f>HYPERLINK("https://mobile.twitter.com","Twitter Web App")</f>
        <v>Twitter Web App</v>
      </c>
      <c r="L41" s="14">
        <v>337894.0</v>
      </c>
      <c r="M41" s="14">
        <v>2999.0</v>
      </c>
      <c r="N41" s="14">
        <v>1093.0</v>
      </c>
      <c r="O41" s="15" t="s">
        <v>24</v>
      </c>
      <c r="P41" s="16">
        <v>40148.55200231481</v>
      </c>
      <c r="Q41" s="12"/>
      <c r="R41" s="10" t="s">
        <v>25</v>
      </c>
      <c r="S41" s="11" t="s">
        <v>26</v>
      </c>
      <c r="T41" s="12"/>
      <c r="U41" s="17" t="str">
        <f t="shared" si="3"/>
        <v>View</v>
      </c>
      <c r="V41" s="12"/>
      <c r="W41" s="12"/>
      <c r="X41" s="12"/>
      <c r="Y41" s="12"/>
      <c r="Z41" s="12"/>
    </row>
    <row r="42">
      <c r="A42" s="8">
        <v>44221.70885416667</v>
      </c>
      <c r="B42" s="9" t="str">
        <f t="shared" si="1"/>
        <v>@azucenau</v>
      </c>
      <c r="C42" s="10" t="s">
        <v>21</v>
      </c>
      <c r="D42" s="10" t="s">
        <v>99</v>
      </c>
      <c r="E42" s="9" t="str">
        <f>HYPERLINK("https://twitter.com/azucenau/status/1353840260799725569","1353840260799725569")</f>
        <v>1353840260799725569</v>
      </c>
      <c r="F42" s="12"/>
      <c r="G42" s="11" t="s">
        <v>100</v>
      </c>
      <c r="H42" s="12"/>
      <c r="I42" s="13">
        <v>145.0</v>
      </c>
      <c r="J42" s="13">
        <v>417.0</v>
      </c>
      <c r="K42" s="9" t="str">
        <f>HYPERLINK("https://studio.twitter.com","Twitter Media Studio")</f>
        <v>Twitter Media Studio</v>
      </c>
      <c r="L42" s="14">
        <v>337894.0</v>
      </c>
      <c r="M42" s="14">
        <v>2999.0</v>
      </c>
      <c r="N42" s="14">
        <v>1093.0</v>
      </c>
      <c r="O42" s="15" t="s">
        <v>24</v>
      </c>
      <c r="P42" s="16">
        <v>40148.55200231481</v>
      </c>
      <c r="Q42" s="12"/>
      <c r="R42" s="10" t="s">
        <v>25</v>
      </c>
      <c r="S42" s="11" t="s">
        <v>26</v>
      </c>
      <c r="T42" s="12"/>
      <c r="U42" s="17" t="str">
        <f t="shared" si="3"/>
        <v>View</v>
      </c>
      <c r="V42" s="12"/>
      <c r="W42" s="12"/>
      <c r="X42" s="12"/>
      <c r="Y42" s="12"/>
      <c r="Z42" s="12"/>
    </row>
    <row r="43">
      <c r="A43" s="8">
        <v>44221.68597222222</v>
      </c>
      <c r="B43" s="9" t="str">
        <f t="shared" si="1"/>
        <v>@azucenau</v>
      </c>
      <c r="C43" s="10" t="s">
        <v>21</v>
      </c>
      <c r="D43" s="10" t="s">
        <v>101</v>
      </c>
      <c r="E43" s="9" t="str">
        <f>HYPERLINK("https://twitter.com/azucenau/status/1353831965003280386","1353831965003280386")</f>
        <v>1353831965003280386</v>
      </c>
      <c r="F43" s="12"/>
      <c r="G43" s="11" t="s">
        <v>102</v>
      </c>
      <c r="H43" s="12"/>
      <c r="I43" s="13">
        <v>13.0</v>
      </c>
      <c r="J43" s="13">
        <v>96.0</v>
      </c>
      <c r="K43" s="9" t="str">
        <f t="shared" ref="K43:K44" si="6">HYPERLINK("http://twitter.com/download/iphone","Twitter for iPhone")</f>
        <v>Twitter for iPhone</v>
      </c>
      <c r="L43" s="14">
        <v>337894.0</v>
      </c>
      <c r="M43" s="14">
        <v>2999.0</v>
      </c>
      <c r="N43" s="14">
        <v>1093.0</v>
      </c>
      <c r="O43" s="15" t="s">
        <v>24</v>
      </c>
      <c r="P43" s="16">
        <v>40148.55200231481</v>
      </c>
      <c r="Q43" s="12"/>
      <c r="R43" s="10" t="s">
        <v>25</v>
      </c>
      <c r="S43" s="11" t="s">
        <v>26</v>
      </c>
      <c r="T43" s="12"/>
      <c r="U43" s="17" t="str">
        <f t="shared" si="3"/>
        <v>View</v>
      </c>
      <c r="V43" s="12"/>
      <c r="W43" s="12"/>
      <c r="X43" s="12"/>
      <c r="Y43" s="12"/>
      <c r="Z43" s="12"/>
    </row>
    <row r="44">
      <c r="A44" s="8">
        <v>44221.64802083334</v>
      </c>
      <c r="B44" s="9" t="str">
        <f t="shared" si="1"/>
        <v>@azucenau</v>
      </c>
      <c r="C44" s="10" t="s">
        <v>21</v>
      </c>
      <c r="D44" s="10" t="s">
        <v>103</v>
      </c>
      <c r="E44" s="9" t="str">
        <f>HYPERLINK("https://twitter.com/azucenau/status/1353818212824207360","1353818212824207360")</f>
        <v>1353818212824207360</v>
      </c>
      <c r="F44" s="12"/>
      <c r="G44" s="11" t="s">
        <v>104</v>
      </c>
      <c r="H44" s="12"/>
      <c r="I44" s="13">
        <v>18.0</v>
      </c>
      <c r="J44" s="13">
        <v>104.0</v>
      </c>
      <c r="K44" s="9" t="str">
        <f t="shared" si="6"/>
        <v>Twitter for iPhone</v>
      </c>
      <c r="L44" s="14">
        <v>337894.0</v>
      </c>
      <c r="M44" s="14">
        <v>2999.0</v>
      </c>
      <c r="N44" s="14">
        <v>1093.0</v>
      </c>
      <c r="O44" s="15" t="s">
        <v>24</v>
      </c>
      <c r="P44" s="16">
        <v>40148.55200231481</v>
      </c>
      <c r="Q44" s="12"/>
      <c r="R44" s="10" t="s">
        <v>25</v>
      </c>
      <c r="S44" s="11" t="s">
        <v>26</v>
      </c>
      <c r="T44" s="12"/>
      <c r="U44" s="17" t="str">
        <f t="shared" si="3"/>
        <v>View</v>
      </c>
      <c r="V44" s="12"/>
      <c r="W44" s="12"/>
      <c r="X44" s="12"/>
      <c r="Y44" s="12"/>
      <c r="Z44" s="12"/>
    </row>
    <row r="45">
      <c r="A45" s="8">
        <v>44221.638194444444</v>
      </c>
      <c r="B45" s="9" t="str">
        <f t="shared" si="1"/>
        <v>@azucenau</v>
      </c>
      <c r="C45" s="10" t="s">
        <v>21</v>
      </c>
      <c r="D45" s="10" t="s">
        <v>105</v>
      </c>
      <c r="E45" s="9" t="str">
        <f>HYPERLINK("https://twitter.com/azucenau/status/1353814653642670080","1353814653642670080")</f>
        <v>1353814653642670080</v>
      </c>
      <c r="F45" s="11" t="s">
        <v>106</v>
      </c>
      <c r="G45" s="12"/>
      <c r="H45" s="12"/>
      <c r="I45" s="13">
        <v>18.0</v>
      </c>
      <c r="J45" s="13">
        <v>103.0</v>
      </c>
      <c r="K45" s="9" t="str">
        <f>HYPERLINK("https://mobile.twitter.com","Twitter Web App")</f>
        <v>Twitter Web App</v>
      </c>
      <c r="L45" s="14">
        <v>337894.0</v>
      </c>
      <c r="M45" s="14">
        <v>2999.0</v>
      </c>
      <c r="N45" s="14">
        <v>1093.0</v>
      </c>
      <c r="O45" s="15" t="s">
        <v>24</v>
      </c>
      <c r="P45" s="16">
        <v>40148.55200231481</v>
      </c>
      <c r="Q45" s="12"/>
      <c r="R45" s="10" t="s">
        <v>25</v>
      </c>
      <c r="S45" s="11" t="s">
        <v>26</v>
      </c>
      <c r="T45" s="12"/>
      <c r="U45" s="17" t="str">
        <f t="shared" si="3"/>
        <v>View</v>
      </c>
      <c r="V45" s="12"/>
      <c r="W45" s="12"/>
      <c r="X45" s="12"/>
      <c r="Y45" s="12"/>
      <c r="Z45" s="12"/>
    </row>
    <row r="46">
      <c r="A46" s="8">
        <v>44221.40828703703</v>
      </c>
      <c r="B46" s="9" t="str">
        <f t="shared" si="1"/>
        <v>@azucenau</v>
      </c>
      <c r="C46" s="10" t="s">
        <v>21</v>
      </c>
      <c r="D46" s="10" t="s">
        <v>107</v>
      </c>
      <c r="E46" s="9" t="str">
        <f>HYPERLINK("https://twitter.com/azucenau/status/1353731337392369666","1353731337392369666")</f>
        <v>1353731337392369666</v>
      </c>
      <c r="F46" s="11" t="s">
        <v>108</v>
      </c>
      <c r="G46" s="11" t="s">
        <v>109</v>
      </c>
      <c r="H46" s="12"/>
      <c r="I46" s="13">
        <v>7.0</v>
      </c>
      <c r="J46" s="13">
        <v>76.0</v>
      </c>
      <c r="K46" s="9" t="str">
        <f t="shared" ref="K46:K57" si="7">HYPERLINK("http://twitter.com/download/iphone","Twitter for iPhone")</f>
        <v>Twitter for iPhone</v>
      </c>
      <c r="L46" s="14">
        <v>337894.0</v>
      </c>
      <c r="M46" s="14">
        <v>2999.0</v>
      </c>
      <c r="N46" s="14">
        <v>1093.0</v>
      </c>
      <c r="O46" s="15" t="s">
        <v>24</v>
      </c>
      <c r="P46" s="16">
        <v>40148.55200231481</v>
      </c>
      <c r="Q46" s="12"/>
      <c r="R46" s="10" t="s">
        <v>25</v>
      </c>
      <c r="S46" s="11" t="s">
        <v>26</v>
      </c>
      <c r="T46" s="12"/>
      <c r="U46" s="17" t="str">
        <f t="shared" si="3"/>
        <v>View</v>
      </c>
      <c r="V46" s="12"/>
      <c r="W46" s="12"/>
      <c r="X46" s="12"/>
      <c r="Y46" s="12"/>
      <c r="Z46" s="12"/>
    </row>
    <row r="47">
      <c r="A47" s="8">
        <v>44221.307233796295</v>
      </c>
      <c r="B47" s="9" t="str">
        <f t="shared" si="1"/>
        <v>@azucenau</v>
      </c>
      <c r="C47" s="10" t="s">
        <v>21</v>
      </c>
      <c r="D47" s="10" t="s">
        <v>110</v>
      </c>
      <c r="E47" s="9" t="str">
        <f>HYPERLINK("https://twitter.com/azucenau/status/1353694717062635522","1353694717062635522")</f>
        <v>1353694717062635522</v>
      </c>
      <c r="F47" s="12"/>
      <c r="G47" s="12"/>
      <c r="H47" s="12"/>
      <c r="I47" s="13">
        <v>25.0</v>
      </c>
      <c r="J47" s="13">
        <v>207.0</v>
      </c>
      <c r="K47" s="9" t="str">
        <f t="shared" si="7"/>
        <v>Twitter for iPhone</v>
      </c>
      <c r="L47" s="14">
        <v>337894.0</v>
      </c>
      <c r="M47" s="14">
        <v>2999.0</v>
      </c>
      <c r="N47" s="14">
        <v>1093.0</v>
      </c>
      <c r="O47" s="15" t="s">
        <v>24</v>
      </c>
      <c r="P47" s="16">
        <v>40148.55200231481</v>
      </c>
      <c r="Q47" s="12"/>
      <c r="R47" s="10" t="s">
        <v>25</v>
      </c>
      <c r="S47" s="11" t="s">
        <v>26</v>
      </c>
      <c r="T47" s="12"/>
      <c r="U47" s="17" t="str">
        <f t="shared" si="3"/>
        <v>View</v>
      </c>
      <c r="V47" s="12"/>
      <c r="W47" s="12"/>
      <c r="X47" s="12"/>
      <c r="Y47" s="12"/>
      <c r="Z47" s="12"/>
    </row>
    <row r="48">
      <c r="A48" s="8">
        <v>44220.817395833335</v>
      </c>
      <c r="B48" s="9" t="str">
        <f t="shared" si="1"/>
        <v>@azucenau</v>
      </c>
      <c r="C48" s="10" t="s">
        <v>21</v>
      </c>
      <c r="D48" s="10" t="s">
        <v>111</v>
      </c>
      <c r="E48" s="9" t="str">
        <f>HYPERLINK("https://twitter.com/azucenau/status/1353517205321900038","1353517205321900038")</f>
        <v>1353517205321900038</v>
      </c>
      <c r="F48" s="12"/>
      <c r="G48" s="11" t="s">
        <v>112</v>
      </c>
      <c r="H48" s="12"/>
      <c r="I48" s="13">
        <v>46.0</v>
      </c>
      <c r="J48" s="13">
        <v>164.0</v>
      </c>
      <c r="K48" s="9" t="str">
        <f t="shared" si="7"/>
        <v>Twitter for iPhone</v>
      </c>
      <c r="L48" s="14">
        <v>337894.0</v>
      </c>
      <c r="M48" s="14">
        <v>2999.0</v>
      </c>
      <c r="N48" s="14">
        <v>1093.0</v>
      </c>
      <c r="O48" s="15" t="s">
        <v>24</v>
      </c>
      <c r="P48" s="16">
        <v>40148.55200231481</v>
      </c>
      <c r="Q48" s="12"/>
      <c r="R48" s="10" t="s">
        <v>25</v>
      </c>
      <c r="S48" s="11" t="s">
        <v>26</v>
      </c>
      <c r="T48" s="12"/>
      <c r="U48" s="17" t="str">
        <f t="shared" si="3"/>
        <v>View</v>
      </c>
      <c r="V48" s="12"/>
      <c r="W48" s="12"/>
      <c r="X48" s="12"/>
      <c r="Y48" s="12"/>
      <c r="Z48" s="12"/>
    </row>
    <row r="49">
      <c r="A49" s="8">
        <v>44220.8133912037</v>
      </c>
      <c r="B49" s="9" t="str">
        <f t="shared" si="1"/>
        <v>@azucenau</v>
      </c>
      <c r="C49" s="10" t="s">
        <v>21</v>
      </c>
      <c r="D49" s="10" t="s">
        <v>113</v>
      </c>
      <c r="E49" s="9" t="str">
        <f>HYPERLINK("https://twitter.com/azucenau/status/1353515752712769536","1353515752712769536")</f>
        <v>1353515752712769536</v>
      </c>
      <c r="F49" s="12"/>
      <c r="G49" s="11" t="s">
        <v>114</v>
      </c>
      <c r="H49" s="12"/>
      <c r="I49" s="13">
        <v>135.0</v>
      </c>
      <c r="J49" s="13">
        <v>529.0</v>
      </c>
      <c r="K49" s="9" t="str">
        <f t="shared" si="7"/>
        <v>Twitter for iPhone</v>
      </c>
      <c r="L49" s="14">
        <v>337894.0</v>
      </c>
      <c r="M49" s="14">
        <v>2999.0</v>
      </c>
      <c r="N49" s="14">
        <v>1093.0</v>
      </c>
      <c r="O49" s="15" t="s">
        <v>24</v>
      </c>
      <c r="P49" s="16">
        <v>40148.55200231481</v>
      </c>
      <c r="Q49" s="12"/>
      <c r="R49" s="10" t="s">
        <v>25</v>
      </c>
      <c r="S49" s="11" t="s">
        <v>26</v>
      </c>
      <c r="T49" s="12"/>
      <c r="U49" s="17" t="str">
        <f t="shared" si="3"/>
        <v>View</v>
      </c>
      <c r="V49" s="12"/>
      <c r="W49" s="12"/>
      <c r="X49" s="12"/>
      <c r="Y49" s="12"/>
      <c r="Z49" s="12"/>
    </row>
    <row r="50">
      <c r="A50" s="8">
        <v>44220.79945601852</v>
      </c>
      <c r="B50" s="9" t="str">
        <f t="shared" si="1"/>
        <v>@azucenau</v>
      </c>
      <c r="C50" s="10" t="s">
        <v>21</v>
      </c>
      <c r="D50" s="10" t="s">
        <v>115</v>
      </c>
      <c r="E50" s="9" t="str">
        <f>HYPERLINK("https://twitter.com/azucenau/status/1353510705958424576","1353510705958424576")</f>
        <v>1353510705958424576</v>
      </c>
      <c r="F50" s="11" t="s">
        <v>116</v>
      </c>
      <c r="G50" s="12"/>
      <c r="H50" s="12"/>
      <c r="I50" s="13">
        <v>30.0</v>
      </c>
      <c r="J50" s="13">
        <v>276.0</v>
      </c>
      <c r="K50" s="9" t="str">
        <f t="shared" si="7"/>
        <v>Twitter for iPhone</v>
      </c>
      <c r="L50" s="14">
        <v>337894.0</v>
      </c>
      <c r="M50" s="14">
        <v>2999.0</v>
      </c>
      <c r="N50" s="14">
        <v>1093.0</v>
      </c>
      <c r="O50" s="15" t="s">
        <v>24</v>
      </c>
      <c r="P50" s="16">
        <v>40148.55200231481</v>
      </c>
      <c r="Q50" s="12"/>
      <c r="R50" s="10" t="s">
        <v>25</v>
      </c>
      <c r="S50" s="11" t="s">
        <v>26</v>
      </c>
      <c r="T50" s="12"/>
      <c r="U50" s="17" t="str">
        <f t="shared" si="3"/>
        <v>View</v>
      </c>
      <c r="V50" s="12"/>
      <c r="W50" s="12"/>
      <c r="X50" s="12"/>
      <c r="Y50" s="12"/>
      <c r="Z50" s="12"/>
    </row>
    <row r="51">
      <c r="A51" s="8">
        <v>44220.7993287037</v>
      </c>
      <c r="B51" s="9" t="str">
        <f t="shared" si="1"/>
        <v>@azucenau</v>
      </c>
      <c r="C51" s="10" t="s">
        <v>21</v>
      </c>
      <c r="D51" s="10" t="s">
        <v>117</v>
      </c>
      <c r="E51" s="9" t="str">
        <f>HYPERLINK("https://twitter.com/azucenau/status/1353510659921752067","1353510659921752067")</f>
        <v>1353510659921752067</v>
      </c>
      <c r="F51" s="12"/>
      <c r="G51" s="11" t="s">
        <v>118</v>
      </c>
      <c r="H51" s="12"/>
      <c r="I51" s="13">
        <v>64.0</v>
      </c>
      <c r="J51" s="13">
        <v>140.0</v>
      </c>
      <c r="K51" s="9" t="str">
        <f t="shared" si="7"/>
        <v>Twitter for iPhone</v>
      </c>
      <c r="L51" s="14">
        <v>337894.0</v>
      </c>
      <c r="M51" s="14">
        <v>2999.0</v>
      </c>
      <c r="N51" s="14">
        <v>1093.0</v>
      </c>
      <c r="O51" s="15" t="s">
        <v>24</v>
      </c>
      <c r="P51" s="16">
        <v>40148.55200231481</v>
      </c>
      <c r="Q51" s="12"/>
      <c r="R51" s="10" t="s">
        <v>25</v>
      </c>
      <c r="S51" s="11" t="s">
        <v>26</v>
      </c>
      <c r="T51" s="12"/>
      <c r="U51" s="17" t="str">
        <f t="shared" si="3"/>
        <v>View</v>
      </c>
      <c r="V51" s="12"/>
      <c r="W51" s="12"/>
      <c r="X51" s="12"/>
      <c r="Y51" s="12"/>
      <c r="Z51" s="12"/>
    </row>
    <row r="52">
      <c r="A52" s="8">
        <v>44220.57922453704</v>
      </c>
      <c r="B52" s="9" t="str">
        <f t="shared" si="1"/>
        <v>@azucenau</v>
      </c>
      <c r="C52" s="10" t="s">
        <v>21</v>
      </c>
      <c r="D52" s="10" t="s">
        <v>119</v>
      </c>
      <c r="E52" s="9" t="str">
        <f>HYPERLINK("https://twitter.com/azucenau/status/1353430894590083072","1353430894590083072")</f>
        <v>1353430894590083072</v>
      </c>
      <c r="F52" s="12"/>
      <c r="G52" s="11" t="s">
        <v>120</v>
      </c>
      <c r="H52" s="12"/>
      <c r="I52" s="13">
        <v>918.0</v>
      </c>
      <c r="J52" s="13">
        <v>1743.0</v>
      </c>
      <c r="K52" s="9" t="str">
        <f t="shared" si="7"/>
        <v>Twitter for iPhone</v>
      </c>
      <c r="L52" s="14">
        <v>337894.0</v>
      </c>
      <c r="M52" s="14">
        <v>2999.0</v>
      </c>
      <c r="N52" s="14">
        <v>1093.0</v>
      </c>
      <c r="O52" s="15" t="s">
        <v>24</v>
      </c>
      <c r="P52" s="16">
        <v>40148.55200231481</v>
      </c>
      <c r="Q52" s="12"/>
      <c r="R52" s="10" t="s">
        <v>25</v>
      </c>
      <c r="S52" s="11" t="s">
        <v>26</v>
      </c>
      <c r="T52" s="12"/>
      <c r="U52" s="17" t="str">
        <f t="shared" si="3"/>
        <v>View</v>
      </c>
      <c r="V52" s="12"/>
      <c r="W52" s="12"/>
      <c r="X52" s="12"/>
      <c r="Y52" s="12"/>
      <c r="Z52" s="12"/>
    </row>
    <row r="53">
      <c r="A53" s="8">
        <v>44220.4115625</v>
      </c>
      <c r="B53" s="9" t="str">
        <f t="shared" si="1"/>
        <v>@azucenau</v>
      </c>
      <c r="C53" s="10" t="s">
        <v>21</v>
      </c>
      <c r="D53" s="10" t="s">
        <v>121</v>
      </c>
      <c r="E53" s="9" t="str">
        <f>HYPERLINK("https://twitter.com/azucenau/status/1353370134111514624","1353370134111514624")</f>
        <v>1353370134111514624</v>
      </c>
      <c r="F53" s="11" t="s">
        <v>122</v>
      </c>
      <c r="G53" s="12"/>
      <c r="H53" s="12"/>
      <c r="I53" s="13">
        <v>71.0</v>
      </c>
      <c r="J53" s="13">
        <v>132.0</v>
      </c>
      <c r="K53" s="9" t="str">
        <f t="shared" si="7"/>
        <v>Twitter for iPhone</v>
      </c>
      <c r="L53" s="14">
        <v>337894.0</v>
      </c>
      <c r="M53" s="14">
        <v>2999.0</v>
      </c>
      <c r="N53" s="14">
        <v>1093.0</v>
      </c>
      <c r="O53" s="15" t="s">
        <v>24</v>
      </c>
      <c r="P53" s="16">
        <v>40148.55200231481</v>
      </c>
      <c r="Q53" s="12"/>
      <c r="R53" s="10" t="s">
        <v>25</v>
      </c>
      <c r="S53" s="11" t="s">
        <v>26</v>
      </c>
      <c r="T53" s="12"/>
      <c r="U53" s="17" t="str">
        <f t="shared" si="3"/>
        <v>View</v>
      </c>
      <c r="V53" s="12"/>
      <c r="W53" s="12"/>
      <c r="X53" s="12"/>
      <c r="Y53" s="12"/>
      <c r="Z53" s="12"/>
    </row>
    <row r="54">
      <c r="A54" s="8">
        <v>44219.80452546296</v>
      </c>
      <c r="B54" s="9" t="str">
        <f t="shared" si="1"/>
        <v>@azucenau</v>
      </c>
      <c r="C54" s="10" t="s">
        <v>21</v>
      </c>
      <c r="D54" s="10" t="s">
        <v>123</v>
      </c>
      <c r="E54" s="9" t="str">
        <f>HYPERLINK("https://twitter.com/azucenau/status/1353150152954011648","1353150152954011648")</f>
        <v>1353150152954011648</v>
      </c>
      <c r="F54" s="12"/>
      <c r="G54" s="11" t="s">
        <v>124</v>
      </c>
      <c r="H54" s="12"/>
      <c r="I54" s="13">
        <v>104.0</v>
      </c>
      <c r="J54" s="13">
        <v>258.0</v>
      </c>
      <c r="K54" s="9" t="str">
        <f t="shared" si="7"/>
        <v>Twitter for iPhone</v>
      </c>
      <c r="L54" s="14">
        <v>337894.0</v>
      </c>
      <c r="M54" s="14">
        <v>2999.0</v>
      </c>
      <c r="N54" s="14">
        <v>1093.0</v>
      </c>
      <c r="O54" s="15" t="s">
        <v>24</v>
      </c>
      <c r="P54" s="16">
        <v>40148.55200231481</v>
      </c>
      <c r="Q54" s="12"/>
      <c r="R54" s="10" t="s">
        <v>25</v>
      </c>
      <c r="S54" s="11" t="s">
        <v>26</v>
      </c>
      <c r="T54" s="12"/>
      <c r="U54" s="17" t="str">
        <f t="shared" si="3"/>
        <v>View</v>
      </c>
      <c r="V54" s="12"/>
      <c r="W54" s="12"/>
      <c r="X54" s="12"/>
      <c r="Y54" s="12"/>
      <c r="Z54" s="12"/>
    </row>
    <row r="55">
      <c r="A55" s="8">
        <v>44219.66133101852</v>
      </c>
      <c r="B55" s="9" t="str">
        <f t="shared" si="1"/>
        <v>@azucenau</v>
      </c>
      <c r="C55" s="10" t="s">
        <v>21</v>
      </c>
      <c r="D55" s="10" t="s">
        <v>125</v>
      </c>
      <c r="E55" s="9" t="str">
        <f>HYPERLINK("https://twitter.com/azucenau/status/1353098262090231819","1353098262090231819")</f>
        <v>1353098262090231819</v>
      </c>
      <c r="F55" s="12"/>
      <c r="G55" s="11" t="s">
        <v>126</v>
      </c>
      <c r="H55" s="12"/>
      <c r="I55" s="13">
        <v>194.0</v>
      </c>
      <c r="J55" s="13">
        <v>1681.0</v>
      </c>
      <c r="K55" s="9" t="str">
        <f t="shared" si="7"/>
        <v>Twitter for iPhone</v>
      </c>
      <c r="L55" s="14">
        <v>337894.0</v>
      </c>
      <c r="M55" s="14">
        <v>2999.0</v>
      </c>
      <c r="N55" s="14">
        <v>1093.0</v>
      </c>
      <c r="O55" s="15" t="s">
        <v>24</v>
      </c>
      <c r="P55" s="16">
        <v>40148.55200231481</v>
      </c>
      <c r="Q55" s="12"/>
      <c r="R55" s="10" t="s">
        <v>25</v>
      </c>
      <c r="S55" s="11" t="s">
        <v>26</v>
      </c>
      <c r="T55" s="12"/>
      <c r="U55" s="17" t="str">
        <f t="shared" si="3"/>
        <v>View</v>
      </c>
      <c r="V55" s="12"/>
      <c r="W55" s="12"/>
      <c r="X55" s="12"/>
      <c r="Y55" s="12"/>
      <c r="Z55" s="12"/>
    </row>
    <row r="56">
      <c r="A56" s="8">
        <v>44219.48322916667</v>
      </c>
      <c r="B56" s="9" t="str">
        <f t="shared" si="1"/>
        <v>@azucenau</v>
      </c>
      <c r="C56" s="10" t="s">
        <v>21</v>
      </c>
      <c r="D56" s="10" t="s">
        <v>127</v>
      </c>
      <c r="E56" s="9" t="str">
        <f>HYPERLINK("https://twitter.com/azucenau/status/1353033718210850816","1353033718210850816")</f>
        <v>1353033718210850816</v>
      </c>
      <c r="F56" s="12"/>
      <c r="G56" s="11" t="s">
        <v>128</v>
      </c>
      <c r="H56" s="12"/>
      <c r="I56" s="13">
        <v>135.0</v>
      </c>
      <c r="J56" s="13">
        <v>377.0</v>
      </c>
      <c r="K56" s="9" t="str">
        <f t="shared" si="7"/>
        <v>Twitter for iPhone</v>
      </c>
      <c r="L56" s="14">
        <v>337894.0</v>
      </c>
      <c r="M56" s="14">
        <v>2999.0</v>
      </c>
      <c r="N56" s="14">
        <v>1093.0</v>
      </c>
      <c r="O56" s="15" t="s">
        <v>24</v>
      </c>
      <c r="P56" s="16">
        <v>40148.55200231481</v>
      </c>
      <c r="Q56" s="12"/>
      <c r="R56" s="10" t="s">
        <v>25</v>
      </c>
      <c r="S56" s="11" t="s">
        <v>26</v>
      </c>
      <c r="T56" s="12"/>
      <c r="U56" s="17" t="str">
        <f t="shared" si="3"/>
        <v>View</v>
      </c>
      <c r="V56" s="12"/>
      <c r="W56" s="12"/>
      <c r="X56" s="12"/>
      <c r="Y56" s="12"/>
      <c r="Z56" s="12"/>
    </row>
    <row r="57">
      <c r="A57" s="8">
        <v>44219.46262731482</v>
      </c>
      <c r="B57" s="9" t="str">
        <f t="shared" si="1"/>
        <v>@azucenau</v>
      </c>
      <c r="C57" s="10" t="s">
        <v>21</v>
      </c>
      <c r="D57" s="10" t="s">
        <v>129</v>
      </c>
      <c r="E57" s="9" t="str">
        <f>HYPERLINK("https://twitter.com/azucenau/status/1353026253746561025","1353026253746561025")</f>
        <v>1353026253746561025</v>
      </c>
      <c r="F57" s="11" t="s">
        <v>130</v>
      </c>
      <c r="G57" s="12"/>
      <c r="H57" s="12"/>
      <c r="I57" s="13">
        <v>26.0</v>
      </c>
      <c r="J57" s="13">
        <v>166.0</v>
      </c>
      <c r="K57" s="9" t="str">
        <f t="shared" si="7"/>
        <v>Twitter for iPhone</v>
      </c>
      <c r="L57" s="14">
        <v>337894.0</v>
      </c>
      <c r="M57" s="14">
        <v>2999.0</v>
      </c>
      <c r="N57" s="14">
        <v>1093.0</v>
      </c>
      <c r="O57" s="15" t="s">
        <v>24</v>
      </c>
      <c r="P57" s="16">
        <v>40148.55200231481</v>
      </c>
      <c r="Q57" s="12"/>
      <c r="R57" s="10" t="s">
        <v>25</v>
      </c>
      <c r="S57" s="11" t="s">
        <v>26</v>
      </c>
      <c r="T57" s="12"/>
      <c r="U57" s="17" t="str">
        <f t="shared" si="3"/>
        <v>View</v>
      </c>
      <c r="V57" s="12"/>
      <c r="W57" s="12"/>
      <c r="X57" s="12"/>
      <c r="Y57" s="12"/>
      <c r="Z57" s="12"/>
    </row>
    <row r="58">
      <c r="A58" s="8">
        <v>44218.97479166667</v>
      </c>
      <c r="B58" s="9" t="str">
        <f t="shared" si="1"/>
        <v>@azucenau</v>
      </c>
      <c r="C58" s="10" t="s">
        <v>21</v>
      </c>
      <c r="D58" s="10" t="s">
        <v>131</v>
      </c>
      <c r="E58" s="9" t="str">
        <f>HYPERLINK("https://twitter.com/azucenau/status/1352849466164977665","1352849466164977665")</f>
        <v>1352849466164977665</v>
      </c>
      <c r="F58" s="12"/>
      <c r="G58" s="11" t="s">
        <v>132</v>
      </c>
      <c r="H58" s="12"/>
      <c r="I58" s="13">
        <v>28.0</v>
      </c>
      <c r="J58" s="13">
        <v>134.0</v>
      </c>
      <c r="K58" s="9" t="str">
        <f t="shared" ref="K58:K86" si="8">HYPERLINK("https://www.twitter.com/","Twitter Media Studio - LiveCut")</f>
        <v>Twitter Media Studio - LiveCut</v>
      </c>
      <c r="L58" s="14">
        <v>337894.0</v>
      </c>
      <c r="M58" s="14">
        <v>2999.0</v>
      </c>
      <c r="N58" s="14">
        <v>1093.0</v>
      </c>
      <c r="O58" s="15" t="s">
        <v>24</v>
      </c>
      <c r="P58" s="16">
        <v>40148.55200231481</v>
      </c>
      <c r="Q58" s="12"/>
      <c r="R58" s="10" t="s">
        <v>25</v>
      </c>
      <c r="S58" s="11" t="s">
        <v>26</v>
      </c>
      <c r="T58" s="12"/>
      <c r="U58" s="17" t="str">
        <f t="shared" si="3"/>
        <v>View</v>
      </c>
      <c r="V58" s="12"/>
      <c r="W58" s="12"/>
      <c r="X58" s="12"/>
      <c r="Y58" s="12"/>
      <c r="Z58" s="12"/>
    </row>
    <row r="59">
      <c r="A59" s="8">
        <v>44218.97369212963</v>
      </c>
      <c r="B59" s="9" t="str">
        <f t="shared" si="1"/>
        <v>@azucenau</v>
      </c>
      <c r="C59" s="10" t="s">
        <v>21</v>
      </c>
      <c r="D59" s="10" t="s">
        <v>133</v>
      </c>
      <c r="E59" s="9" t="str">
        <f>HYPERLINK("https://twitter.com/azucenau/status/1352849067425062912","1352849067425062912")</f>
        <v>1352849067425062912</v>
      </c>
      <c r="F59" s="12"/>
      <c r="G59" s="11" t="s">
        <v>134</v>
      </c>
      <c r="H59" s="12"/>
      <c r="I59" s="13">
        <v>67.0</v>
      </c>
      <c r="J59" s="13">
        <v>333.0</v>
      </c>
      <c r="K59" s="9" t="str">
        <f t="shared" si="8"/>
        <v>Twitter Media Studio - LiveCut</v>
      </c>
      <c r="L59" s="14">
        <v>337894.0</v>
      </c>
      <c r="M59" s="14">
        <v>2999.0</v>
      </c>
      <c r="N59" s="14">
        <v>1093.0</v>
      </c>
      <c r="O59" s="15" t="s">
        <v>24</v>
      </c>
      <c r="P59" s="16">
        <v>40148.55200231481</v>
      </c>
      <c r="Q59" s="12"/>
      <c r="R59" s="10" t="s">
        <v>25</v>
      </c>
      <c r="S59" s="11" t="s">
        <v>26</v>
      </c>
      <c r="T59" s="12"/>
      <c r="U59" s="17" t="str">
        <f t="shared" si="3"/>
        <v>View</v>
      </c>
      <c r="V59" s="12"/>
      <c r="W59" s="12"/>
      <c r="X59" s="12"/>
      <c r="Y59" s="12"/>
      <c r="Z59" s="12"/>
    </row>
    <row r="60">
      <c r="A60" s="8">
        <v>44218.97219907407</v>
      </c>
      <c r="B60" s="9" t="str">
        <f t="shared" si="1"/>
        <v>@azucenau</v>
      </c>
      <c r="C60" s="10" t="s">
        <v>21</v>
      </c>
      <c r="D60" s="10" t="s">
        <v>135</v>
      </c>
      <c r="E60" s="9" t="str">
        <f>HYPERLINK("https://twitter.com/azucenau/status/1352848528364732416","1352848528364732416")</f>
        <v>1352848528364732416</v>
      </c>
      <c r="F60" s="12"/>
      <c r="G60" s="11" t="s">
        <v>136</v>
      </c>
      <c r="H60" s="12"/>
      <c r="I60" s="13">
        <v>56.0</v>
      </c>
      <c r="J60" s="13">
        <v>129.0</v>
      </c>
      <c r="K60" s="9" t="str">
        <f t="shared" si="8"/>
        <v>Twitter Media Studio - LiveCut</v>
      </c>
      <c r="L60" s="14">
        <v>337894.0</v>
      </c>
      <c r="M60" s="14">
        <v>2999.0</v>
      </c>
      <c r="N60" s="14">
        <v>1093.0</v>
      </c>
      <c r="O60" s="15" t="s">
        <v>24</v>
      </c>
      <c r="P60" s="16">
        <v>40148.55200231481</v>
      </c>
      <c r="Q60" s="12"/>
      <c r="R60" s="10" t="s">
        <v>25</v>
      </c>
      <c r="S60" s="11" t="s">
        <v>26</v>
      </c>
      <c r="T60" s="12"/>
      <c r="U60" s="17" t="str">
        <f t="shared" si="3"/>
        <v>View</v>
      </c>
      <c r="V60" s="12"/>
      <c r="W60" s="12"/>
      <c r="X60" s="12"/>
      <c r="Y60" s="12"/>
      <c r="Z60" s="12"/>
    </row>
    <row r="61">
      <c r="A61" s="8">
        <v>44218.971192129626</v>
      </c>
      <c r="B61" s="9" t="str">
        <f t="shared" si="1"/>
        <v>@azucenau</v>
      </c>
      <c r="C61" s="10" t="s">
        <v>21</v>
      </c>
      <c r="D61" s="10" t="s">
        <v>137</v>
      </c>
      <c r="E61" s="9" t="str">
        <f>HYPERLINK("https://twitter.com/azucenau/status/1352848163439333378","1352848163439333378")</f>
        <v>1352848163439333378</v>
      </c>
      <c r="F61" s="12"/>
      <c r="G61" s="11" t="s">
        <v>138</v>
      </c>
      <c r="H61" s="12"/>
      <c r="I61" s="13">
        <v>9.0</v>
      </c>
      <c r="J61" s="13">
        <v>56.0</v>
      </c>
      <c r="K61" s="9" t="str">
        <f t="shared" si="8"/>
        <v>Twitter Media Studio - LiveCut</v>
      </c>
      <c r="L61" s="14">
        <v>337894.0</v>
      </c>
      <c r="M61" s="14">
        <v>2999.0</v>
      </c>
      <c r="N61" s="14">
        <v>1093.0</v>
      </c>
      <c r="O61" s="15" t="s">
        <v>24</v>
      </c>
      <c r="P61" s="16">
        <v>40148.55200231481</v>
      </c>
      <c r="Q61" s="12"/>
      <c r="R61" s="10" t="s">
        <v>25</v>
      </c>
      <c r="S61" s="11" t="s">
        <v>26</v>
      </c>
      <c r="T61" s="12"/>
      <c r="U61" s="17" t="str">
        <f t="shared" si="3"/>
        <v>View</v>
      </c>
      <c r="V61" s="12"/>
      <c r="W61" s="12"/>
      <c r="X61" s="12"/>
      <c r="Y61" s="12"/>
      <c r="Z61" s="12"/>
    </row>
    <row r="62">
      <c r="A62" s="8">
        <v>44218.9702662037</v>
      </c>
      <c r="B62" s="9" t="str">
        <f t="shared" si="1"/>
        <v>@azucenau</v>
      </c>
      <c r="C62" s="10" t="s">
        <v>21</v>
      </c>
      <c r="D62" s="10" t="s">
        <v>139</v>
      </c>
      <c r="E62" s="9" t="str">
        <f>HYPERLINK("https://twitter.com/azucenau/status/1352847827504943109","1352847827504943109")</f>
        <v>1352847827504943109</v>
      </c>
      <c r="F62" s="12"/>
      <c r="G62" s="11" t="s">
        <v>140</v>
      </c>
      <c r="H62" s="12"/>
      <c r="I62" s="13">
        <v>30.0</v>
      </c>
      <c r="J62" s="13">
        <v>78.0</v>
      </c>
      <c r="K62" s="9" t="str">
        <f t="shared" si="8"/>
        <v>Twitter Media Studio - LiveCut</v>
      </c>
      <c r="L62" s="14">
        <v>337894.0</v>
      </c>
      <c r="M62" s="14">
        <v>2999.0</v>
      </c>
      <c r="N62" s="14">
        <v>1093.0</v>
      </c>
      <c r="O62" s="15" t="s">
        <v>24</v>
      </c>
      <c r="P62" s="16">
        <v>40148.55200231481</v>
      </c>
      <c r="Q62" s="12"/>
      <c r="R62" s="10" t="s">
        <v>25</v>
      </c>
      <c r="S62" s="11" t="s">
        <v>26</v>
      </c>
      <c r="T62" s="12"/>
      <c r="U62" s="17" t="str">
        <f t="shared" si="3"/>
        <v>View</v>
      </c>
      <c r="V62" s="12"/>
      <c r="W62" s="12"/>
      <c r="X62" s="12"/>
      <c r="Y62" s="12"/>
      <c r="Z62" s="12"/>
    </row>
    <row r="63">
      <c r="A63" s="8">
        <v>44218.94938657407</v>
      </c>
      <c r="B63" s="9" t="str">
        <f t="shared" si="1"/>
        <v>@azucenau</v>
      </c>
      <c r="C63" s="10" t="s">
        <v>21</v>
      </c>
      <c r="D63" s="10" t="s">
        <v>141</v>
      </c>
      <c r="E63" s="9" t="str">
        <f>HYPERLINK("https://twitter.com/azucenau/status/1352840262926688257","1352840262926688257")</f>
        <v>1352840262926688257</v>
      </c>
      <c r="F63" s="12"/>
      <c r="G63" s="11" t="s">
        <v>142</v>
      </c>
      <c r="H63" s="12"/>
      <c r="I63" s="13">
        <v>5.0</v>
      </c>
      <c r="J63" s="13">
        <v>34.0</v>
      </c>
      <c r="K63" s="9" t="str">
        <f t="shared" si="8"/>
        <v>Twitter Media Studio - LiveCut</v>
      </c>
      <c r="L63" s="14">
        <v>337894.0</v>
      </c>
      <c r="M63" s="14">
        <v>2999.0</v>
      </c>
      <c r="N63" s="14">
        <v>1093.0</v>
      </c>
      <c r="O63" s="15" t="s">
        <v>24</v>
      </c>
      <c r="P63" s="16">
        <v>40148.55200231481</v>
      </c>
      <c r="Q63" s="12"/>
      <c r="R63" s="10" t="s">
        <v>25</v>
      </c>
      <c r="S63" s="11" t="s">
        <v>26</v>
      </c>
      <c r="T63" s="12"/>
      <c r="U63" s="17" t="str">
        <f t="shared" si="3"/>
        <v>View</v>
      </c>
      <c r="V63" s="12"/>
      <c r="W63" s="12"/>
      <c r="X63" s="12"/>
      <c r="Y63" s="12"/>
      <c r="Z63" s="12"/>
    </row>
    <row r="64">
      <c r="A64" s="8">
        <v>44218.948842592596</v>
      </c>
      <c r="B64" s="9" t="str">
        <f t="shared" si="1"/>
        <v>@azucenau</v>
      </c>
      <c r="C64" s="10" t="s">
        <v>21</v>
      </c>
      <c r="D64" s="10" t="s">
        <v>143</v>
      </c>
      <c r="E64" s="9" t="str">
        <f>HYPERLINK("https://twitter.com/azucenau/status/1352840065513369600","1352840065513369600")</f>
        <v>1352840065513369600</v>
      </c>
      <c r="F64" s="12"/>
      <c r="G64" s="11" t="s">
        <v>144</v>
      </c>
      <c r="H64" s="12"/>
      <c r="I64" s="13">
        <v>8.0</v>
      </c>
      <c r="J64" s="13">
        <v>45.0</v>
      </c>
      <c r="K64" s="9" t="str">
        <f t="shared" si="8"/>
        <v>Twitter Media Studio - LiveCut</v>
      </c>
      <c r="L64" s="14">
        <v>337894.0</v>
      </c>
      <c r="M64" s="14">
        <v>2999.0</v>
      </c>
      <c r="N64" s="14">
        <v>1093.0</v>
      </c>
      <c r="O64" s="15" t="s">
        <v>24</v>
      </c>
      <c r="P64" s="16">
        <v>40148.55200231481</v>
      </c>
      <c r="Q64" s="12"/>
      <c r="R64" s="10" t="s">
        <v>25</v>
      </c>
      <c r="S64" s="11" t="s">
        <v>26</v>
      </c>
      <c r="T64" s="12"/>
      <c r="U64" s="17" t="str">
        <f t="shared" si="3"/>
        <v>View</v>
      </c>
      <c r="V64" s="12"/>
      <c r="W64" s="12"/>
      <c r="X64" s="12"/>
      <c r="Y64" s="12"/>
      <c r="Z64" s="12"/>
    </row>
    <row r="65">
      <c r="A65" s="8">
        <v>44218.94825231482</v>
      </c>
      <c r="B65" s="9" t="str">
        <f t="shared" si="1"/>
        <v>@azucenau</v>
      </c>
      <c r="C65" s="10" t="s">
        <v>21</v>
      </c>
      <c r="D65" s="10" t="s">
        <v>145</v>
      </c>
      <c r="E65" s="9" t="str">
        <f>HYPERLINK("https://twitter.com/azucenau/status/1352839849242468355","1352839849242468355")</f>
        <v>1352839849242468355</v>
      </c>
      <c r="F65" s="12"/>
      <c r="G65" s="11" t="s">
        <v>146</v>
      </c>
      <c r="H65" s="12"/>
      <c r="I65" s="13">
        <v>5.0</v>
      </c>
      <c r="J65" s="13">
        <v>54.0</v>
      </c>
      <c r="K65" s="9" t="str">
        <f t="shared" si="8"/>
        <v>Twitter Media Studio - LiveCut</v>
      </c>
      <c r="L65" s="14">
        <v>337894.0</v>
      </c>
      <c r="M65" s="14">
        <v>2999.0</v>
      </c>
      <c r="N65" s="14">
        <v>1093.0</v>
      </c>
      <c r="O65" s="15" t="s">
        <v>24</v>
      </c>
      <c r="P65" s="16">
        <v>40148.55200231481</v>
      </c>
      <c r="Q65" s="12"/>
      <c r="R65" s="10" t="s">
        <v>25</v>
      </c>
      <c r="S65" s="11" t="s">
        <v>26</v>
      </c>
      <c r="T65" s="12"/>
      <c r="U65" s="17" t="str">
        <f t="shared" si="3"/>
        <v>View</v>
      </c>
      <c r="V65" s="12"/>
      <c r="W65" s="12"/>
      <c r="X65" s="12"/>
      <c r="Y65" s="12"/>
      <c r="Z65" s="12"/>
    </row>
    <row r="66">
      <c r="A66" s="8">
        <v>44218.9477662037</v>
      </c>
      <c r="B66" s="9" t="str">
        <f t="shared" si="1"/>
        <v>@azucenau</v>
      </c>
      <c r="C66" s="10" t="s">
        <v>21</v>
      </c>
      <c r="D66" s="10" t="s">
        <v>147</v>
      </c>
      <c r="E66" s="9" t="str">
        <f>HYPERLINK("https://twitter.com/azucenau/status/1352839672683233280","1352839672683233280")</f>
        <v>1352839672683233280</v>
      </c>
      <c r="F66" s="12"/>
      <c r="G66" s="11" t="s">
        <v>148</v>
      </c>
      <c r="H66" s="12"/>
      <c r="I66" s="13">
        <v>4.0</v>
      </c>
      <c r="J66" s="13">
        <v>42.0</v>
      </c>
      <c r="K66" s="9" t="str">
        <f t="shared" si="8"/>
        <v>Twitter Media Studio - LiveCut</v>
      </c>
      <c r="L66" s="14">
        <v>337894.0</v>
      </c>
      <c r="M66" s="14">
        <v>2999.0</v>
      </c>
      <c r="N66" s="14">
        <v>1093.0</v>
      </c>
      <c r="O66" s="15" t="s">
        <v>24</v>
      </c>
      <c r="P66" s="16">
        <v>40148.55200231481</v>
      </c>
      <c r="Q66" s="12"/>
      <c r="R66" s="10" t="s">
        <v>25</v>
      </c>
      <c r="S66" s="11" t="s">
        <v>26</v>
      </c>
      <c r="T66" s="12"/>
      <c r="U66" s="17" t="str">
        <f t="shared" si="3"/>
        <v>View</v>
      </c>
      <c r="V66" s="12"/>
      <c r="W66" s="12"/>
      <c r="X66" s="12"/>
      <c r="Y66" s="12"/>
      <c r="Z66" s="12"/>
    </row>
    <row r="67">
      <c r="A67" s="8">
        <v>44218.947106481486</v>
      </c>
      <c r="B67" s="9" t="str">
        <f t="shared" si="1"/>
        <v>@azucenau</v>
      </c>
      <c r="C67" s="10" t="s">
        <v>21</v>
      </c>
      <c r="D67" s="10" t="s">
        <v>149</v>
      </c>
      <c r="E67" s="9" t="str">
        <f>HYPERLINK("https://twitter.com/azucenau/status/1352839434786451461","1352839434786451461")</f>
        <v>1352839434786451461</v>
      </c>
      <c r="F67" s="12"/>
      <c r="G67" s="11" t="s">
        <v>150</v>
      </c>
      <c r="H67" s="12"/>
      <c r="I67" s="13">
        <v>2.0</v>
      </c>
      <c r="J67" s="13">
        <v>40.0</v>
      </c>
      <c r="K67" s="9" t="str">
        <f t="shared" si="8"/>
        <v>Twitter Media Studio - LiveCut</v>
      </c>
      <c r="L67" s="14">
        <v>337894.0</v>
      </c>
      <c r="M67" s="14">
        <v>2999.0</v>
      </c>
      <c r="N67" s="14">
        <v>1093.0</v>
      </c>
      <c r="O67" s="15" t="s">
        <v>24</v>
      </c>
      <c r="P67" s="16">
        <v>40148.55200231481</v>
      </c>
      <c r="Q67" s="12"/>
      <c r="R67" s="10" t="s">
        <v>25</v>
      </c>
      <c r="S67" s="11" t="s">
        <v>26</v>
      </c>
      <c r="T67" s="12"/>
      <c r="U67" s="17" t="str">
        <f t="shared" si="3"/>
        <v>View</v>
      </c>
      <c r="V67" s="12"/>
      <c r="W67" s="12"/>
      <c r="X67" s="12"/>
      <c r="Y67" s="12"/>
      <c r="Z67" s="12"/>
    </row>
    <row r="68">
      <c r="A68" s="8">
        <v>44218.946493055555</v>
      </c>
      <c r="B68" s="9" t="str">
        <f t="shared" si="1"/>
        <v>@azucenau</v>
      </c>
      <c r="C68" s="10" t="s">
        <v>21</v>
      </c>
      <c r="D68" s="10" t="s">
        <v>151</v>
      </c>
      <c r="E68" s="9" t="str">
        <f>HYPERLINK("https://twitter.com/azucenau/status/1352839214640095232","1352839214640095232")</f>
        <v>1352839214640095232</v>
      </c>
      <c r="F68" s="12"/>
      <c r="G68" s="11" t="s">
        <v>152</v>
      </c>
      <c r="H68" s="12"/>
      <c r="I68" s="13">
        <v>3.0</v>
      </c>
      <c r="J68" s="13">
        <v>45.0</v>
      </c>
      <c r="K68" s="9" t="str">
        <f t="shared" si="8"/>
        <v>Twitter Media Studio - LiveCut</v>
      </c>
      <c r="L68" s="14">
        <v>337894.0</v>
      </c>
      <c r="M68" s="14">
        <v>2999.0</v>
      </c>
      <c r="N68" s="14">
        <v>1093.0</v>
      </c>
      <c r="O68" s="15" t="s">
        <v>24</v>
      </c>
      <c r="P68" s="16">
        <v>40148.55200231481</v>
      </c>
      <c r="Q68" s="12"/>
      <c r="R68" s="10" t="s">
        <v>25</v>
      </c>
      <c r="S68" s="11" t="s">
        <v>26</v>
      </c>
      <c r="T68" s="12"/>
      <c r="U68" s="17" t="str">
        <f t="shared" si="3"/>
        <v>View</v>
      </c>
      <c r="V68" s="12"/>
      <c r="W68" s="12"/>
      <c r="X68" s="12"/>
      <c r="Y68" s="12"/>
      <c r="Z68" s="12"/>
    </row>
    <row r="69">
      <c r="A69" s="8">
        <v>44218.945497685185</v>
      </c>
      <c r="B69" s="9" t="str">
        <f t="shared" si="1"/>
        <v>@azucenau</v>
      </c>
      <c r="C69" s="10" t="s">
        <v>21</v>
      </c>
      <c r="D69" s="10" t="s">
        <v>153</v>
      </c>
      <c r="E69" s="9" t="str">
        <f>HYPERLINK("https://twitter.com/azucenau/status/1352838854005452800","1352838854005452800")</f>
        <v>1352838854005452800</v>
      </c>
      <c r="F69" s="12"/>
      <c r="G69" s="11" t="s">
        <v>154</v>
      </c>
      <c r="H69" s="12"/>
      <c r="I69" s="13">
        <v>2.0</v>
      </c>
      <c r="J69" s="13">
        <v>29.0</v>
      </c>
      <c r="K69" s="9" t="str">
        <f t="shared" si="8"/>
        <v>Twitter Media Studio - LiveCut</v>
      </c>
      <c r="L69" s="14">
        <v>337894.0</v>
      </c>
      <c r="M69" s="14">
        <v>2999.0</v>
      </c>
      <c r="N69" s="14">
        <v>1093.0</v>
      </c>
      <c r="O69" s="15" t="s">
        <v>24</v>
      </c>
      <c r="P69" s="16">
        <v>40148.55200231481</v>
      </c>
      <c r="Q69" s="12"/>
      <c r="R69" s="10" t="s">
        <v>25</v>
      </c>
      <c r="S69" s="11" t="s">
        <v>26</v>
      </c>
      <c r="T69" s="12"/>
      <c r="U69" s="17" t="str">
        <f t="shared" si="3"/>
        <v>View</v>
      </c>
      <c r="V69" s="12"/>
      <c r="W69" s="12"/>
      <c r="X69" s="12"/>
      <c r="Y69" s="12"/>
      <c r="Z69" s="12"/>
    </row>
    <row r="70">
      <c r="A70" s="8">
        <v>44218.94357638889</v>
      </c>
      <c r="B70" s="9" t="str">
        <f t="shared" si="1"/>
        <v>@azucenau</v>
      </c>
      <c r="C70" s="10" t="s">
        <v>21</v>
      </c>
      <c r="D70" s="10" t="s">
        <v>155</v>
      </c>
      <c r="E70" s="9" t="str">
        <f>HYPERLINK("https://twitter.com/azucenau/status/1352838156442333185","1352838156442333185")</f>
        <v>1352838156442333185</v>
      </c>
      <c r="F70" s="12"/>
      <c r="G70" s="11" t="s">
        <v>156</v>
      </c>
      <c r="H70" s="12"/>
      <c r="I70" s="13">
        <v>3.0</v>
      </c>
      <c r="J70" s="13">
        <v>32.0</v>
      </c>
      <c r="K70" s="9" t="str">
        <f t="shared" si="8"/>
        <v>Twitter Media Studio - LiveCut</v>
      </c>
      <c r="L70" s="14">
        <v>337894.0</v>
      </c>
      <c r="M70" s="14">
        <v>2999.0</v>
      </c>
      <c r="N70" s="14">
        <v>1093.0</v>
      </c>
      <c r="O70" s="15" t="s">
        <v>24</v>
      </c>
      <c r="P70" s="16">
        <v>40148.55200231481</v>
      </c>
      <c r="Q70" s="12"/>
      <c r="R70" s="10" t="s">
        <v>25</v>
      </c>
      <c r="S70" s="11" t="s">
        <v>26</v>
      </c>
      <c r="T70" s="12"/>
      <c r="U70" s="17" t="str">
        <f t="shared" si="3"/>
        <v>View</v>
      </c>
      <c r="V70" s="12"/>
      <c r="W70" s="12"/>
      <c r="X70" s="12"/>
      <c r="Y70" s="12"/>
      <c r="Z70" s="12"/>
    </row>
    <row r="71">
      <c r="A71" s="8">
        <v>44218.943032407406</v>
      </c>
      <c r="B71" s="9" t="str">
        <f t="shared" si="1"/>
        <v>@azucenau</v>
      </c>
      <c r="C71" s="10" t="s">
        <v>21</v>
      </c>
      <c r="D71" s="10" t="s">
        <v>157</v>
      </c>
      <c r="E71" s="9" t="str">
        <f>HYPERLINK("https://twitter.com/azucenau/status/1352837958458626048","1352837958458626048")</f>
        <v>1352837958458626048</v>
      </c>
      <c r="F71" s="12"/>
      <c r="G71" s="11" t="s">
        <v>158</v>
      </c>
      <c r="H71" s="12"/>
      <c r="I71" s="13">
        <v>4.0</v>
      </c>
      <c r="J71" s="13">
        <v>25.0</v>
      </c>
      <c r="K71" s="9" t="str">
        <f t="shared" si="8"/>
        <v>Twitter Media Studio - LiveCut</v>
      </c>
      <c r="L71" s="14">
        <v>337894.0</v>
      </c>
      <c r="M71" s="14">
        <v>2999.0</v>
      </c>
      <c r="N71" s="14">
        <v>1093.0</v>
      </c>
      <c r="O71" s="15" t="s">
        <v>24</v>
      </c>
      <c r="P71" s="16">
        <v>40148.55200231481</v>
      </c>
      <c r="Q71" s="12"/>
      <c r="R71" s="10" t="s">
        <v>25</v>
      </c>
      <c r="S71" s="11" t="s">
        <v>26</v>
      </c>
      <c r="T71" s="12"/>
      <c r="U71" s="17" t="str">
        <f t="shared" si="3"/>
        <v>View</v>
      </c>
      <c r="V71" s="12"/>
      <c r="W71" s="12"/>
      <c r="X71" s="12"/>
      <c r="Y71" s="12"/>
      <c r="Z71" s="12"/>
    </row>
    <row r="72">
      <c r="A72" s="8">
        <v>44218.94232638889</v>
      </c>
      <c r="B72" s="9" t="str">
        <f t="shared" si="1"/>
        <v>@azucenau</v>
      </c>
      <c r="C72" s="10" t="s">
        <v>21</v>
      </c>
      <c r="D72" s="10" t="s">
        <v>159</v>
      </c>
      <c r="E72" s="9" t="str">
        <f>HYPERLINK("https://twitter.com/azucenau/status/1352837703239393280","1352837703239393280")</f>
        <v>1352837703239393280</v>
      </c>
      <c r="F72" s="12"/>
      <c r="G72" s="11" t="s">
        <v>160</v>
      </c>
      <c r="H72" s="12"/>
      <c r="I72" s="13">
        <v>27.0</v>
      </c>
      <c r="J72" s="13">
        <v>111.0</v>
      </c>
      <c r="K72" s="9" t="str">
        <f t="shared" si="8"/>
        <v>Twitter Media Studio - LiveCut</v>
      </c>
      <c r="L72" s="14">
        <v>337894.0</v>
      </c>
      <c r="M72" s="14">
        <v>2999.0</v>
      </c>
      <c r="N72" s="14">
        <v>1093.0</v>
      </c>
      <c r="O72" s="15" t="s">
        <v>24</v>
      </c>
      <c r="P72" s="16">
        <v>40148.55200231481</v>
      </c>
      <c r="Q72" s="12"/>
      <c r="R72" s="10" t="s">
        <v>25</v>
      </c>
      <c r="S72" s="11" t="s">
        <v>26</v>
      </c>
      <c r="T72" s="12"/>
      <c r="U72" s="17" t="str">
        <f t="shared" si="3"/>
        <v>View</v>
      </c>
      <c r="V72" s="12"/>
      <c r="W72" s="12"/>
      <c r="X72" s="12"/>
      <c r="Y72" s="12"/>
      <c r="Z72" s="12"/>
    </row>
    <row r="73">
      <c r="A73" s="8">
        <v>44218.93912037037</v>
      </c>
      <c r="B73" s="9" t="str">
        <f t="shared" si="1"/>
        <v>@azucenau</v>
      </c>
      <c r="C73" s="10" t="s">
        <v>21</v>
      </c>
      <c r="D73" s="10" t="s">
        <v>161</v>
      </c>
      <c r="E73" s="9" t="str">
        <f>HYPERLINK("https://twitter.com/azucenau/status/1352836540641243136","1352836540641243136")</f>
        <v>1352836540641243136</v>
      </c>
      <c r="F73" s="12"/>
      <c r="G73" s="11" t="s">
        <v>162</v>
      </c>
      <c r="H73" s="12"/>
      <c r="I73" s="13">
        <v>39.0</v>
      </c>
      <c r="J73" s="13">
        <v>104.0</v>
      </c>
      <c r="K73" s="9" t="str">
        <f t="shared" si="8"/>
        <v>Twitter Media Studio - LiveCut</v>
      </c>
      <c r="L73" s="14">
        <v>337894.0</v>
      </c>
      <c r="M73" s="14">
        <v>2999.0</v>
      </c>
      <c r="N73" s="14">
        <v>1093.0</v>
      </c>
      <c r="O73" s="15" t="s">
        <v>24</v>
      </c>
      <c r="P73" s="16">
        <v>40148.55200231481</v>
      </c>
      <c r="Q73" s="12"/>
      <c r="R73" s="10" t="s">
        <v>25</v>
      </c>
      <c r="S73" s="11" t="s">
        <v>26</v>
      </c>
      <c r="T73" s="12"/>
      <c r="U73" s="17" t="str">
        <f t="shared" si="3"/>
        <v>View</v>
      </c>
      <c r="V73" s="12"/>
      <c r="W73" s="12"/>
      <c r="X73" s="12"/>
      <c r="Y73" s="12"/>
      <c r="Z73" s="12"/>
    </row>
    <row r="74">
      <c r="A74" s="8">
        <v>44218.93583333334</v>
      </c>
      <c r="B74" s="9" t="str">
        <f t="shared" si="1"/>
        <v>@azucenau</v>
      </c>
      <c r="C74" s="10" t="s">
        <v>21</v>
      </c>
      <c r="D74" s="10" t="s">
        <v>163</v>
      </c>
      <c r="E74" s="9" t="str">
        <f>HYPERLINK("https://twitter.com/azucenau/status/1352835350553624576","1352835350553624576")</f>
        <v>1352835350553624576</v>
      </c>
      <c r="F74" s="12"/>
      <c r="G74" s="11" t="s">
        <v>164</v>
      </c>
      <c r="H74" s="12"/>
      <c r="I74" s="13">
        <v>2.0</v>
      </c>
      <c r="J74" s="13">
        <v>34.0</v>
      </c>
      <c r="K74" s="9" t="str">
        <f t="shared" si="8"/>
        <v>Twitter Media Studio - LiveCut</v>
      </c>
      <c r="L74" s="14">
        <v>337894.0</v>
      </c>
      <c r="M74" s="14">
        <v>2999.0</v>
      </c>
      <c r="N74" s="14">
        <v>1093.0</v>
      </c>
      <c r="O74" s="15" t="s">
        <v>24</v>
      </c>
      <c r="P74" s="16">
        <v>40148.55200231481</v>
      </c>
      <c r="Q74" s="12"/>
      <c r="R74" s="10" t="s">
        <v>25</v>
      </c>
      <c r="S74" s="11" t="s">
        <v>26</v>
      </c>
      <c r="T74" s="12"/>
      <c r="U74" s="17" t="str">
        <f t="shared" si="3"/>
        <v>View</v>
      </c>
      <c r="V74" s="12"/>
      <c r="W74" s="12"/>
      <c r="X74" s="12"/>
      <c r="Y74" s="12"/>
      <c r="Z74" s="12"/>
    </row>
    <row r="75">
      <c r="A75" s="8">
        <v>44218.93344907407</v>
      </c>
      <c r="B75" s="9" t="str">
        <f t="shared" si="1"/>
        <v>@azucenau</v>
      </c>
      <c r="C75" s="10" t="s">
        <v>21</v>
      </c>
      <c r="D75" s="10" t="s">
        <v>165</v>
      </c>
      <c r="E75" s="9" t="str">
        <f>HYPERLINK("https://twitter.com/azucenau/status/1352834486795440128","1352834486795440128")</f>
        <v>1352834486795440128</v>
      </c>
      <c r="F75" s="12"/>
      <c r="G75" s="11" t="s">
        <v>166</v>
      </c>
      <c r="H75" s="12"/>
      <c r="I75" s="13">
        <v>6.0</v>
      </c>
      <c r="J75" s="13">
        <v>46.0</v>
      </c>
      <c r="K75" s="9" t="str">
        <f t="shared" si="8"/>
        <v>Twitter Media Studio - LiveCut</v>
      </c>
      <c r="L75" s="14">
        <v>337894.0</v>
      </c>
      <c r="M75" s="14">
        <v>2999.0</v>
      </c>
      <c r="N75" s="14">
        <v>1093.0</v>
      </c>
      <c r="O75" s="15" t="s">
        <v>24</v>
      </c>
      <c r="P75" s="16">
        <v>40148.55200231481</v>
      </c>
      <c r="Q75" s="12"/>
      <c r="R75" s="10" t="s">
        <v>25</v>
      </c>
      <c r="S75" s="11" t="s">
        <v>26</v>
      </c>
      <c r="T75" s="12"/>
      <c r="U75" s="17" t="str">
        <f t="shared" si="3"/>
        <v>View</v>
      </c>
      <c r="V75" s="12"/>
      <c r="W75" s="12"/>
      <c r="X75" s="12"/>
      <c r="Y75" s="12"/>
      <c r="Z75" s="12"/>
    </row>
    <row r="76">
      <c r="A76" s="8">
        <v>44218.93256944444</v>
      </c>
      <c r="B76" s="9" t="str">
        <f t="shared" si="1"/>
        <v>@azucenau</v>
      </c>
      <c r="C76" s="10" t="s">
        <v>21</v>
      </c>
      <c r="D76" s="10" t="s">
        <v>167</v>
      </c>
      <c r="E76" s="9" t="str">
        <f>HYPERLINK("https://twitter.com/azucenau/status/1352834168485535744","1352834168485535744")</f>
        <v>1352834168485535744</v>
      </c>
      <c r="F76" s="12"/>
      <c r="G76" s="11" t="s">
        <v>168</v>
      </c>
      <c r="H76" s="12"/>
      <c r="I76" s="13">
        <v>13.0</v>
      </c>
      <c r="J76" s="13">
        <v>45.0</v>
      </c>
      <c r="K76" s="9" t="str">
        <f t="shared" si="8"/>
        <v>Twitter Media Studio - LiveCut</v>
      </c>
      <c r="L76" s="14">
        <v>337894.0</v>
      </c>
      <c r="M76" s="14">
        <v>2999.0</v>
      </c>
      <c r="N76" s="14">
        <v>1093.0</v>
      </c>
      <c r="O76" s="15" t="s">
        <v>24</v>
      </c>
      <c r="P76" s="16">
        <v>40148.55200231481</v>
      </c>
      <c r="Q76" s="12"/>
      <c r="R76" s="10" t="s">
        <v>25</v>
      </c>
      <c r="S76" s="11" t="s">
        <v>26</v>
      </c>
      <c r="T76" s="12"/>
      <c r="U76" s="17" t="str">
        <f t="shared" si="3"/>
        <v>View</v>
      </c>
      <c r="V76" s="12"/>
      <c r="W76" s="12"/>
      <c r="X76" s="12"/>
      <c r="Y76" s="12"/>
      <c r="Z76" s="12"/>
    </row>
    <row r="77">
      <c r="A77" s="8">
        <v>44218.931134259255</v>
      </c>
      <c r="B77" s="9" t="str">
        <f t="shared" si="1"/>
        <v>@azucenau</v>
      </c>
      <c r="C77" s="10" t="s">
        <v>21</v>
      </c>
      <c r="D77" s="10" t="s">
        <v>169</v>
      </c>
      <c r="E77" s="9" t="str">
        <f>HYPERLINK("https://twitter.com/azucenau/status/1352833647599112194","1352833647599112194")</f>
        <v>1352833647599112194</v>
      </c>
      <c r="F77" s="12"/>
      <c r="G77" s="11" t="s">
        <v>170</v>
      </c>
      <c r="H77" s="12"/>
      <c r="I77" s="13">
        <v>19.0</v>
      </c>
      <c r="J77" s="13">
        <v>72.0</v>
      </c>
      <c r="K77" s="9" t="str">
        <f t="shared" si="8"/>
        <v>Twitter Media Studio - LiveCut</v>
      </c>
      <c r="L77" s="14">
        <v>337894.0</v>
      </c>
      <c r="M77" s="14">
        <v>2999.0</v>
      </c>
      <c r="N77" s="14">
        <v>1093.0</v>
      </c>
      <c r="O77" s="15" t="s">
        <v>24</v>
      </c>
      <c r="P77" s="16">
        <v>40148.55200231481</v>
      </c>
      <c r="Q77" s="12"/>
      <c r="R77" s="10" t="s">
        <v>25</v>
      </c>
      <c r="S77" s="11" t="s">
        <v>26</v>
      </c>
      <c r="T77" s="12"/>
      <c r="U77" s="17" t="str">
        <f t="shared" si="3"/>
        <v>View</v>
      </c>
      <c r="V77" s="12"/>
      <c r="W77" s="12"/>
      <c r="X77" s="12"/>
      <c r="Y77" s="12"/>
      <c r="Z77" s="12"/>
    </row>
    <row r="78">
      <c r="A78" s="8">
        <v>44218.92946759259</v>
      </c>
      <c r="B78" s="9" t="str">
        <f t="shared" si="1"/>
        <v>@azucenau</v>
      </c>
      <c r="C78" s="10" t="s">
        <v>21</v>
      </c>
      <c r="D78" s="10" t="s">
        <v>171</v>
      </c>
      <c r="E78" s="9" t="str">
        <f>HYPERLINK("https://twitter.com/azucenau/status/1352833043556401155","1352833043556401155")</f>
        <v>1352833043556401155</v>
      </c>
      <c r="F78" s="12"/>
      <c r="G78" s="11" t="s">
        <v>172</v>
      </c>
      <c r="H78" s="12"/>
      <c r="I78" s="13">
        <v>11.0</v>
      </c>
      <c r="J78" s="13">
        <v>66.0</v>
      </c>
      <c r="K78" s="9" t="str">
        <f t="shared" si="8"/>
        <v>Twitter Media Studio - LiveCut</v>
      </c>
      <c r="L78" s="14">
        <v>337894.0</v>
      </c>
      <c r="M78" s="14">
        <v>2999.0</v>
      </c>
      <c r="N78" s="14">
        <v>1093.0</v>
      </c>
      <c r="O78" s="15" t="s">
        <v>24</v>
      </c>
      <c r="P78" s="16">
        <v>40148.55200231481</v>
      </c>
      <c r="Q78" s="12"/>
      <c r="R78" s="10" t="s">
        <v>25</v>
      </c>
      <c r="S78" s="11" t="s">
        <v>26</v>
      </c>
      <c r="T78" s="12"/>
      <c r="U78" s="17" t="str">
        <f t="shared" si="3"/>
        <v>View</v>
      </c>
      <c r="V78" s="12"/>
      <c r="W78" s="12"/>
      <c r="X78" s="12"/>
      <c r="Y78" s="12"/>
      <c r="Z78" s="12"/>
    </row>
    <row r="79">
      <c r="A79" s="8">
        <v>44218.928888888884</v>
      </c>
      <c r="B79" s="9" t="str">
        <f t="shared" si="1"/>
        <v>@azucenau</v>
      </c>
      <c r="C79" s="10" t="s">
        <v>21</v>
      </c>
      <c r="D79" s="10" t="s">
        <v>173</v>
      </c>
      <c r="E79" s="9" t="str">
        <f>HYPERLINK("https://twitter.com/azucenau/status/1352832834533273603","1352832834533273603")</f>
        <v>1352832834533273603</v>
      </c>
      <c r="F79" s="12"/>
      <c r="G79" s="11" t="s">
        <v>174</v>
      </c>
      <c r="H79" s="12"/>
      <c r="I79" s="13">
        <v>25.0</v>
      </c>
      <c r="J79" s="13">
        <v>88.0</v>
      </c>
      <c r="K79" s="9" t="str">
        <f t="shared" si="8"/>
        <v>Twitter Media Studio - LiveCut</v>
      </c>
      <c r="L79" s="14">
        <v>337894.0</v>
      </c>
      <c r="M79" s="14">
        <v>2999.0</v>
      </c>
      <c r="N79" s="14">
        <v>1093.0</v>
      </c>
      <c r="O79" s="15" t="s">
        <v>24</v>
      </c>
      <c r="P79" s="16">
        <v>40148.55200231481</v>
      </c>
      <c r="Q79" s="12"/>
      <c r="R79" s="10" t="s">
        <v>25</v>
      </c>
      <c r="S79" s="11" t="s">
        <v>26</v>
      </c>
      <c r="T79" s="12"/>
      <c r="U79" s="17" t="str">
        <f t="shared" si="3"/>
        <v>View</v>
      </c>
      <c r="V79" s="12"/>
      <c r="W79" s="12"/>
      <c r="X79" s="12"/>
      <c r="Y79" s="12"/>
      <c r="Z79" s="12"/>
    </row>
    <row r="80">
      <c r="A80" s="8">
        <v>44218.92716435185</v>
      </c>
      <c r="B80" s="9" t="str">
        <f t="shared" si="1"/>
        <v>@azucenau</v>
      </c>
      <c r="C80" s="10" t="s">
        <v>21</v>
      </c>
      <c r="D80" s="10" t="s">
        <v>175</v>
      </c>
      <c r="E80" s="9" t="str">
        <f>HYPERLINK("https://twitter.com/azucenau/status/1352832209569406977","1352832209569406977")</f>
        <v>1352832209569406977</v>
      </c>
      <c r="F80" s="12"/>
      <c r="G80" s="11" t="s">
        <v>176</v>
      </c>
      <c r="H80" s="12"/>
      <c r="I80" s="13">
        <v>25.0</v>
      </c>
      <c r="J80" s="13">
        <v>63.0</v>
      </c>
      <c r="K80" s="9" t="str">
        <f t="shared" si="8"/>
        <v>Twitter Media Studio - LiveCut</v>
      </c>
      <c r="L80" s="14">
        <v>337894.0</v>
      </c>
      <c r="M80" s="14">
        <v>2999.0</v>
      </c>
      <c r="N80" s="14">
        <v>1093.0</v>
      </c>
      <c r="O80" s="15" t="s">
        <v>24</v>
      </c>
      <c r="P80" s="16">
        <v>40148.55200231481</v>
      </c>
      <c r="Q80" s="12"/>
      <c r="R80" s="10" t="s">
        <v>25</v>
      </c>
      <c r="S80" s="11" t="s">
        <v>26</v>
      </c>
      <c r="T80" s="12"/>
      <c r="U80" s="17" t="str">
        <f t="shared" si="3"/>
        <v>View</v>
      </c>
      <c r="V80" s="12"/>
      <c r="W80" s="12"/>
      <c r="X80" s="12"/>
      <c r="Y80" s="12"/>
      <c r="Z80" s="12"/>
    </row>
    <row r="81">
      <c r="A81" s="8">
        <v>44218.92547453704</v>
      </c>
      <c r="B81" s="9" t="str">
        <f t="shared" si="1"/>
        <v>@azucenau</v>
      </c>
      <c r="C81" s="10" t="s">
        <v>21</v>
      </c>
      <c r="D81" s="10" t="s">
        <v>177</v>
      </c>
      <c r="E81" s="9" t="str">
        <f>HYPERLINK("https://twitter.com/azucenau/status/1352831597817585664","1352831597817585664")</f>
        <v>1352831597817585664</v>
      </c>
      <c r="F81" s="12"/>
      <c r="G81" s="11" t="s">
        <v>178</v>
      </c>
      <c r="H81" s="12"/>
      <c r="I81" s="13">
        <v>12.0</v>
      </c>
      <c r="J81" s="13">
        <v>44.0</v>
      </c>
      <c r="K81" s="9" t="str">
        <f t="shared" si="8"/>
        <v>Twitter Media Studio - LiveCut</v>
      </c>
      <c r="L81" s="14">
        <v>337894.0</v>
      </c>
      <c r="M81" s="14">
        <v>2999.0</v>
      </c>
      <c r="N81" s="14">
        <v>1093.0</v>
      </c>
      <c r="O81" s="15" t="s">
        <v>24</v>
      </c>
      <c r="P81" s="16">
        <v>40148.55200231481</v>
      </c>
      <c r="Q81" s="12"/>
      <c r="R81" s="10" t="s">
        <v>25</v>
      </c>
      <c r="S81" s="11" t="s">
        <v>26</v>
      </c>
      <c r="T81" s="12"/>
      <c r="U81" s="17" t="str">
        <f t="shared" si="3"/>
        <v>View</v>
      </c>
      <c r="V81" s="12"/>
      <c r="W81" s="12"/>
      <c r="X81" s="12"/>
      <c r="Y81" s="12"/>
      <c r="Z81" s="12"/>
    </row>
    <row r="82">
      <c r="A82" s="8">
        <v>44218.924317129626</v>
      </c>
      <c r="B82" s="9" t="str">
        <f t="shared" si="1"/>
        <v>@azucenau</v>
      </c>
      <c r="C82" s="10" t="s">
        <v>21</v>
      </c>
      <c r="D82" s="10" t="s">
        <v>179</v>
      </c>
      <c r="E82" s="9" t="str">
        <f>HYPERLINK("https://twitter.com/azucenau/status/1352831174566174723","1352831174566174723")</f>
        <v>1352831174566174723</v>
      </c>
      <c r="F82" s="12"/>
      <c r="G82" s="11" t="s">
        <v>180</v>
      </c>
      <c r="H82" s="12"/>
      <c r="I82" s="13">
        <v>32.0</v>
      </c>
      <c r="J82" s="13">
        <v>108.0</v>
      </c>
      <c r="K82" s="9" t="str">
        <f t="shared" si="8"/>
        <v>Twitter Media Studio - LiveCut</v>
      </c>
      <c r="L82" s="14">
        <v>337894.0</v>
      </c>
      <c r="M82" s="14">
        <v>2999.0</v>
      </c>
      <c r="N82" s="14">
        <v>1093.0</v>
      </c>
      <c r="O82" s="15" t="s">
        <v>24</v>
      </c>
      <c r="P82" s="16">
        <v>40148.55200231481</v>
      </c>
      <c r="Q82" s="12"/>
      <c r="R82" s="10" t="s">
        <v>25</v>
      </c>
      <c r="S82" s="11" t="s">
        <v>26</v>
      </c>
      <c r="T82" s="12"/>
      <c r="U82" s="17" t="str">
        <f t="shared" si="3"/>
        <v>View</v>
      </c>
      <c r="V82" s="12"/>
      <c r="W82" s="12"/>
      <c r="X82" s="12"/>
      <c r="Y82" s="12"/>
      <c r="Z82" s="12"/>
    </row>
    <row r="83">
      <c r="A83" s="8">
        <v>44218.92307870371</v>
      </c>
      <c r="B83" s="9" t="str">
        <f t="shared" si="1"/>
        <v>@azucenau</v>
      </c>
      <c r="C83" s="10" t="s">
        <v>21</v>
      </c>
      <c r="D83" s="10" t="s">
        <v>181</v>
      </c>
      <c r="E83" s="9" t="str">
        <f>HYPERLINK("https://twitter.com/azucenau/status/1352830726656421888","1352830726656421888")</f>
        <v>1352830726656421888</v>
      </c>
      <c r="F83" s="12"/>
      <c r="G83" s="11" t="s">
        <v>182</v>
      </c>
      <c r="H83" s="12"/>
      <c r="I83" s="13">
        <v>20.0</v>
      </c>
      <c r="J83" s="13">
        <v>60.0</v>
      </c>
      <c r="K83" s="9" t="str">
        <f t="shared" si="8"/>
        <v>Twitter Media Studio - LiveCut</v>
      </c>
      <c r="L83" s="14">
        <v>337894.0</v>
      </c>
      <c r="M83" s="14">
        <v>2999.0</v>
      </c>
      <c r="N83" s="14">
        <v>1093.0</v>
      </c>
      <c r="O83" s="15" t="s">
        <v>24</v>
      </c>
      <c r="P83" s="16">
        <v>40148.55200231481</v>
      </c>
      <c r="Q83" s="12"/>
      <c r="R83" s="10" t="s">
        <v>25</v>
      </c>
      <c r="S83" s="11" t="s">
        <v>26</v>
      </c>
      <c r="T83" s="12"/>
      <c r="U83" s="17" t="str">
        <f t="shared" si="3"/>
        <v>View</v>
      </c>
      <c r="V83" s="12"/>
      <c r="W83" s="12"/>
      <c r="X83" s="12"/>
      <c r="Y83" s="12"/>
      <c r="Z83" s="12"/>
    </row>
    <row r="84">
      <c r="A84" s="8">
        <v>44218.92150462963</v>
      </c>
      <c r="B84" s="9" t="str">
        <f t="shared" si="1"/>
        <v>@azucenau</v>
      </c>
      <c r="C84" s="10" t="s">
        <v>21</v>
      </c>
      <c r="D84" s="10" t="s">
        <v>183</v>
      </c>
      <c r="E84" s="9" t="str">
        <f>HYPERLINK("https://twitter.com/azucenau/status/1352830157007020032","1352830157007020032")</f>
        <v>1352830157007020032</v>
      </c>
      <c r="F84" s="12"/>
      <c r="G84" s="11" t="s">
        <v>184</v>
      </c>
      <c r="H84" s="12"/>
      <c r="I84" s="13">
        <v>5.0</v>
      </c>
      <c r="J84" s="13">
        <v>36.0</v>
      </c>
      <c r="K84" s="9" t="str">
        <f t="shared" si="8"/>
        <v>Twitter Media Studio - LiveCut</v>
      </c>
      <c r="L84" s="14">
        <v>337894.0</v>
      </c>
      <c r="M84" s="14">
        <v>2999.0</v>
      </c>
      <c r="N84" s="14">
        <v>1093.0</v>
      </c>
      <c r="O84" s="15" t="s">
        <v>24</v>
      </c>
      <c r="P84" s="16">
        <v>40148.55200231481</v>
      </c>
      <c r="Q84" s="12"/>
      <c r="R84" s="10" t="s">
        <v>25</v>
      </c>
      <c r="S84" s="11" t="s">
        <v>26</v>
      </c>
      <c r="T84" s="12"/>
      <c r="U84" s="17" t="str">
        <f t="shared" si="3"/>
        <v>View</v>
      </c>
      <c r="V84" s="12"/>
      <c r="W84" s="12"/>
      <c r="X84" s="12"/>
      <c r="Y84" s="12"/>
      <c r="Z84" s="12"/>
    </row>
    <row r="85">
      <c r="A85" s="8">
        <v>44218.91875</v>
      </c>
      <c r="B85" s="9" t="str">
        <f t="shared" si="1"/>
        <v>@azucenau</v>
      </c>
      <c r="C85" s="10" t="s">
        <v>21</v>
      </c>
      <c r="D85" s="10" t="s">
        <v>185</v>
      </c>
      <c r="E85" s="9" t="str">
        <f>HYPERLINK("https://twitter.com/azucenau/status/1352829159408623616","1352829159408623616")</f>
        <v>1352829159408623616</v>
      </c>
      <c r="F85" s="12"/>
      <c r="G85" s="11" t="s">
        <v>186</v>
      </c>
      <c r="H85" s="12"/>
      <c r="I85" s="13">
        <v>5.0</v>
      </c>
      <c r="J85" s="13">
        <v>41.0</v>
      </c>
      <c r="K85" s="9" t="str">
        <f t="shared" si="8"/>
        <v>Twitter Media Studio - LiveCut</v>
      </c>
      <c r="L85" s="14">
        <v>337894.0</v>
      </c>
      <c r="M85" s="14">
        <v>2999.0</v>
      </c>
      <c r="N85" s="14">
        <v>1093.0</v>
      </c>
      <c r="O85" s="15" t="s">
        <v>24</v>
      </c>
      <c r="P85" s="16">
        <v>40148.55200231481</v>
      </c>
      <c r="Q85" s="12"/>
      <c r="R85" s="10" t="s">
        <v>25</v>
      </c>
      <c r="S85" s="11" t="s">
        <v>26</v>
      </c>
      <c r="T85" s="12"/>
      <c r="U85" s="17" t="str">
        <f t="shared" si="3"/>
        <v>View</v>
      </c>
      <c r="V85" s="12"/>
      <c r="W85" s="12"/>
      <c r="X85" s="12"/>
      <c r="Y85" s="12"/>
      <c r="Z85" s="12"/>
    </row>
    <row r="86">
      <c r="A86" s="8">
        <v>44218.91863425926</v>
      </c>
      <c r="B86" s="9" t="str">
        <f t="shared" si="1"/>
        <v>@azucenau</v>
      </c>
      <c r="C86" s="10" t="s">
        <v>21</v>
      </c>
      <c r="D86" s="10" t="s">
        <v>187</v>
      </c>
      <c r="E86" s="9" t="str">
        <f>HYPERLINK("https://twitter.com/azucenau/status/1352829117809516544","1352829117809516544")</f>
        <v>1352829117809516544</v>
      </c>
      <c r="F86" s="12"/>
      <c r="G86" s="11" t="s">
        <v>188</v>
      </c>
      <c r="H86" s="12"/>
      <c r="I86" s="13">
        <v>15.0</v>
      </c>
      <c r="J86" s="13">
        <v>87.0</v>
      </c>
      <c r="K86" s="9" t="str">
        <f t="shared" si="8"/>
        <v>Twitter Media Studio - LiveCut</v>
      </c>
      <c r="L86" s="14">
        <v>337894.0</v>
      </c>
      <c r="M86" s="14">
        <v>2999.0</v>
      </c>
      <c r="N86" s="14">
        <v>1093.0</v>
      </c>
      <c r="O86" s="15" t="s">
        <v>24</v>
      </c>
      <c r="P86" s="16">
        <v>40148.55200231481</v>
      </c>
      <c r="Q86" s="12"/>
      <c r="R86" s="10" t="s">
        <v>25</v>
      </c>
      <c r="S86" s="11" t="s">
        <v>26</v>
      </c>
      <c r="T86" s="12"/>
      <c r="U86" s="17" t="str">
        <f t="shared" si="3"/>
        <v>View</v>
      </c>
      <c r="V86" s="12"/>
      <c r="W86" s="12"/>
      <c r="X86" s="12"/>
      <c r="Y86" s="12"/>
      <c r="Z86" s="12"/>
    </row>
    <row r="87">
      <c r="A87" s="8">
        <v>44218.91680555556</v>
      </c>
      <c r="B87" s="9" t="str">
        <f t="shared" si="1"/>
        <v>@azucenau</v>
      </c>
      <c r="C87" s="10" t="s">
        <v>21</v>
      </c>
      <c r="D87" s="10" t="s">
        <v>75</v>
      </c>
      <c r="E87" s="9" t="str">
        <f>HYPERLINK("https://twitter.com/azucenau/status/1352828455973494784","1352828455973494784")</f>
        <v>1352828455973494784</v>
      </c>
      <c r="F87" s="11" t="s">
        <v>189</v>
      </c>
      <c r="G87" s="12"/>
      <c r="H87" s="12"/>
      <c r="I87" s="13">
        <v>5.0</v>
      </c>
      <c r="J87" s="13">
        <v>44.0</v>
      </c>
      <c r="K87" s="9" t="str">
        <f>HYPERLINK("https://studio.twitter.com","Twitter Media Studio")</f>
        <v>Twitter Media Studio</v>
      </c>
      <c r="L87" s="14">
        <v>337894.0</v>
      </c>
      <c r="M87" s="14">
        <v>2999.0</v>
      </c>
      <c r="N87" s="14">
        <v>1093.0</v>
      </c>
      <c r="O87" s="15" t="s">
        <v>24</v>
      </c>
      <c r="P87" s="16">
        <v>40148.55200231481</v>
      </c>
      <c r="Q87" s="12"/>
      <c r="R87" s="10" t="s">
        <v>25</v>
      </c>
      <c r="S87" s="11" t="s">
        <v>26</v>
      </c>
      <c r="T87" s="12"/>
      <c r="U87" s="17" t="str">
        <f t="shared" si="3"/>
        <v>View</v>
      </c>
      <c r="V87" s="12"/>
      <c r="W87" s="12"/>
      <c r="X87" s="12"/>
      <c r="Y87" s="12"/>
      <c r="Z87" s="12"/>
    </row>
    <row r="88">
      <c r="A88" s="8">
        <v>44218.916597222225</v>
      </c>
      <c r="B88" s="9" t="str">
        <f t="shared" si="1"/>
        <v>@azucenau</v>
      </c>
      <c r="C88" s="10" t="s">
        <v>21</v>
      </c>
      <c r="D88" s="10" t="s">
        <v>77</v>
      </c>
      <c r="E88" s="9" t="str">
        <f>HYPERLINK("https://twitter.com/azucenau/status/1352828379783954433","1352828379783954433")</f>
        <v>1352828379783954433</v>
      </c>
      <c r="F88" s="11" t="s">
        <v>78</v>
      </c>
      <c r="G88" s="11" t="s">
        <v>190</v>
      </c>
      <c r="H88" s="12"/>
      <c r="I88" s="13">
        <v>26.0</v>
      </c>
      <c r="J88" s="13">
        <v>1099.0</v>
      </c>
      <c r="K88" s="9" t="str">
        <f>HYPERLINK("http://twitter.com/download/iphone","Twitter for iPhone")</f>
        <v>Twitter for iPhone</v>
      </c>
      <c r="L88" s="14">
        <v>337894.0</v>
      </c>
      <c r="M88" s="14">
        <v>2999.0</v>
      </c>
      <c r="N88" s="14">
        <v>1093.0</v>
      </c>
      <c r="O88" s="15" t="s">
        <v>24</v>
      </c>
      <c r="P88" s="16">
        <v>40148.55200231481</v>
      </c>
      <c r="Q88" s="12"/>
      <c r="R88" s="10" t="s">
        <v>25</v>
      </c>
      <c r="S88" s="11" t="s">
        <v>26</v>
      </c>
      <c r="T88" s="12"/>
      <c r="U88" s="17" t="str">
        <f t="shared" si="3"/>
        <v>View</v>
      </c>
      <c r="V88" s="12"/>
      <c r="W88" s="12"/>
      <c r="X88" s="12"/>
      <c r="Y88" s="12"/>
      <c r="Z88" s="12"/>
    </row>
    <row r="89">
      <c r="A89" s="8">
        <v>44218.838472222225</v>
      </c>
      <c r="B89" s="9" t="str">
        <f t="shared" si="1"/>
        <v>@azucenau</v>
      </c>
      <c r="C89" s="10" t="s">
        <v>21</v>
      </c>
      <c r="D89" s="10" t="s">
        <v>191</v>
      </c>
      <c r="E89" s="9" t="str">
        <f>HYPERLINK("https://twitter.com/azucenau/status/1352800068584275968","1352800068584275968")</f>
        <v>1352800068584275968</v>
      </c>
      <c r="F89" s="12"/>
      <c r="G89" s="11" t="s">
        <v>192</v>
      </c>
      <c r="H89" s="12"/>
      <c r="I89" s="13">
        <v>19.0</v>
      </c>
      <c r="J89" s="13">
        <v>128.0</v>
      </c>
      <c r="K89" s="9" t="str">
        <f>HYPERLINK("https://studio.twitter.com","Twitter Media Studio")</f>
        <v>Twitter Media Studio</v>
      </c>
      <c r="L89" s="14">
        <v>337894.0</v>
      </c>
      <c r="M89" s="14">
        <v>2999.0</v>
      </c>
      <c r="N89" s="14">
        <v>1093.0</v>
      </c>
      <c r="O89" s="15" t="s">
        <v>24</v>
      </c>
      <c r="P89" s="16">
        <v>40148.55200231481</v>
      </c>
      <c r="Q89" s="12"/>
      <c r="R89" s="10" t="s">
        <v>25</v>
      </c>
      <c r="S89" s="11" t="s">
        <v>26</v>
      </c>
      <c r="T89" s="12"/>
      <c r="U89" s="17" t="str">
        <f t="shared" si="3"/>
        <v>View</v>
      </c>
      <c r="V89" s="12"/>
      <c r="W89" s="12"/>
      <c r="X89" s="12"/>
      <c r="Y89" s="12"/>
      <c r="Z89" s="12"/>
    </row>
    <row r="90">
      <c r="A90" s="8">
        <v>44218.80196759259</v>
      </c>
      <c r="B90" s="9" t="str">
        <f t="shared" si="1"/>
        <v>@azucenau</v>
      </c>
      <c r="C90" s="10" t="s">
        <v>21</v>
      </c>
      <c r="D90" s="10" t="s">
        <v>193</v>
      </c>
      <c r="E90" s="9" t="str">
        <f>HYPERLINK("https://twitter.com/azucenau/status/1352786838612811776","1352786838612811776")</f>
        <v>1352786838612811776</v>
      </c>
      <c r="F90" s="12"/>
      <c r="G90" s="11" t="s">
        <v>194</v>
      </c>
      <c r="H90" s="12"/>
      <c r="I90" s="13">
        <v>68.0</v>
      </c>
      <c r="J90" s="13">
        <v>156.0</v>
      </c>
      <c r="K90" s="9" t="str">
        <f t="shared" ref="K90:K97" si="9">HYPERLINK("https://mobile.twitter.com","Twitter Web App")</f>
        <v>Twitter Web App</v>
      </c>
      <c r="L90" s="14">
        <v>337894.0</v>
      </c>
      <c r="M90" s="14">
        <v>2999.0</v>
      </c>
      <c r="N90" s="14">
        <v>1093.0</v>
      </c>
      <c r="O90" s="15" t="s">
        <v>24</v>
      </c>
      <c r="P90" s="16">
        <v>40148.55200231481</v>
      </c>
      <c r="Q90" s="12"/>
      <c r="R90" s="10" t="s">
        <v>25</v>
      </c>
      <c r="S90" s="11" t="s">
        <v>26</v>
      </c>
      <c r="T90" s="12"/>
      <c r="U90" s="17" t="str">
        <f t="shared" si="3"/>
        <v>View</v>
      </c>
      <c r="V90" s="12"/>
      <c r="W90" s="12"/>
      <c r="X90" s="12"/>
      <c r="Y90" s="12"/>
      <c r="Z90" s="12"/>
    </row>
    <row r="91">
      <c r="A91" s="8">
        <v>44218.7869212963</v>
      </c>
      <c r="B91" s="9" t="str">
        <f t="shared" si="1"/>
        <v>@azucenau</v>
      </c>
      <c r="C91" s="10" t="s">
        <v>21</v>
      </c>
      <c r="D91" s="10" t="s">
        <v>195</v>
      </c>
      <c r="E91" s="9" t="str">
        <f>HYPERLINK("https://twitter.com/azucenau/status/1352781386353156097","1352781386353156097")</f>
        <v>1352781386353156097</v>
      </c>
      <c r="F91" s="12"/>
      <c r="G91" s="12"/>
      <c r="H91" s="12"/>
      <c r="I91" s="13">
        <v>3.0</v>
      </c>
      <c r="J91" s="13">
        <v>35.0</v>
      </c>
      <c r="K91" s="9" t="str">
        <f t="shared" si="9"/>
        <v>Twitter Web App</v>
      </c>
      <c r="L91" s="14">
        <v>337894.0</v>
      </c>
      <c r="M91" s="14">
        <v>2999.0</v>
      </c>
      <c r="N91" s="14">
        <v>1093.0</v>
      </c>
      <c r="O91" s="15" t="s">
        <v>24</v>
      </c>
      <c r="P91" s="16">
        <v>40148.55200231481</v>
      </c>
      <c r="Q91" s="12"/>
      <c r="R91" s="10" t="s">
        <v>25</v>
      </c>
      <c r="S91" s="11" t="s">
        <v>26</v>
      </c>
      <c r="T91" s="12"/>
      <c r="U91" s="17" t="str">
        <f t="shared" si="3"/>
        <v>View</v>
      </c>
      <c r="V91" s="12"/>
      <c r="W91" s="12"/>
      <c r="X91" s="12"/>
      <c r="Y91" s="12"/>
      <c r="Z91" s="12"/>
    </row>
    <row r="92">
      <c r="A92" s="8">
        <v>44218.78466435186</v>
      </c>
      <c r="B92" s="9" t="str">
        <f t="shared" si="1"/>
        <v>@azucenau</v>
      </c>
      <c r="C92" s="10" t="s">
        <v>21</v>
      </c>
      <c r="D92" s="10" t="s">
        <v>196</v>
      </c>
      <c r="E92" s="9" t="str">
        <f>HYPERLINK("https://twitter.com/azucenau/status/1352780569386610690","1352780569386610690")</f>
        <v>1352780569386610690</v>
      </c>
      <c r="F92" s="12"/>
      <c r="G92" s="12"/>
      <c r="H92" s="12"/>
      <c r="I92" s="13">
        <v>25.0</v>
      </c>
      <c r="J92" s="13">
        <v>98.0</v>
      </c>
      <c r="K92" s="9" t="str">
        <f t="shared" si="9"/>
        <v>Twitter Web App</v>
      </c>
      <c r="L92" s="14">
        <v>337894.0</v>
      </c>
      <c r="M92" s="14">
        <v>2999.0</v>
      </c>
      <c r="N92" s="14">
        <v>1093.0</v>
      </c>
      <c r="O92" s="15" t="s">
        <v>24</v>
      </c>
      <c r="P92" s="16">
        <v>40148.55200231481</v>
      </c>
      <c r="Q92" s="12"/>
      <c r="R92" s="10" t="s">
        <v>25</v>
      </c>
      <c r="S92" s="11" t="s">
        <v>26</v>
      </c>
      <c r="T92" s="12"/>
      <c r="U92" s="17" t="str">
        <f t="shared" si="3"/>
        <v>View</v>
      </c>
      <c r="V92" s="12"/>
      <c r="W92" s="12"/>
      <c r="X92" s="12"/>
      <c r="Y92" s="12"/>
      <c r="Z92" s="12"/>
    </row>
    <row r="93">
      <c r="A93" s="8">
        <v>44218.77746527777</v>
      </c>
      <c r="B93" s="9" t="str">
        <f t="shared" si="1"/>
        <v>@azucenau</v>
      </c>
      <c r="C93" s="10" t="s">
        <v>21</v>
      </c>
      <c r="D93" s="10" t="s">
        <v>197</v>
      </c>
      <c r="E93" s="9" t="str">
        <f>HYPERLINK("https://twitter.com/azucenau/status/1352777959292153856","1352777959292153856")</f>
        <v>1352777959292153856</v>
      </c>
      <c r="F93" s="11" t="s">
        <v>198</v>
      </c>
      <c r="G93" s="11" t="s">
        <v>199</v>
      </c>
      <c r="H93" s="12"/>
      <c r="I93" s="13">
        <v>4.0</v>
      </c>
      <c r="J93" s="13">
        <v>14.0</v>
      </c>
      <c r="K93" s="9" t="str">
        <f t="shared" si="9"/>
        <v>Twitter Web App</v>
      </c>
      <c r="L93" s="14">
        <v>337894.0</v>
      </c>
      <c r="M93" s="14">
        <v>2999.0</v>
      </c>
      <c r="N93" s="14">
        <v>1093.0</v>
      </c>
      <c r="O93" s="15" t="s">
        <v>24</v>
      </c>
      <c r="P93" s="16">
        <v>40148.55200231481</v>
      </c>
      <c r="Q93" s="12"/>
      <c r="R93" s="10" t="s">
        <v>25</v>
      </c>
      <c r="S93" s="11" t="s">
        <v>26</v>
      </c>
      <c r="T93" s="12"/>
      <c r="U93" s="17" t="str">
        <f t="shared" si="3"/>
        <v>View</v>
      </c>
      <c r="V93" s="12"/>
      <c r="W93" s="12"/>
      <c r="X93" s="12"/>
      <c r="Y93" s="12"/>
      <c r="Z93" s="12"/>
    </row>
    <row r="94">
      <c r="A94" s="8">
        <v>44218.76556712963</v>
      </c>
      <c r="B94" s="9" t="str">
        <f t="shared" si="1"/>
        <v>@azucenau</v>
      </c>
      <c r="C94" s="10" t="s">
        <v>21</v>
      </c>
      <c r="D94" s="10" t="s">
        <v>200</v>
      </c>
      <c r="E94" s="9" t="str">
        <f>HYPERLINK("https://twitter.com/azucenau/status/1352773645647622149","1352773645647622149")</f>
        <v>1352773645647622149</v>
      </c>
      <c r="F94" s="12"/>
      <c r="G94" s="12"/>
      <c r="H94" s="12"/>
      <c r="I94" s="13">
        <v>29.0</v>
      </c>
      <c r="J94" s="13">
        <v>141.0</v>
      </c>
      <c r="K94" s="9" t="str">
        <f t="shared" si="9"/>
        <v>Twitter Web App</v>
      </c>
      <c r="L94" s="14">
        <v>337894.0</v>
      </c>
      <c r="M94" s="14">
        <v>2999.0</v>
      </c>
      <c r="N94" s="14">
        <v>1093.0</v>
      </c>
      <c r="O94" s="15" t="s">
        <v>24</v>
      </c>
      <c r="P94" s="16">
        <v>40148.55200231481</v>
      </c>
      <c r="Q94" s="12"/>
      <c r="R94" s="10" t="s">
        <v>25</v>
      </c>
      <c r="S94" s="11" t="s">
        <v>26</v>
      </c>
      <c r="T94" s="12"/>
      <c r="U94" s="17" t="str">
        <f t="shared" si="3"/>
        <v>View</v>
      </c>
      <c r="V94" s="12"/>
      <c r="W94" s="12"/>
      <c r="X94" s="12"/>
      <c r="Y94" s="12"/>
      <c r="Z94" s="12"/>
    </row>
    <row r="95">
      <c r="A95" s="8">
        <v>44218.757372685184</v>
      </c>
      <c r="B95" s="9" t="str">
        <f t="shared" si="1"/>
        <v>@azucenau</v>
      </c>
      <c r="C95" s="10" t="s">
        <v>21</v>
      </c>
      <c r="D95" s="10" t="s">
        <v>201</v>
      </c>
      <c r="E95" s="9" t="str">
        <f>HYPERLINK("https://twitter.com/azucenau/status/1352770678290845702","1352770678290845702")</f>
        <v>1352770678290845702</v>
      </c>
      <c r="F95" s="11" t="s">
        <v>202</v>
      </c>
      <c r="G95" s="11" t="s">
        <v>203</v>
      </c>
      <c r="H95" s="12"/>
      <c r="I95" s="13">
        <v>21.0</v>
      </c>
      <c r="J95" s="13">
        <v>83.0</v>
      </c>
      <c r="K95" s="9" t="str">
        <f t="shared" si="9"/>
        <v>Twitter Web App</v>
      </c>
      <c r="L95" s="14">
        <v>337894.0</v>
      </c>
      <c r="M95" s="14">
        <v>2999.0</v>
      </c>
      <c r="N95" s="14">
        <v>1093.0</v>
      </c>
      <c r="O95" s="15" t="s">
        <v>24</v>
      </c>
      <c r="P95" s="16">
        <v>40148.55200231481</v>
      </c>
      <c r="Q95" s="12"/>
      <c r="R95" s="10" t="s">
        <v>25</v>
      </c>
      <c r="S95" s="11" t="s">
        <v>26</v>
      </c>
      <c r="T95" s="12"/>
      <c r="U95" s="17" t="str">
        <f t="shared" si="3"/>
        <v>View</v>
      </c>
      <c r="V95" s="12"/>
      <c r="W95" s="12"/>
      <c r="X95" s="12"/>
      <c r="Y95" s="12"/>
      <c r="Z95" s="12"/>
    </row>
    <row r="96">
      <c r="A96" s="8">
        <v>44218.75013888889</v>
      </c>
      <c r="B96" s="9" t="str">
        <f t="shared" si="1"/>
        <v>@azucenau</v>
      </c>
      <c r="C96" s="10" t="s">
        <v>21</v>
      </c>
      <c r="D96" s="10" t="s">
        <v>204</v>
      </c>
      <c r="E96" s="9" t="str">
        <f>HYPERLINK("https://twitter.com/azucenau/status/1352768055047311360","1352768055047311360")</f>
        <v>1352768055047311360</v>
      </c>
      <c r="F96" s="11" t="s">
        <v>96</v>
      </c>
      <c r="G96" s="12"/>
      <c r="H96" s="12"/>
      <c r="I96" s="13">
        <v>3.0</v>
      </c>
      <c r="J96" s="13">
        <v>36.0</v>
      </c>
      <c r="K96" s="9" t="str">
        <f t="shared" si="9"/>
        <v>Twitter Web App</v>
      </c>
      <c r="L96" s="14">
        <v>337894.0</v>
      </c>
      <c r="M96" s="14">
        <v>2999.0</v>
      </c>
      <c r="N96" s="14">
        <v>1093.0</v>
      </c>
      <c r="O96" s="15" t="s">
        <v>24</v>
      </c>
      <c r="P96" s="16">
        <v>40148.55200231481</v>
      </c>
      <c r="Q96" s="12"/>
      <c r="R96" s="10" t="s">
        <v>25</v>
      </c>
      <c r="S96" s="11" t="s">
        <v>26</v>
      </c>
      <c r="T96" s="12"/>
      <c r="U96" s="17" t="str">
        <f t="shared" si="3"/>
        <v>View</v>
      </c>
      <c r="V96" s="12"/>
      <c r="W96" s="12"/>
      <c r="X96" s="12"/>
      <c r="Y96" s="12"/>
      <c r="Z96" s="12"/>
    </row>
    <row r="97">
      <c r="A97" s="8">
        <v>44218.7197337963</v>
      </c>
      <c r="B97" s="9" t="str">
        <f t="shared" si="1"/>
        <v>@azucenau</v>
      </c>
      <c r="C97" s="10" t="s">
        <v>21</v>
      </c>
      <c r="D97" s="10" t="s">
        <v>205</v>
      </c>
      <c r="E97" s="9" t="str">
        <f>HYPERLINK("https://twitter.com/azucenau/status/1352757038116466688","1352757038116466688")</f>
        <v>1352757038116466688</v>
      </c>
      <c r="F97" s="12"/>
      <c r="G97" s="11" t="s">
        <v>206</v>
      </c>
      <c r="H97" s="12"/>
      <c r="I97" s="13">
        <v>32.0</v>
      </c>
      <c r="J97" s="13">
        <v>193.0</v>
      </c>
      <c r="K97" s="9" t="str">
        <f t="shared" si="9"/>
        <v>Twitter Web App</v>
      </c>
      <c r="L97" s="14">
        <v>337894.0</v>
      </c>
      <c r="M97" s="14">
        <v>2999.0</v>
      </c>
      <c r="N97" s="14">
        <v>1093.0</v>
      </c>
      <c r="O97" s="15" t="s">
        <v>24</v>
      </c>
      <c r="P97" s="16">
        <v>40148.55200231481</v>
      </c>
      <c r="Q97" s="12"/>
      <c r="R97" s="10" t="s">
        <v>25</v>
      </c>
      <c r="S97" s="11" t="s">
        <v>26</v>
      </c>
      <c r="T97" s="12"/>
      <c r="U97" s="17" t="str">
        <f t="shared" si="3"/>
        <v>View</v>
      </c>
      <c r="V97" s="12"/>
      <c r="W97" s="12"/>
      <c r="X97" s="12"/>
      <c r="Y97" s="12"/>
      <c r="Z97" s="12"/>
    </row>
    <row r="98">
      <c r="A98" s="8">
        <v>44218.702106481476</v>
      </c>
      <c r="B98" s="9" t="str">
        <f t="shared" si="1"/>
        <v>@azucenau</v>
      </c>
      <c r="C98" s="10" t="s">
        <v>21</v>
      </c>
      <c r="D98" s="10" t="s">
        <v>207</v>
      </c>
      <c r="E98" s="9" t="str">
        <f>HYPERLINK("https://twitter.com/azucenau/status/1352750648157233152","1352750648157233152")</f>
        <v>1352750648157233152</v>
      </c>
      <c r="F98" s="11" t="s">
        <v>208</v>
      </c>
      <c r="G98" s="11" t="s">
        <v>209</v>
      </c>
      <c r="H98" s="12"/>
      <c r="I98" s="13">
        <v>32.0</v>
      </c>
      <c r="J98" s="13">
        <v>114.0</v>
      </c>
      <c r="K98" s="9" t="str">
        <f>HYPERLINK("http://twitter.com/download/iphone","Twitter for iPhone")</f>
        <v>Twitter for iPhone</v>
      </c>
      <c r="L98" s="14">
        <v>337894.0</v>
      </c>
      <c r="M98" s="14">
        <v>2999.0</v>
      </c>
      <c r="N98" s="14">
        <v>1093.0</v>
      </c>
      <c r="O98" s="15" t="s">
        <v>24</v>
      </c>
      <c r="P98" s="16">
        <v>40148.55200231481</v>
      </c>
      <c r="Q98" s="12"/>
      <c r="R98" s="10" t="s">
        <v>25</v>
      </c>
      <c r="S98" s="11" t="s">
        <v>26</v>
      </c>
      <c r="T98" s="12"/>
      <c r="U98" s="17" t="str">
        <f t="shared" si="3"/>
        <v>View</v>
      </c>
      <c r="V98" s="12"/>
      <c r="W98" s="12"/>
      <c r="X98" s="12"/>
      <c r="Y98" s="12"/>
      <c r="Z98" s="12"/>
    </row>
    <row r="99">
      <c r="A99" s="8">
        <v>44218.68177083333</v>
      </c>
      <c r="B99" s="9" t="str">
        <f t="shared" si="1"/>
        <v>@azucenau</v>
      </c>
      <c r="C99" s="10" t="s">
        <v>21</v>
      </c>
      <c r="D99" s="10" t="s">
        <v>210</v>
      </c>
      <c r="E99" s="9" t="str">
        <f>HYPERLINK("https://twitter.com/azucenau/status/1352743281944383491","1352743281944383491")</f>
        <v>1352743281944383491</v>
      </c>
      <c r="F99" s="12"/>
      <c r="G99" s="11" t="s">
        <v>211</v>
      </c>
      <c r="H99" s="12"/>
      <c r="I99" s="13">
        <v>18.0</v>
      </c>
      <c r="J99" s="13">
        <v>64.0</v>
      </c>
      <c r="K99" s="9" t="str">
        <f>HYPERLINK("https://studio.twitter.com","Twitter Media Studio")</f>
        <v>Twitter Media Studio</v>
      </c>
      <c r="L99" s="14">
        <v>337894.0</v>
      </c>
      <c r="M99" s="14">
        <v>2999.0</v>
      </c>
      <c r="N99" s="14">
        <v>1093.0</v>
      </c>
      <c r="O99" s="15" t="s">
        <v>24</v>
      </c>
      <c r="P99" s="16">
        <v>40148.55200231481</v>
      </c>
      <c r="Q99" s="12"/>
      <c r="R99" s="10" t="s">
        <v>25</v>
      </c>
      <c r="S99" s="11" t="s">
        <v>26</v>
      </c>
      <c r="T99" s="12"/>
      <c r="U99" s="17" t="str">
        <f t="shared" si="3"/>
        <v>View</v>
      </c>
      <c r="V99" s="12"/>
      <c r="W99" s="12"/>
      <c r="X99" s="12"/>
      <c r="Y99" s="12"/>
      <c r="Z99" s="12"/>
    </row>
    <row r="100">
      <c r="A100" s="8">
        <v>44218.668865740736</v>
      </c>
      <c r="B100" s="9" t="str">
        <f t="shared" si="1"/>
        <v>@azucenau</v>
      </c>
      <c r="C100" s="10" t="s">
        <v>21</v>
      </c>
      <c r="D100" s="10" t="s">
        <v>212</v>
      </c>
      <c r="E100" s="9" t="str">
        <f>HYPERLINK("https://twitter.com/azucenau/status/1352738605018591237","1352738605018591237")</f>
        <v>1352738605018591237</v>
      </c>
      <c r="F100" s="12"/>
      <c r="G100" s="11" t="s">
        <v>213</v>
      </c>
      <c r="H100" s="12"/>
      <c r="I100" s="13">
        <v>9.0</v>
      </c>
      <c r="J100" s="13">
        <v>103.0</v>
      </c>
      <c r="K100" s="9" t="str">
        <f t="shared" ref="K100:K102" si="10">HYPERLINK("http://twitter.com/download/iphone","Twitter for iPhone")</f>
        <v>Twitter for iPhone</v>
      </c>
      <c r="L100" s="14">
        <v>337894.0</v>
      </c>
      <c r="M100" s="14">
        <v>2999.0</v>
      </c>
      <c r="N100" s="14">
        <v>1093.0</v>
      </c>
      <c r="O100" s="15" t="s">
        <v>24</v>
      </c>
      <c r="P100" s="16">
        <v>40148.55200231481</v>
      </c>
      <c r="Q100" s="12"/>
      <c r="R100" s="10" t="s">
        <v>25</v>
      </c>
      <c r="S100" s="11" t="s">
        <v>26</v>
      </c>
      <c r="T100" s="12"/>
      <c r="U100" s="17" t="str">
        <f t="shared" si="3"/>
        <v>View</v>
      </c>
      <c r="V100" s="12"/>
      <c r="W100" s="12"/>
      <c r="X100" s="12"/>
      <c r="Y100" s="12"/>
      <c r="Z100" s="12"/>
    </row>
    <row r="101">
      <c r="A101" s="8">
        <v>44218.52982638888</v>
      </c>
      <c r="B101" s="9" t="str">
        <f t="shared" si="1"/>
        <v>@azucenau</v>
      </c>
      <c r="C101" s="10" t="s">
        <v>21</v>
      </c>
      <c r="D101" s="10" t="s">
        <v>214</v>
      </c>
      <c r="E101" s="9" t="str">
        <f>HYPERLINK("https://twitter.com/azucenau/status/1352688219545071619","1352688219545071619")</f>
        <v>1352688219545071619</v>
      </c>
      <c r="F101" s="11" t="s">
        <v>215</v>
      </c>
      <c r="G101" s="11" t="s">
        <v>216</v>
      </c>
      <c r="H101" s="12"/>
      <c r="I101" s="13">
        <v>23.0</v>
      </c>
      <c r="J101" s="13">
        <v>102.0</v>
      </c>
      <c r="K101" s="9" t="str">
        <f t="shared" si="10"/>
        <v>Twitter for iPhone</v>
      </c>
      <c r="L101" s="14">
        <v>337894.0</v>
      </c>
      <c r="M101" s="14">
        <v>2999.0</v>
      </c>
      <c r="N101" s="14">
        <v>1093.0</v>
      </c>
      <c r="O101" s="15" t="s">
        <v>24</v>
      </c>
      <c r="P101" s="16">
        <v>40148.55200231481</v>
      </c>
      <c r="Q101" s="12"/>
      <c r="R101" s="10" t="s">
        <v>25</v>
      </c>
      <c r="S101" s="11" t="s">
        <v>26</v>
      </c>
      <c r="T101" s="12"/>
      <c r="U101" s="17" t="str">
        <f t="shared" si="3"/>
        <v>View</v>
      </c>
      <c r="V101" s="12"/>
      <c r="W101" s="12"/>
      <c r="X101" s="12"/>
      <c r="Y101" s="12"/>
      <c r="Z101" s="12"/>
    </row>
    <row r="102">
      <c r="A102" s="8">
        <v>44218.5158912037</v>
      </c>
      <c r="B102" s="9" t="str">
        <f t="shared" si="1"/>
        <v>@azucenau</v>
      </c>
      <c r="C102" s="10" t="s">
        <v>21</v>
      </c>
      <c r="D102" s="10" t="s">
        <v>217</v>
      </c>
      <c r="E102" s="9" t="str">
        <f>HYPERLINK("https://twitter.com/azucenau/status/1352683167950495745","1352683167950495745")</f>
        <v>1352683167950495745</v>
      </c>
      <c r="F102" s="11" t="s">
        <v>218</v>
      </c>
      <c r="G102" s="12"/>
      <c r="H102" s="12"/>
      <c r="I102" s="13">
        <v>9.0</v>
      </c>
      <c r="J102" s="13">
        <v>41.0</v>
      </c>
      <c r="K102" s="9" t="str">
        <f t="shared" si="10"/>
        <v>Twitter for iPhone</v>
      </c>
      <c r="L102" s="14">
        <v>337894.0</v>
      </c>
      <c r="M102" s="14">
        <v>2999.0</v>
      </c>
      <c r="N102" s="14">
        <v>1093.0</v>
      </c>
      <c r="O102" s="15" t="s">
        <v>24</v>
      </c>
      <c r="P102" s="16">
        <v>40148.55200231481</v>
      </c>
      <c r="Q102" s="12"/>
      <c r="R102" s="10" t="s">
        <v>25</v>
      </c>
      <c r="S102" s="11" t="s">
        <v>26</v>
      </c>
      <c r="T102" s="12"/>
      <c r="U102" s="17" t="str">
        <f t="shared" si="3"/>
        <v>View</v>
      </c>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sheetData>
  <hyperlinks>
    <hyperlink r:id="rId1" ref="F3"/>
    <hyperlink r:id="rId2" ref="S3"/>
    <hyperlink r:id="rId3" location=".YBA6vCd1t38.twitter" ref="F4"/>
    <hyperlink r:id="rId4" ref="S4"/>
    <hyperlink r:id="rId5" ref="G5"/>
    <hyperlink r:id="rId6" ref="S5"/>
    <hyperlink r:id="rId7" ref="G6"/>
    <hyperlink r:id="rId8" ref="S6"/>
    <hyperlink r:id="rId9" ref="G7"/>
    <hyperlink r:id="rId10" ref="S7"/>
    <hyperlink r:id="rId11" ref="G8"/>
    <hyperlink r:id="rId12" ref="S8"/>
    <hyperlink r:id="rId13" ref="G9"/>
    <hyperlink r:id="rId14" ref="S9"/>
    <hyperlink r:id="rId15" ref="G10"/>
    <hyperlink r:id="rId16" ref="S10"/>
    <hyperlink r:id="rId17" ref="G11"/>
    <hyperlink r:id="rId18" ref="S11"/>
    <hyperlink r:id="rId19" ref="G12"/>
    <hyperlink r:id="rId20" ref="S12"/>
    <hyperlink r:id="rId21" ref="G13"/>
    <hyperlink r:id="rId22" ref="S13"/>
    <hyperlink r:id="rId23" ref="G14"/>
    <hyperlink r:id="rId24" ref="S14"/>
    <hyperlink r:id="rId25" ref="G15"/>
    <hyperlink r:id="rId26" ref="S15"/>
    <hyperlink r:id="rId27" ref="G16"/>
    <hyperlink r:id="rId28" ref="S16"/>
    <hyperlink r:id="rId29" ref="G17"/>
    <hyperlink r:id="rId30" ref="S17"/>
    <hyperlink r:id="rId31" ref="G18"/>
    <hyperlink r:id="rId32" ref="S18"/>
    <hyperlink r:id="rId33" ref="G19"/>
    <hyperlink r:id="rId34" ref="S19"/>
    <hyperlink r:id="rId35" ref="G20"/>
    <hyperlink r:id="rId36" ref="S20"/>
    <hyperlink r:id="rId37" ref="G21"/>
    <hyperlink r:id="rId38" ref="S21"/>
    <hyperlink r:id="rId39" ref="G22"/>
    <hyperlink r:id="rId40" ref="S22"/>
    <hyperlink r:id="rId41" ref="G23"/>
    <hyperlink r:id="rId42" ref="S23"/>
    <hyperlink r:id="rId43" ref="G24"/>
    <hyperlink r:id="rId44" ref="S24"/>
    <hyperlink r:id="rId45" ref="G25"/>
    <hyperlink r:id="rId46" ref="S25"/>
    <hyperlink r:id="rId47" ref="G26"/>
    <hyperlink r:id="rId48" ref="S26"/>
    <hyperlink r:id="rId49" ref="G27"/>
    <hyperlink r:id="rId50" ref="S27"/>
    <hyperlink r:id="rId51" ref="F28"/>
    <hyperlink r:id="rId52" ref="S28"/>
    <hyperlink r:id="rId53" ref="F29"/>
    <hyperlink r:id="rId54" ref="G29"/>
    <hyperlink r:id="rId55" ref="S29"/>
    <hyperlink r:id="rId56" ref="G30"/>
    <hyperlink r:id="rId57" ref="S30"/>
    <hyperlink r:id="rId58" ref="F31"/>
    <hyperlink r:id="rId59" ref="S31"/>
    <hyperlink r:id="rId60" ref="G32"/>
    <hyperlink r:id="rId61" ref="S32"/>
    <hyperlink r:id="rId62" ref="G33"/>
    <hyperlink r:id="rId63" ref="S33"/>
    <hyperlink r:id="rId64" ref="F34"/>
    <hyperlink r:id="rId65" ref="S34"/>
    <hyperlink r:id="rId66" ref="S35"/>
    <hyperlink r:id="rId67" ref="S36"/>
    <hyperlink r:id="rId68" ref="S37"/>
    <hyperlink r:id="rId69" ref="S38"/>
    <hyperlink r:id="rId70" ref="S39"/>
    <hyperlink r:id="rId71" ref="F40"/>
    <hyperlink r:id="rId72" ref="S40"/>
    <hyperlink r:id="rId73" ref="G41"/>
    <hyperlink r:id="rId74" ref="S41"/>
    <hyperlink r:id="rId75" ref="G42"/>
    <hyperlink r:id="rId76" ref="S42"/>
    <hyperlink r:id="rId77" ref="G43"/>
    <hyperlink r:id="rId78" ref="S43"/>
    <hyperlink r:id="rId79" ref="G44"/>
    <hyperlink r:id="rId80" ref="S44"/>
    <hyperlink r:id="rId81" ref="F45"/>
    <hyperlink r:id="rId82" ref="S45"/>
    <hyperlink r:id="rId83" ref="F46"/>
    <hyperlink r:id="rId84" ref="G46"/>
    <hyperlink r:id="rId85" ref="S46"/>
    <hyperlink r:id="rId86" ref="S47"/>
    <hyperlink r:id="rId87" ref="G48"/>
    <hyperlink r:id="rId88" ref="S48"/>
    <hyperlink r:id="rId89" ref="G49"/>
    <hyperlink r:id="rId90" ref="S49"/>
    <hyperlink r:id="rId91" ref="F50"/>
    <hyperlink r:id="rId92" ref="S50"/>
    <hyperlink r:id="rId93" ref="G51"/>
    <hyperlink r:id="rId94" ref="S51"/>
    <hyperlink r:id="rId95" ref="G52"/>
    <hyperlink r:id="rId96" ref="S52"/>
    <hyperlink r:id="rId97" ref="F53"/>
    <hyperlink r:id="rId98" ref="S53"/>
    <hyperlink r:id="rId99" ref="G54"/>
    <hyperlink r:id="rId100" ref="S54"/>
    <hyperlink r:id="rId101" ref="G55"/>
    <hyperlink r:id="rId102" ref="S55"/>
    <hyperlink r:id="rId103" ref="G56"/>
    <hyperlink r:id="rId104" ref="S56"/>
    <hyperlink r:id="rId105" ref="F57"/>
    <hyperlink r:id="rId106" ref="S57"/>
    <hyperlink r:id="rId107" ref="G58"/>
    <hyperlink r:id="rId108" ref="S58"/>
    <hyperlink r:id="rId109" ref="G59"/>
    <hyperlink r:id="rId110" ref="S59"/>
    <hyperlink r:id="rId111" ref="G60"/>
    <hyperlink r:id="rId112" ref="S60"/>
    <hyperlink r:id="rId113" ref="G61"/>
    <hyperlink r:id="rId114" ref="S61"/>
    <hyperlink r:id="rId115" ref="G62"/>
    <hyperlink r:id="rId116" ref="S62"/>
    <hyperlink r:id="rId117" ref="G63"/>
    <hyperlink r:id="rId118" ref="S63"/>
    <hyperlink r:id="rId119" ref="G64"/>
    <hyperlink r:id="rId120" ref="S64"/>
    <hyperlink r:id="rId121" ref="G65"/>
    <hyperlink r:id="rId122" ref="S65"/>
    <hyperlink r:id="rId123" ref="G66"/>
    <hyperlink r:id="rId124" ref="S66"/>
    <hyperlink r:id="rId125" ref="G67"/>
    <hyperlink r:id="rId126" ref="S67"/>
    <hyperlink r:id="rId127" ref="G68"/>
    <hyperlink r:id="rId128" ref="S68"/>
    <hyperlink r:id="rId129" ref="G69"/>
    <hyperlink r:id="rId130" ref="S69"/>
    <hyperlink r:id="rId131" ref="G70"/>
    <hyperlink r:id="rId132" ref="S70"/>
    <hyperlink r:id="rId133" ref="G71"/>
    <hyperlink r:id="rId134" ref="S71"/>
    <hyperlink r:id="rId135" ref="G72"/>
    <hyperlink r:id="rId136" ref="S72"/>
    <hyperlink r:id="rId137" ref="G73"/>
    <hyperlink r:id="rId138" ref="S73"/>
    <hyperlink r:id="rId139" ref="G74"/>
    <hyperlink r:id="rId140" ref="S74"/>
    <hyperlink r:id="rId141" ref="G75"/>
    <hyperlink r:id="rId142" ref="S75"/>
    <hyperlink r:id="rId143" ref="G76"/>
    <hyperlink r:id="rId144" ref="S76"/>
    <hyperlink r:id="rId145" ref="G77"/>
    <hyperlink r:id="rId146" ref="S77"/>
    <hyperlink r:id="rId147" ref="G78"/>
    <hyperlink r:id="rId148" ref="S78"/>
    <hyperlink r:id="rId149" ref="G79"/>
    <hyperlink r:id="rId150" ref="S79"/>
    <hyperlink r:id="rId151" ref="G80"/>
    <hyperlink r:id="rId152" ref="S80"/>
    <hyperlink r:id="rId153" ref="G81"/>
    <hyperlink r:id="rId154" ref="S81"/>
    <hyperlink r:id="rId155" ref="G82"/>
    <hyperlink r:id="rId156" ref="S82"/>
    <hyperlink r:id="rId157" ref="G83"/>
    <hyperlink r:id="rId158" ref="S83"/>
    <hyperlink r:id="rId159" ref="G84"/>
    <hyperlink r:id="rId160" ref="S84"/>
    <hyperlink r:id="rId161" ref="G85"/>
    <hyperlink r:id="rId162" ref="S85"/>
    <hyperlink r:id="rId163" ref="G86"/>
    <hyperlink r:id="rId164" ref="S86"/>
    <hyperlink r:id="rId165" ref="F87"/>
    <hyperlink r:id="rId166" ref="S87"/>
    <hyperlink r:id="rId167" ref="F88"/>
    <hyperlink r:id="rId168" ref="G88"/>
    <hyperlink r:id="rId169" ref="S88"/>
    <hyperlink r:id="rId170" ref="G89"/>
    <hyperlink r:id="rId171" ref="S89"/>
    <hyperlink r:id="rId172" ref="G90"/>
    <hyperlink r:id="rId173" ref="S90"/>
    <hyperlink r:id="rId174" ref="S91"/>
    <hyperlink r:id="rId175" ref="S92"/>
    <hyperlink r:id="rId176" ref="F93"/>
    <hyperlink r:id="rId177" ref="G93"/>
    <hyperlink r:id="rId178" ref="S93"/>
    <hyperlink r:id="rId179" ref="S94"/>
    <hyperlink r:id="rId180" ref="F95"/>
    <hyperlink r:id="rId181" ref="G95"/>
    <hyperlink r:id="rId182" ref="S95"/>
    <hyperlink r:id="rId183" ref="F96"/>
    <hyperlink r:id="rId184" ref="S96"/>
    <hyperlink r:id="rId185" ref="G97"/>
    <hyperlink r:id="rId186" ref="S97"/>
    <hyperlink r:id="rId187" ref="F98"/>
    <hyperlink r:id="rId188" ref="G98"/>
    <hyperlink r:id="rId189" ref="S98"/>
    <hyperlink r:id="rId190" ref="G99"/>
    <hyperlink r:id="rId191" ref="S99"/>
    <hyperlink r:id="rId192" ref="G100"/>
    <hyperlink r:id="rId193" ref="S100"/>
    <hyperlink r:id="rId194" ref="F101"/>
    <hyperlink r:id="rId195" ref="G101"/>
    <hyperlink r:id="rId196" ref="S101"/>
    <hyperlink r:id="rId197" ref="F102"/>
    <hyperlink r:id="rId198" ref="S102"/>
  </hyperlinks>
  <drawing r:id="rId199"/>
  <tableParts count="1">
    <tablePart r:id="rId201"/>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219</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44222.61723379629</v>
      </c>
      <c r="B3" s="9" t="str">
        <f t="shared" ref="B3:B5" si="1">HYPERLINK("https://twitter.com/telediario","@telediario")</f>
        <v>@telediario</v>
      </c>
      <c r="C3" s="10" t="s">
        <v>220</v>
      </c>
      <c r="D3" s="10" t="s">
        <v>221</v>
      </c>
      <c r="E3" s="9" t="str">
        <f>HYPERLINK("https://twitter.com/telediario/status/1354169444931686403","1354169444931686403")</f>
        <v>1354169444931686403</v>
      </c>
      <c r="F3" s="11" t="s">
        <v>222</v>
      </c>
      <c r="G3" s="11" t="s">
        <v>223</v>
      </c>
      <c r="H3" s="12"/>
      <c r="I3" s="13">
        <v>0.0</v>
      </c>
      <c r="J3" s="13">
        <v>1.0</v>
      </c>
      <c r="K3" s="9" t="str">
        <f t="shared" ref="K3:K5" si="2">HYPERLINK("https://www.twitter.com/","Twitter Media Studio - LiveCut")</f>
        <v>Twitter Media Studio - LiveCut</v>
      </c>
      <c r="L3" s="14">
        <v>69192.0</v>
      </c>
      <c r="M3" s="14">
        <v>847.0</v>
      </c>
      <c r="N3" s="14">
        <v>211.0</v>
      </c>
      <c r="O3" s="15" t="s">
        <v>24</v>
      </c>
      <c r="P3" s="16">
        <v>42969.728472222225</v>
      </c>
      <c r="Q3" s="10" t="s">
        <v>224</v>
      </c>
      <c r="R3" s="10" t="s">
        <v>225</v>
      </c>
      <c r="S3" s="11" t="s">
        <v>226</v>
      </c>
      <c r="T3" s="12"/>
      <c r="U3" s="17" t="str">
        <f t="shared" ref="U3:U5" si="3">HYPERLINK("https://pbs.twimg.com/profile_images/1145715977402892288/hHrrLHGv.png","View")</f>
        <v>View</v>
      </c>
      <c r="V3" s="12"/>
      <c r="W3" s="12"/>
      <c r="X3" s="12"/>
      <c r="Y3" s="12"/>
      <c r="Z3" s="12"/>
    </row>
    <row r="4">
      <c r="A4" s="8">
        <v>44222.60430555556</v>
      </c>
      <c r="B4" s="9" t="str">
        <f t="shared" si="1"/>
        <v>@telediario</v>
      </c>
      <c r="C4" s="10" t="s">
        <v>220</v>
      </c>
      <c r="D4" s="10" t="s">
        <v>227</v>
      </c>
      <c r="E4" s="9" t="str">
        <f>HYPERLINK("https://twitter.com/telediario/status/1354164760384831488","1354164760384831488")</f>
        <v>1354164760384831488</v>
      </c>
      <c r="F4" s="11" t="s">
        <v>222</v>
      </c>
      <c r="G4" s="11" t="s">
        <v>228</v>
      </c>
      <c r="H4" s="12"/>
      <c r="I4" s="13">
        <v>2.0</v>
      </c>
      <c r="J4" s="13">
        <v>4.0</v>
      </c>
      <c r="K4" s="9" t="str">
        <f t="shared" si="2"/>
        <v>Twitter Media Studio - LiveCut</v>
      </c>
      <c r="L4" s="14">
        <v>69192.0</v>
      </c>
      <c r="M4" s="14">
        <v>847.0</v>
      </c>
      <c r="N4" s="14">
        <v>211.0</v>
      </c>
      <c r="O4" s="15" t="s">
        <v>24</v>
      </c>
      <c r="P4" s="16">
        <v>42969.728472222225</v>
      </c>
      <c r="Q4" s="10" t="s">
        <v>224</v>
      </c>
      <c r="R4" s="10" t="s">
        <v>225</v>
      </c>
      <c r="S4" s="11" t="s">
        <v>226</v>
      </c>
      <c r="T4" s="12"/>
      <c r="U4" s="17" t="str">
        <f t="shared" si="3"/>
        <v>View</v>
      </c>
      <c r="V4" s="12"/>
      <c r="W4" s="12"/>
      <c r="X4" s="12"/>
      <c r="Y4" s="12"/>
      <c r="Z4" s="12"/>
    </row>
    <row r="5">
      <c r="A5" s="8">
        <v>44222.603217592594</v>
      </c>
      <c r="B5" s="9" t="str">
        <f t="shared" si="1"/>
        <v>@telediario</v>
      </c>
      <c r="C5" s="10" t="s">
        <v>220</v>
      </c>
      <c r="D5" s="10" t="s">
        <v>229</v>
      </c>
      <c r="E5" s="9" t="str">
        <f>HYPERLINK("https://twitter.com/telediario/status/1354164365319151622","1354164365319151622")</f>
        <v>1354164365319151622</v>
      </c>
      <c r="F5" s="11" t="s">
        <v>222</v>
      </c>
      <c r="G5" s="11" t="s">
        <v>230</v>
      </c>
      <c r="H5" s="12"/>
      <c r="I5" s="13">
        <v>0.0</v>
      </c>
      <c r="J5" s="13">
        <v>4.0</v>
      </c>
      <c r="K5" s="9" t="str">
        <f t="shared" si="2"/>
        <v>Twitter Media Studio - LiveCut</v>
      </c>
      <c r="L5" s="14">
        <v>69192.0</v>
      </c>
      <c r="M5" s="14">
        <v>847.0</v>
      </c>
      <c r="N5" s="14">
        <v>211.0</v>
      </c>
      <c r="O5" s="15" t="s">
        <v>24</v>
      </c>
      <c r="P5" s="16">
        <v>42969.728472222225</v>
      </c>
      <c r="Q5" s="10" t="s">
        <v>224</v>
      </c>
      <c r="R5" s="10" t="s">
        <v>225</v>
      </c>
      <c r="S5" s="11" t="s">
        <v>226</v>
      </c>
      <c r="T5" s="12"/>
      <c r="U5" s="17" t="str">
        <f t="shared" si="3"/>
        <v>View</v>
      </c>
      <c r="V5" s="12"/>
      <c r="W5" s="12"/>
      <c r="X5" s="12"/>
      <c r="Y5" s="12"/>
      <c r="Z5" s="12"/>
    </row>
    <row r="6">
      <c r="A6" s="8">
        <v>44222.59988425926</v>
      </c>
      <c r="B6" s="9" t="str">
        <f>HYPERLINK("https://twitter.com/german_quezada","@german_quezada")</f>
        <v>@german_quezada</v>
      </c>
      <c r="C6" s="10" t="s">
        <v>231</v>
      </c>
      <c r="D6" s="10" t="s">
        <v>232</v>
      </c>
      <c r="E6" s="9" t="str">
        <f>HYPERLINK("https://twitter.com/german_quezada/status/1354163158613594112","1354163158613594112")</f>
        <v>1354163158613594112</v>
      </c>
      <c r="F6" s="11" t="s">
        <v>233</v>
      </c>
      <c r="G6" s="11" t="s">
        <v>234</v>
      </c>
      <c r="H6" s="12"/>
      <c r="I6" s="13">
        <v>0.0</v>
      </c>
      <c r="J6" s="13">
        <v>0.0</v>
      </c>
      <c r="K6" s="9" t="str">
        <f>HYPERLINK("http://twitter.com/download/android","Twitter for Android")</f>
        <v>Twitter for Android</v>
      </c>
      <c r="L6" s="14">
        <v>54.0</v>
      </c>
      <c r="M6" s="14">
        <v>345.0</v>
      </c>
      <c r="N6" s="14">
        <v>0.0</v>
      </c>
      <c r="O6" s="19"/>
      <c r="P6" s="16">
        <v>40758.96784722222</v>
      </c>
      <c r="Q6" s="12"/>
      <c r="R6" s="12"/>
      <c r="S6" s="12"/>
      <c r="T6" s="12"/>
      <c r="U6" s="17" t="str">
        <f>HYPERLINK("https://pbs.twimg.com/profile_images/2675699941/91eccbdd20ac49dd1317048780a1dea6.jpeg","View")</f>
        <v>View</v>
      </c>
      <c r="V6" s="12"/>
      <c r="W6" s="12"/>
      <c r="X6" s="12"/>
      <c r="Y6" s="12"/>
      <c r="Z6" s="12"/>
    </row>
    <row r="7">
      <c r="A7" s="8">
        <v>44222.59871527778</v>
      </c>
      <c r="B7" s="9" t="str">
        <f>HYPERLINK("https://twitter.com/telediario","@telediario")</f>
        <v>@telediario</v>
      </c>
      <c r="C7" s="10" t="s">
        <v>220</v>
      </c>
      <c r="D7" s="10" t="s">
        <v>235</v>
      </c>
      <c r="E7" s="9" t="str">
        <f>HYPERLINK("https://twitter.com/telediario/status/1354162733902667777","1354162733902667777")</f>
        <v>1354162733902667777</v>
      </c>
      <c r="F7" s="11" t="s">
        <v>222</v>
      </c>
      <c r="G7" s="11" t="s">
        <v>236</v>
      </c>
      <c r="H7" s="12"/>
      <c r="I7" s="13">
        <v>0.0</v>
      </c>
      <c r="J7" s="13">
        <v>3.0</v>
      </c>
      <c r="K7" s="9" t="str">
        <f>HYPERLINK("https://www.twitter.com/","Twitter Media Studio - LiveCut")</f>
        <v>Twitter Media Studio - LiveCut</v>
      </c>
      <c r="L7" s="14">
        <v>69192.0</v>
      </c>
      <c r="M7" s="14">
        <v>847.0</v>
      </c>
      <c r="N7" s="14">
        <v>211.0</v>
      </c>
      <c r="O7" s="15" t="s">
        <v>24</v>
      </c>
      <c r="P7" s="16">
        <v>42969.728472222225</v>
      </c>
      <c r="Q7" s="10" t="s">
        <v>224</v>
      </c>
      <c r="R7" s="10" t="s">
        <v>225</v>
      </c>
      <c r="S7" s="11" t="s">
        <v>226</v>
      </c>
      <c r="T7" s="12"/>
      <c r="U7" s="17" t="str">
        <f>HYPERLINK("https://pbs.twimg.com/profile_images/1145715977402892288/hHrrLHGv.png","View")</f>
        <v>View</v>
      </c>
      <c r="V7" s="12"/>
      <c r="W7" s="12"/>
      <c r="X7" s="12"/>
      <c r="Y7" s="12"/>
      <c r="Z7" s="12"/>
    </row>
    <row r="8">
      <c r="A8" s="8">
        <v>44222.59613425926</v>
      </c>
      <c r="B8" s="9" t="str">
        <f>HYPERLINK("https://twitter.com/yimau","@yimau")</f>
        <v>@yimau</v>
      </c>
      <c r="C8" s="10" t="s">
        <v>237</v>
      </c>
      <c r="D8" s="10" t="s">
        <v>238</v>
      </c>
      <c r="E8" s="9" t="str">
        <f>HYPERLINK("https://twitter.com/yimau/status/1354161797922750466","1354161797922750466")</f>
        <v>1354161797922750466</v>
      </c>
      <c r="F8" s="11" t="s">
        <v>239</v>
      </c>
      <c r="G8" s="12"/>
      <c r="H8" s="12"/>
      <c r="I8" s="13">
        <v>0.0</v>
      </c>
      <c r="J8" s="13">
        <v>0.0</v>
      </c>
      <c r="K8" s="9" t="str">
        <f>HYPERLINK("http://twitter.com/download/iphone","Twitter for iPhone")</f>
        <v>Twitter for iPhone</v>
      </c>
      <c r="L8" s="14">
        <v>2020.0</v>
      </c>
      <c r="M8" s="14">
        <v>34.0</v>
      </c>
      <c r="N8" s="14">
        <v>11.0</v>
      </c>
      <c r="O8" s="19"/>
      <c r="P8" s="16">
        <v>40889.44679398148</v>
      </c>
      <c r="Q8" s="12"/>
      <c r="R8" s="10" t="s">
        <v>240</v>
      </c>
      <c r="S8" s="12"/>
      <c r="T8" s="12"/>
      <c r="U8" s="17" t="str">
        <f>HYPERLINK("https://pbs.twimg.com/profile_images/1241525290523717633/thNAbsF5.jpg","View")</f>
        <v>View</v>
      </c>
      <c r="V8" s="12"/>
      <c r="W8" s="12"/>
      <c r="X8" s="12"/>
      <c r="Y8" s="12"/>
      <c r="Z8" s="12"/>
    </row>
    <row r="9">
      <c r="A9" s="8">
        <v>44222.59517361112</v>
      </c>
      <c r="B9" s="9" t="str">
        <f t="shared" ref="B9:B19" si="4">HYPERLINK("https://twitter.com/telediario","@telediario")</f>
        <v>@telediario</v>
      </c>
      <c r="C9" s="10" t="s">
        <v>220</v>
      </c>
      <c r="D9" s="10" t="s">
        <v>241</v>
      </c>
      <c r="E9" s="9" t="str">
        <f>HYPERLINK("https://twitter.com/telediario/status/1354161449258655745","1354161449258655745")</f>
        <v>1354161449258655745</v>
      </c>
      <c r="F9" s="11" t="s">
        <v>222</v>
      </c>
      <c r="G9" s="11" t="s">
        <v>242</v>
      </c>
      <c r="H9" s="12"/>
      <c r="I9" s="13">
        <v>1.0</v>
      </c>
      <c r="J9" s="13">
        <v>3.0</v>
      </c>
      <c r="K9" s="9" t="str">
        <f t="shared" ref="K9:K19" si="5">HYPERLINK("https://www.twitter.com/","Twitter Media Studio - LiveCut")</f>
        <v>Twitter Media Studio - LiveCut</v>
      </c>
      <c r="L9" s="14">
        <v>69192.0</v>
      </c>
      <c r="M9" s="14">
        <v>847.0</v>
      </c>
      <c r="N9" s="14">
        <v>211.0</v>
      </c>
      <c r="O9" s="15" t="s">
        <v>24</v>
      </c>
      <c r="P9" s="16">
        <v>42969.728472222225</v>
      </c>
      <c r="Q9" s="10" t="s">
        <v>224</v>
      </c>
      <c r="R9" s="10" t="s">
        <v>225</v>
      </c>
      <c r="S9" s="11" t="s">
        <v>226</v>
      </c>
      <c r="T9" s="12"/>
      <c r="U9" s="17" t="str">
        <f t="shared" ref="U9:U19" si="6">HYPERLINK("https://pbs.twimg.com/profile_images/1145715977402892288/hHrrLHGv.png","View")</f>
        <v>View</v>
      </c>
      <c r="V9" s="12"/>
      <c r="W9" s="12"/>
      <c r="X9" s="12"/>
      <c r="Y9" s="12"/>
      <c r="Z9" s="12"/>
    </row>
    <row r="10">
      <c r="A10" s="8">
        <v>44222.59236111111</v>
      </c>
      <c r="B10" s="9" t="str">
        <f t="shared" si="4"/>
        <v>@telediario</v>
      </c>
      <c r="C10" s="10" t="s">
        <v>220</v>
      </c>
      <c r="D10" s="10" t="s">
        <v>243</v>
      </c>
      <c r="E10" s="9" t="str">
        <f>HYPERLINK("https://twitter.com/telediario/status/1354160430894223362","1354160430894223362")</f>
        <v>1354160430894223362</v>
      </c>
      <c r="F10" s="12"/>
      <c r="G10" s="11" t="s">
        <v>244</v>
      </c>
      <c r="H10" s="12"/>
      <c r="I10" s="13">
        <v>2.0</v>
      </c>
      <c r="J10" s="13">
        <v>2.0</v>
      </c>
      <c r="K10" s="9" t="str">
        <f t="shared" si="5"/>
        <v>Twitter Media Studio - LiveCut</v>
      </c>
      <c r="L10" s="14">
        <v>69192.0</v>
      </c>
      <c r="M10" s="14">
        <v>847.0</v>
      </c>
      <c r="N10" s="14">
        <v>211.0</v>
      </c>
      <c r="O10" s="15" t="s">
        <v>24</v>
      </c>
      <c r="P10" s="16">
        <v>42969.728472222225</v>
      </c>
      <c r="Q10" s="10" t="s">
        <v>224</v>
      </c>
      <c r="R10" s="10" t="s">
        <v>225</v>
      </c>
      <c r="S10" s="11" t="s">
        <v>226</v>
      </c>
      <c r="T10" s="12"/>
      <c r="U10" s="17" t="str">
        <f t="shared" si="6"/>
        <v>View</v>
      </c>
      <c r="V10" s="12"/>
      <c r="W10" s="12"/>
      <c r="X10" s="12"/>
      <c r="Y10" s="12"/>
      <c r="Z10" s="12"/>
    </row>
    <row r="11">
      <c r="A11" s="8">
        <v>44222.57309027778</v>
      </c>
      <c r="B11" s="9" t="str">
        <f t="shared" si="4"/>
        <v>@telediario</v>
      </c>
      <c r="C11" s="10" t="s">
        <v>220</v>
      </c>
      <c r="D11" s="10" t="s">
        <v>245</v>
      </c>
      <c r="E11" s="9" t="str">
        <f>HYPERLINK("https://twitter.com/telediario/status/1354153447029960705","1354153447029960705")</f>
        <v>1354153447029960705</v>
      </c>
      <c r="F11" s="11" t="s">
        <v>222</v>
      </c>
      <c r="G11" s="11" t="s">
        <v>246</v>
      </c>
      <c r="H11" s="12"/>
      <c r="I11" s="13">
        <v>1.0</v>
      </c>
      <c r="J11" s="13">
        <v>1.0</v>
      </c>
      <c r="K11" s="9" t="str">
        <f t="shared" si="5"/>
        <v>Twitter Media Studio - LiveCut</v>
      </c>
      <c r="L11" s="14">
        <v>69192.0</v>
      </c>
      <c r="M11" s="14">
        <v>847.0</v>
      </c>
      <c r="N11" s="14">
        <v>211.0</v>
      </c>
      <c r="O11" s="15" t="s">
        <v>24</v>
      </c>
      <c r="P11" s="16">
        <v>42969.728472222225</v>
      </c>
      <c r="Q11" s="10" t="s">
        <v>224</v>
      </c>
      <c r="R11" s="10" t="s">
        <v>225</v>
      </c>
      <c r="S11" s="11" t="s">
        <v>226</v>
      </c>
      <c r="T11" s="12"/>
      <c r="U11" s="17" t="str">
        <f t="shared" si="6"/>
        <v>View</v>
      </c>
      <c r="V11" s="12"/>
      <c r="W11" s="12"/>
      <c r="X11" s="12"/>
      <c r="Y11" s="12"/>
      <c r="Z11" s="12"/>
    </row>
    <row r="12">
      <c r="A12" s="8">
        <v>44222.57200231482</v>
      </c>
      <c r="B12" s="9" t="str">
        <f t="shared" si="4"/>
        <v>@telediario</v>
      </c>
      <c r="C12" s="10" t="s">
        <v>220</v>
      </c>
      <c r="D12" s="10" t="s">
        <v>247</v>
      </c>
      <c r="E12" s="9" t="str">
        <f>HYPERLINK("https://twitter.com/telediario/status/1354153053071544321","1354153053071544321")</f>
        <v>1354153053071544321</v>
      </c>
      <c r="F12" s="11" t="s">
        <v>222</v>
      </c>
      <c r="G12" s="11" t="s">
        <v>248</v>
      </c>
      <c r="H12" s="12"/>
      <c r="I12" s="13">
        <v>0.0</v>
      </c>
      <c r="J12" s="13">
        <v>2.0</v>
      </c>
      <c r="K12" s="9" t="str">
        <f t="shared" si="5"/>
        <v>Twitter Media Studio - LiveCut</v>
      </c>
      <c r="L12" s="14">
        <v>69192.0</v>
      </c>
      <c r="M12" s="14">
        <v>847.0</v>
      </c>
      <c r="N12" s="14">
        <v>211.0</v>
      </c>
      <c r="O12" s="15" t="s">
        <v>24</v>
      </c>
      <c r="P12" s="16">
        <v>42969.728472222225</v>
      </c>
      <c r="Q12" s="10" t="s">
        <v>224</v>
      </c>
      <c r="R12" s="10" t="s">
        <v>225</v>
      </c>
      <c r="S12" s="11" t="s">
        <v>226</v>
      </c>
      <c r="T12" s="12"/>
      <c r="U12" s="17" t="str">
        <f t="shared" si="6"/>
        <v>View</v>
      </c>
      <c r="V12" s="12"/>
      <c r="W12" s="12"/>
      <c r="X12" s="12"/>
      <c r="Y12" s="12"/>
      <c r="Z12" s="12"/>
    </row>
    <row r="13">
      <c r="A13" s="8">
        <v>44222.5709375</v>
      </c>
      <c r="B13" s="9" t="str">
        <f t="shared" si="4"/>
        <v>@telediario</v>
      </c>
      <c r="C13" s="10" t="s">
        <v>220</v>
      </c>
      <c r="D13" s="10" t="s">
        <v>249</v>
      </c>
      <c r="E13" s="9" t="str">
        <f>HYPERLINK("https://twitter.com/telediario/status/1354152667468201987","1354152667468201987")</f>
        <v>1354152667468201987</v>
      </c>
      <c r="F13" s="11" t="s">
        <v>222</v>
      </c>
      <c r="G13" s="11" t="s">
        <v>250</v>
      </c>
      <c r="H13" s="12"/>
      <c r="I13" s="13">
        <v>0.0</v>
      </c>
      <c r="J13" s="13">
        <v>2.0</v>
      </c>
      <c r="K13" s="9" t="str">
        <f t="shared" si="5"/>
        <v>Twitter Media Studio - LiveCut</v>
      </c>
      <c r="L13" s="14">
        <v>69192.0</v>
      </c>
      <c r="M13" s="14">
        <v>847.0</v>
      </c>
      <c r="N13" s="14">
        <v>211.0</v>
      </c>
      <c r="O13" s="15" t="s">
        <v>24</v>
      </c>
      <c r="P13" s="16">
        <v>42969.728472222225</v>
      </c>
      <c r="Q13" s="10" t="s">
        <v>224</v>
      </c>
      <c r="R13" s="10" t="s">
        <v>225</v>
      </c>
      <c r="S13" s="11" t="s">
        <v>226</v>
      </c>
      <c r="T13" s="12"/>
      <c r="U13" s="17" t="str">
        <f t="shared" si="6"/>
        <v>View</v>
      </c>
      <c r="V13" s="12"/>
      <c r="W13" s="12"/>
      <c r="X13" s="12"/>
      <c r="Y13" s="12"/>
      <c r="Z13" s="12"/>
    </row>
    <row r="14">
      <c r="A14" s="8">
        <v>44222.57037037037</v>
      </c>
      <c r="B14" s="9" t="str">
        <f t="shared" si="4"/>
        <v>@telediario</v>
      </c>
      <c r="C14" s="10" t="s">
        <v>220</v>
      </c>
      <c r="D14" s="10" t="s">
        <v>251</v>
      </c>
      <c r="E14" s="9" t="str">
        <f>HYPERLINK("https://twitter.com/telediario/status/1354152462874238980","1354152462874238980")</f>
        <v>1354152462874238980</v>
      </c>
      <c r="F14" s="11" t="s">
        <v>222</v>
      </c>
      <c r="G14" s="11" t="s">
        <v>252</v>
      </c>
      <c r="H14" s="12"/>
      <c r="I14" s="13">
        <v>1.0</v>
      </c>
      <c r="J14" s="13">
        <v>5.0</v>
      </c>
      <c r="K14" s="9" t="str">
        <f t="shared" si="5"/>
        <v>Twitter Media Studio - LiveCut</v>
      </c>
      <c r="L14" s="14">
        <v>69192.0</v>
      </c>
      <c r="M14" s="14">
        <v>847.0</v>
      </c>
      <c r="N14" s="14">
        <v>211.0</v>
      </c>
      <c r="O14" s="15" t="s">
        <v>24</v>
      </c>
      <c r="P14" s="16">
        <v>42969.728472222225</v>
      </c>
      <c r="Q14" s="10" t="s">
        <v>224</v>
      </c>
      <c r="R14" s="10" t="s">
        <v>225</v>
      </c>
      <c r="S14" s="11" t="s">
        <v>226</v>
      </c>
      <c r="T14" s="12"/>
      <c r="U14" s="17" t="str">
        <f t="shared" si="6"/>
        <v>View</v>
      </c>
      <c r="V14" s="12"/>
      <c r="W14" s="12"/>
      <c r="X14" s="12"/>
      <c r="Y14" s="12"/>
      <c r="Z14" s="12"/>
    </row>
    <row r="15">
      <c r="A15" s="8">
        <v>44222.56890046297</v>
      </c>
      <c r="B15" s="9" t="str">
        <f t="shared" si="4"/>
        <v>@telediario</v>
      </c>
      <c r="C15" s="10" t="s">
        <v>220</v>
      </c>
      <c r="D15" s="10" t="s">
        <v>253</v>
      </c>
      <c r="E15" s="9" t="str">
        <f>HYPERLINK("https://twitter.com/telediario/status/1354151927399985153","1354151927399985153")</f>
        <v>1354151927399985153</v>
      </c>
      <c r="F15" s="11" t="s">
        <v>222</v>
      </c>
      <c r="G15" s="11" t="s">
        <v>254</v>
      </c>
      <c r="H15" s="12"/>
      <c r="I15" s="13">
        <v>1.0</v>
      </c>
      <c r="J15" s="13">
        <v>9.0</v>
      </c>
      <c r="K15" s="9" t="str">
        <f t="shared" si="5"/>
        <v>Twitter Media Studio - LiveCut</v>
      </c>
      <c r="L15" s="14">
        <v>69192.0</v>
      </c>
      <c r="M15" s="14">
        <v>847.0</v>
      </c>
      <c r="N15" s="14">
        <v>211.0</v>
      </c>
      <c r="O15" s="15" t="s">
        <v>24</v>
      </c>
      <c r="P15" s="16">
        <v>42969.728472222225</v>
      </c>
      <c r="Q15" s="10" t="s">
        <v>224</v>
      </c>
      <c r="R15" s="10" t="s">
        <v>225</v>
      </c>
      <c r="S15" s="11" t="s">
        <v>226</v>
      </c>
      <c r="T15" s="12"/>
      <c r="U15" s="17" t="str">
        <f t="shared" si="6"/>
        <v>View</v>
      </c>
      <c r="V15" s="12"/>
      <c r="W15" s="12"/>
      <c r="X15" s="12"/>
      <c r="Y15" s="12"/>
      <c r="Z15" s="12"/>
    </row>
    <row r="16">
      <c r="A16" s="8">
        <v>44222.56795138889</v>
      </c>
      <c r="B16" s="9" t="str">
        <f t="shared" si="4"/>
        <v>@telediario</v>
      </c>
      <c r="C16" s="10" t="s">
        <v>220</v>
      </c>
      <c r="D16" s="10" t="s">
        <v>255</v>
      </c>
      <c r="E16" s="9" t="str">
        <f>HYPERLINK("https://twitter.com/telediario/status/1354151585765597184","1354151585765597184")</f>
        <v>1354151585765597184</v>
      </c>
      <c r="F16" s="11" t="s">
        <v>222</v>
      </c>
      <c r="G16" s="11" t="s">
        <v>256</v>
      </c>
      <c r="H16" s="12"/>
      <c r="I16" s="13">
        <v>2.0</v>
      </c>
      <c r="J16" s="13">
        <v>7.0</v>
      </c>
      <c r="K16" s="9" t="str">
        <f t="shared" si="5"/>
        <v>Twitter Media Studio - LiveCut</v>
      </c>
      <c r="L16" s="14">
        <v>69192.0</v>
      </c>
      <c r="M16" s="14">
        <v>847.0</v>
      </c>
      <c r="N16" s="14">
        <v>211.0</v>
      </c>
      <c r="O16" s="15" t="s">
        <v>24</v>
      </c>
      <c r="P16" s="16">
        <v>42969.728472222225</v>
      </c>
      <c r="Q16" s="10" t="s">
        <v>224</v>
      </c>
      <c r="R16" s="10" t="s">
        <v>225</v>
      </c>
      <c r="S16" s="11" t="s">
        <v>226</v>
      </c>
      <c r="T16" s="12"/>
      <c r="U16" s="17" t="str">
        <f t="shared" si="6"/>
        <v>View</v>
      </c>
      <c r="V16" s="12"/>
      <c r="W16" s="12"/>
      <c r="X16" s="12"/>
      <c r="Y16" s="12"/>
      <c r="Z16" s="12"/>
    </row>
    <row r="17">
      <c r="A17" s="8">
        <v>44222.56706018519</v>
      </c>
      <c r="B17" s="9" t="str">
        <f t="shared" si="4"/>
        <v>@telediario</v>
      </c>
      <c r="C17" s="10" t="s">
        <v>220</v>
      </c>
      <c r="D17" s="10" t="s">
        <v>257</v>
      </c>
      <c r="E17" s="9" t="str">
        <f>HYPERLINK("https://twitter.com/telediario/status/1354151262774845440","1354151262774845440")</f>
        <v>1354151262774845440</v>
      </c>
      <c r="F17" s="11" t="s">
        <v>222</v>
      </c>
      <c r="G17" s="11" t="s">
        <v>258</v>
      </c>
      <c r="H17" s="12"/>
      <c r="I17" s="13">
        <v>1.0</v>
      </c>
      <c r="J17" s="13">
        <v>3.0</v>
      </c>
      <c r="K17" s="9" t="str">
        <f t="shared" si="5"/>
        <v>Twitter Media Studio - LiveCut</v>
      </c>
      <c r="L17" s="14">
        <v>69192.0</v>
      </c>
      <c r="M17" s="14">
        <v>847.0</v>
      </c>
      <c r="N17" s="14">
        <v>211.0</v>
      </c>
      <c r="O17" s="15" t="s">
        <v>24</v>
      </c>
      <c r="P17" s="16">
        <v>42969.728472222225</v>
      </c>
      <c r="Q17" s="10" t="s">
        <v>224</v>
      </c>
      <c r="R17" s="10" t="s">
        <v>225</v>
      </c>
      <c r="S17" s="11" t="s">
        <v>226</v>
      </c>
      <c r="T17" s="12"/>
      <c r="U17" s="17" t="str">
        <f t="shared" si="6"/>
        <v>View</v>
      </c>
      <c r="V17" s="12"/>
      <c r="W17" s="12"/>
      <c r="X17" s="12"/>
      <c r="Y17" s="12"/>
      <c r="Z17" s="12"/>
    </row>
    <row r="18">
      <c r="A18" s="8">
        <v>44222.56609953704</v>
      </c>
      <c r="B18" s="9" t="str">
        <f t="shared" si="4"/>
        <v>@telediario</v>
      </c>
      <c r="C18" s="10" t="s">
        <v>220</v>
      </c>
      <c r="D18" s="10" t="s">
        <v>259</v>
      </c>
      <c r="E18" s="9" t="str">
        <f>HYPERLINK("https://twitter.com/telediario/status/1354150914341412869","1354150914341412869")</f>
        <v>1354150914341412869</v>
      </c>
      <c r="F18" s="11" t="s">
        <v>222</v>
      </c>
      <c r="G18" s="11" t="s">
        <v>260</v>
      </c>
      <c r="H18" s="12"/>
      <c r="I18" s="13">
        <v>0.0</v>
      </c>
      <c r="J18" s="13">
        <v>2.0</v>
      </c>
      <c r="K18" s="9" t="str">
        <f t="shared" si="5"/>
        <v>Twitter Media Studio - LiveCut</v>
      </c>
      <c r="L18" s="14">
        <v>69192.0</v>
      </c>
      <c r="M18" s="14">
        <v>847.0</v>
      </c>
      <c r="N18" s="14">
        <v>211.0</v>
      </c>
      <c r="O18" s="15" t="s">
        <v>24</v>
      </c>
      <c r="P18" s="16">
        <v>42969.728472222225</v>
      </c>
      <c r="Q18" s="10" t="s">
        <v>224</v>
      </c>
      <c r="R18" s="10" t="s">
        <v>225</v>
      </c>
      <c r="S18" s="11" t="s">
        <v>226</v>
      </c>
      <c r="T18" s="12"/>
      <c r="U18" s="17" t="str">
        <f t="shared" si="6"/>
        <v>View</v>
      </c>
      <c r="V18" s="12"/>
      <c r="W18" s="12"/>
      <c r="X18" s="12"/>
      <c r="Y18" s="12"/>
      <c r="Z18" s="12"/>
    </row>
    <row r="19">
      <c r="A19" s="8">
        <v>44222.565405092595</v>
      </c>
      <c r="B19" s="9" t="str">
        <f t="shared" si="4"/>
        <v>@telediario</v>
      </c>
      <c r="C19" s="10" t="s">
        <v>220</v>
      </c>
      <c r="D19" s="10" t="s">
        <v>261</v>
      </c>
      <c r="E19" s="9" t="str">
        <f>HYPERLINK("https://twitter.com/telediario/status/1354150662867705857","1354150662867705857")</f>
        <v>1354150662867705857</v>
      </c>
      <c r="F19" s="11" t="s">
        <v>222</v>
      </c>
      <c r="G19" s="11" t="s">
        <v>262</v>
      </c>
      <c r="H19" s="12"/>
      <c r="I19" s="13">
        <v>4.0</v>
      </c>
      <c r="J19" s="13">
        <v>9.0</v>
      </c>
      <c r="K19" s="9" t="str">
        <f t="shared" si="5"/>
        <v>Twitter Media Studio - LiveCut</v>
      </c>
      <c r="L19" s="14">
        <v>69192.0</v>
      </c>
      <c r="M19" s="14">
        <v>847.0</v>
      </c>
      <c r="N19" s="14">
        <v>211.0</v>
      </c>
      <c r="O19" s="15" t="s">
        <v>24</v>
      </c>
      <c r="P19" s="16">
        <v>42969.728472222225</v>
      </c>
      <c r="Q19" s="10" t="s">
        <v>224</v>
      </c>
      <c r="R19" s="10" t="s">
        <v>225</v>
      </c>
      <c r="S19" s="11" t="s">
        <v>226</v>
      </c>
      <c r="T19" s="12"/>
      <c r="U19" s="17" t="str">
        <f t="shared" si="6"/>
        <v>View</v>
      </c>
      <c r="V19" s="12"/>
      <c r="W19" s="12"/>
      <c r="X19" s="12"/>
      <c r="Y19" s="12"/>
      <c r="Z19" s="12"/>
    </row>
    <row r="20">
      <c r="A20" s="8">
        <v>44222.56138888889</v>
      </c>
      <c r="B20" s="9" t="str">
        <f>HYPERLINK("https://twitter.com/jack_2105_bauer","@jack_2105_bauer")</f>
        <v>@jack_2105_bauer</v>
      </c>
      <c r="C20" s="10" t="s">
        <v>263</v>
      </c>
      <c r="D20" s="10" t="s">
        <v>264</v>
      </c>
      <c r="E20" s="9" t="str">
        <f>HYPERLINK("https://twitter.com/jack_2105_bauer/status/1354149207930785792","1354149207930785792")</f>
        <v>1354149207930785792</v>
      </c>
      <c r="F20" s="12"/>
      <c r="G20" s="12"/>
      <c r="H20" s="12"/>
      <c r="I20" s="13">
        <v>0.0</v>
      </c>
      <c r="J20" s="13">
        <v>0.0</v>
      </c>
      <c r="K20" s="9" t="str">
        <f>HYPERLINK("http://twitter.com/download/iphone","Twitter for iPhone")</f>
        <v>Twitter for iPhone</v>
      </c>
      <c r="L20" s="14">
        <v>147.0</v>
      </c>
      <c r="M20" s="14">
        <v>709.0</v>
      </c>
      <c r="N20" s="14">
        <v>0.0</v>
      </c>
      <c r="O20" s="19"/>
      <c r="P20" s="16">
        <v>40257.6475</v>
      </c>
      <c r="Q20" s="12"/>
      <c r="R20" s="12"/>
      <c r="S20" s="12"/>
      <c r="T20" s="12"/>
      <c r="U20" s="17" t="str">
        <f>HYPERLINK("https://pbs.twimg.com/profile_images/1299545017271431168/kyi_YdQ-.jpg","View")</f>
        <v>View</v>
      </c>
      <c r="V20" s="12"/>
      <c r="W20" s="12"/>
      <c r="X20" s="12"/>
      <c r="Y20" s="12"/>
      <c r="Z20" s="12"/>
    </row>
    <row r="21">
      <c r="A21" s="8">
        <v>44222.55987268519</v>
      </c>
      <c r="B21" s="9" t="str">
        <f>HYPERLINK("https://twitter.com/lapurga2020","@lapurga2020")</f>
        <v>@lapurga2020</v>
      </c>
      <c r="C21" s="10" t="s">
        <v>265</v>
      </c>
      <c r="D21" s="10" t="s">
        <v>266</v>
      </c>
      <c r="E21" s="9" t="str">
        <f>HYPERLINK("https://twitter.com/lapurga2020/status/1354148655549263875","1354148655549263875")</f>
        <v>1354148655549263875</v>
      </c>
      <c r="F21" s="11" t="s">
        <v>267</v>
      </c>
      <c r="G21" s="11" t="s">
        <v>268</v>
      </c>
      <c r="H21" s="12"/>
      <c r="I21" s="13">
        <v>1.0</v>
      </c>
      <c r="J21" s="13">
        <v>0.0</v>
      </c>
      <c r="K21" s="9" t="str">
        <f t="shared" ref="K21:K22" si="7">HYPERLINK("https://mobile.twitter.com","Twitter Web App")</f>
        <v>Twitter Web App</v>
      </c>
      <c r="L21" s="14">
        <v>66.0</v>
      </c>
      <c r="M21" s="14">
        <v>263.0</v>
      </c>
      <c r="N21" s="14">
        <v>0.0</v>
      </c>
      <c r="O21" s="19"/>
      <c r="P21" s="16">
        <v>44217.76436342593</v>
      </c>
      <c r="Q21" s="12"/>
      <c r="R21" s="10" t="s">
        <v>269</v>
      </c>
      <c r="S21" s="11" t="s">
        <v>270</v>
      </c>
      <c r="T21" s="12"/>
      <c r="U21" s="17" t="str">
        <f>HYPERLINK("https://pbs.twimg.com/profile_images/1352724140046749698/5i8ZwO5Q.png","View")</f>
        <v>View</v>
      </c>
      <c r="V21" s="12"/>
      <c r="W21" s="12"/>
      <c r="X21" s="12"/>
      <c r="Y21" s="12"/>
      <c r="Z21" s="12"/>
    </row>
    <row r="22">
      <c r="A22" s="8">
        <v>44222.5594212963</v>
      </c>
      <c r="B22" s="9" t="str">
        <f>HYPERLINK("https://twitter.com/Albertomarvatt","@Albertomarvatt")</f>
        <v>@Albertomarvatt</v>
      </c>
      <c r="C22" s="10" t="s">
        <v>271</v>
      </c>
      <c r="D22" s="10" t="s">
        <v>272</v>
      </c>
      <c r="E22" s="9" t="str">
        <f>HYPERLINK("https://twitter.com/Albertomarvatt/status/1354148493682589696","1354148493682589696")</f>
        <v>1354148493682589696</v>
      </c>
      <c r="F22" s="12"/>
      <c r="G22" s="12"/>
      <c r="H22" s="12"/>
      <c r="I22" s="13">
        <v>0.0</v>
      </c>
      <c r="J22" s="13">
        <v>0.0</v>
      </c>
      <c r="K22" s="9" t="str">
        <f t="shared" si="7"/>
        <v>Twitter Web App</v>
      </c>
      <c r="L22" s="14">
        <v>10491.0</v>
      </c>
      <c r="M22" s="14">
        <v>9859.0</v>
      </c>
      <c r="N22" s="14">
        <v>31.0</v>
      </c>
      <c r="O22" s="19"/>
      <c r="P22" s="16">
        <v>41637.136354166665</v>
      </c>
      <c r="Q22" s="10" t="s">
        <v>273</v>
      </c>
      <c r="R22" s="10" t="s">
        <v>274</v>
      </c>
      <c r="S22" s="12"/>
      <c r="T22" s="12"/>
      <c r="U22" s="17" t="str">
        <f>HYPERLINK("https://pbs.twimg.com/profile_images/417475556087562240/O3TqZfTr.png","View")</f>
        <v>View</v>
      </c>
      <c r="V22" s="12"/>
      <c r="W22" s="12"/>
      <c r="X22" s="12"/>
      <c r="Y22" s="12"/>
      <c r="Z22" s="12"/>
    </row>
    <row r="23">
      <c r="A23" s="8">
        <v>44222.55471064815</v>
      </c>
      <c r="B23" s="9" t="str">
        <f>HYPERLINK("https://twitter.com/emmanuelhs_","@emmanuelhs_")</f>
        <v>@emmanuelhs_</v>
      </c>
      <c r="C23" s="10" t="s">
        <v>275</v>
      </c>
      <c r="D23" s="10" t="s">
        <v>276</v>
      </c>
      <c r="E23" s="9" t="str">
        <f>HYPERLINK("https://twitter.com/emmanuelhs_/status/1354146786034786305","1354146786034786305")</f>
        <v>1354146786034786305</v>
      </c>
      <c r="F23" s="12"/>
      <c r="G23" s="12"/>
      <c r="H23" s="12"/>
      <c r="I23" s="13">
        <v>0.0</v>
      </c>
      <c r="J23" s="13">
        <v>0.0</v>
      </c>
      <c r="K23" s="9" t="str">
        <f>HYPERLINK("http://twitter.com/download/android","Twitter for Android")</f>
        <v>Twitter for Android</v>
      </c>
      <c r="L23" s="14">
        <v>92.0</v>
      </c>
      <c r="M23" s="14">
        <v>390.0</v>
      </c>
      <c r="N23" s="14">
        <v>0.0</v>
      </c>
      <c r="O23" s="19"/>
      <c r="P23" s="16">
        <v>43997.14548611111</v>
      </c>
      <c r="Q23" s="12"/>
      <c r="R23" s="10" t="s">
        <v>277</v>
      </c>
      <c r="S23" s="12"/>
      <c r="T23" s="12"/>
      <c r="U23" s="17" t="str">
        <f>HYPERLINK("https://pbs.twimg.com/profile_images/1346247997177393153/FDyapU_y.jpg","View")</f>
        <v>View</v>
      </c>
      <c r="V23" s="12"/>
      <c r="W23" s="12"/>
      <c r="X23" s="12"/>
      <c r="Y23" s="12"/>
      <c r="Z23" s="12"/>
    </row>
    <row r="24">
      <c r="A24" s="8">
        <v>44222.55465277778</v>
      </c>
      <c r="B24" s="9" t="str">
        <f t="shared" ref="B24:B28" si="8">HYPERLINK("https://twitter.com/telediario","@telediario")</f>
        <v>@telediario</v>
      </c>
      <c r="C24" s="10" t="s">
        <v>220</v>
      </c>
      <c r="D24" s="10" t="s">
        <v>278</v>
      </c>
      <c r="E24" s="9" t="str">
        <f>HYPERLINK("https://twitter.com/telediario/status/1354146767672061952","1354146767672061952")</f>
        <v>1354146767672061952</v>
      </c>
      <c r="F24" s="11" t="s">
        <v>222</v>
      </c>
      <c r="G24" s="11" t="s">
        <v>279</v>
      </c>
      <c r="H24" s="12"/>
      <c r="I24" s="13">
        <v>1.0</v>
      </c>
      <c r="J24" s="13">
        <v>2.0</v>
      </c>
      <c r="K24" s="9" t="str">
        <f t="shared" ref="K24:K28" si="9">HYPERLINK("https://www.twitter.com/","Twitter Media Studio - LiveCut")</f>
        <v>Twitter Media Studio - LiveCut</v>
      </c>
      <c r="L24" s="14">
        <v>69192.0</v>
      </c>
      <c r="M24" s="14">
        <v>847.0</v>
      </c>
      <c r="N24" s="14">
        <v>211.0</v>
      </c>
      <c r="O24" s="15" t="s">
        <v>24</v>
      </c>
      <c r="P24" s="16">
        <v>42969.728472222225</v>
      </c>
      <c r="Q24" s="10" t="s">
        <v>224</v>
      </c>
      <c r="R24" s="10" t="s">
        <v>225</v>
      </c>
      <c r="S24" s="11" t="s">
        <v>226</v>
      </c>
      <c r="T24" s="12"/>
      <c r="U24" s="17" t="str">
        <f t="shared" ref="U24:U28" si="10">HYPERLINK("https://pbs.twimg.com/profile_images/1145715977402892288/hHrrLHGv.png","View")</f>
        <v>View</v>
      </c>
      <c r="V24" s="12"/>
      <c r="W24" s="12"/>
      <c r="X24" s="12"/>
      <c r="Y24" s="12"/>
      <c r="Z24" s="12"/>
    </row>
    <row r="25">
      <c r="A25" s="8">
        <v>44222.55410879629</v>
      </c>
      <c r="B25" s="9" t="str">
        <f t="shared" si="8"/>
        <v>@telediario</v>
      </c>
      <c r="C25" s="10" t="s">
        <v>220</v>
      </c>
      <c r="D25" s="10" t="s">
        <v>280</v>
      </c>
      <c r="E25" s="9" t="str">
        <f>HYPERLINK("https://twitter.com/telediario/status/1354146569185095683","1354146569185095683")</f>
        <v>1354146569185095683</v>
      </c>
      <c r="F25" s="11" t="s">
        <v>222</v>
      </c>
      <c r="G25" s="11" t="s">
        <v>281</v>
      </c>
      <c r="H25" s="12"/>
      <c r="I25" s="13">
        <v>0.0</v>
      </c>
      <c r="J25" s="13">
        <v>4.0</v>
      </c>
      <c r="K25" s="9" t="str">
        <f t="shared" si="9"/>
        <v>Twitter Media Studio - LiveCut</v>
      </c>
      <c r="L25" s="14">
        <v>69192.0</v>
      </c>
      <c r="M25" s="14">
        <v>847.0</v>
      </c>
      <c r="N25" s="14">
        <v>211.0</v>
      </c>
      <c r="O25" s="15" t="s">
        <v>24</v>
      </c>
      <c r="P25" s="16">
        <v>42969.728472222225</v>
      </c>
      <c r="Q25" s="10" t="s">
        <v>224</v>
      </c>
      <c r="R25" s="10" t="s">
        <v>225</v>
      </c>
      <c r="S25" s="11" t="s">
        <v>226</v>
      </c>
      <c r="T25" s="12"/>
      <c r="U25" s="17" t="str">
        <f t="shared" si="10"/>
        <v>View</v>
      </c>
      <c r="V25" s="12"/>
      <c r="W25" s="12"/>
      <c r="X25" s="12"/>
      <c r="Y25" s="12"/>
      <c r="Z25" s="12"/>
    </row>
    <row r="26">
      <c r="A26" s="8">
        <v>44222.553518518514</v>
      </c>
      <c r="B26" s="9" t="str">
        <f t="shared" si="8"/>
        <v>@telediario</v>
      </c>
      <c r="C26" s="10" t="s">
        <v>220</v>
      </c>
      <c r="D26" s="10" t="s">
        <v>282</v>
      </c>
      <c r="E26" s="9" t="str">
        <f>HYPERLINK("https://twitter.com/telediario/status/1354146354214412289","1354146354214412289")</f>
        <v>1354146354214412289</v>
      </c>
      <c r="F26" s="11" t="s">
        <v>222</v>
      </c>
      <c r="G26" s="11" t="s">
        <v>283</v>
      </c>
      <c r="H26" s="12"/>
      <c r="I26" s="13">
        <v>1.0</v>
      </c>
      <c r="J26" s="13">
        <v>8.0</v>
      </c>
      <c r="K26" s="9" t="str">
        <f t="shared" si="9"/>
        <v>Twitter Media Studio - LiveCut</v>
      </c>
      <c r="L26" s="14">
        <v>69192.0</v>
      </c>
      <c r="M26" s="14">
        <v>847.0</v>
      </c>
      <c r="N26" s="14">
        <v>211.0</v>
      </c>
      <c r="O26" s="15" t="s">
        <v>24</v>
      </c>
      <c r="P26" s="16">
        <v>42969.728472222225</v>
      </c>
      <c r="Q26" s="10" t="s">
        <v>224</v>
      </c>
      <c r="R26" s="10" t="s">
        <v>225</v>
      </c>
      <c r="S26" s="11" t="s">
        <v>226</v>
      </c>
      <c r="T26" s="12"/>
      <c r="U26" s="17" t="str">
        <f t="shared" si="10"/>
        <v>View</v>
      </c>
      <c r="V26" s="12"/>
      <c r="W26" s="12"/>
      <c r="X26" s="12"/>
      <c r="Y26" s="12"/>
      <c r="Z26" s="12"/>
    </row>
    <row r="27">
      <c r="A27" s="8">
        <v>44222.55284722222</v>
      </c>
      <c r="B27" s="9" t="str">
        <f t="shared" si="8"/>
        <v>@telediario</v>
      </c>
      <c r="C27" s="10" t="s">
        <v>220</v>
      </c>
      <c r="D27" s="10" t="s">
        <v>284</v>
      </c>
      <c r="E27" s="9" t="str">
        <f>HYPERLINK("https://twitter.com/telediario/status/1354146110634385408","1354146110634385408")</f>
        <v>1354146110634385408</v>
      </c>
      <c r="F27" s="11" t="s">
        <v>222</v>
      </c>
      <c r="G27" s="11" t="s">
        <v>285</v>
      </c>
      <c r="H27" s="12"/>
      <c r="I27" s="13">
        <v>0.0</v>
      </c>
      <c r="J27" s="13">
        <v>2.0</v>
      </c>
      <c r="K27" s="9" t="str">
        <f t="shared" si="9"/>
        <v>Twitter Media Studio - LiveCut</v>
      </c>
      <c r="L27" s="14">
        <v>69192.0</v>
      </c>
      <c r="M27" s="14">
        <v>847.0</v>
      </c>
      <c r="N27" s="14">
        <v>211.0</v>
      </c>
      <c r="O27" s="15" t="s">
        <v>24</v>
      </c>
      <c r="P27" s="16">
        <v>42969.728472222225</v>
      </c>
      <c r="Q27" s="10" t="s">
        <v>224</v>
      </c>
      <c r="R27" s="10" t="s">
        <v>225</v>
      </c>
      <c r="S27" s="11" t="s">
        <v>226</v>
      </c>
      <c r="T27" s="12"/>
      <c r="U27" s="17" t="str">
        <f t="shared" si="10"/>
        <v>View</v>
      </c>
      <c r="V27" s="12"/>
      <c r="W27" s="12"/>
      <c r="X27" s="12"/>
      <c r="Y27" s="12"/>
      <c r="Z27" s="12"/>
    </row>
    <row r="28">
      <c r="A28" s="8">
        <v>44222.55230324074</v>
      </c>
      <c r="B28" s="9" t="str">
        <f t="shared" si="8"/>
        <v>@telediario</v>
      </c>
      <c r="C28" s="10" t="s">
        <v>220</v>
      </c>
      <c r="D28" s="10" t="s">
        <v>286</v>
      </c>
      <c r="E28" s="9" t="str">
        <f>HYPERLINK("https://twitter.com/telediario/status/1354145913707651072","1354145913707651072")</f>
        <v>1354145913707651072</v>
      </c>
      <c r="F28" s="11" t="s">
        <v>222</v>
      </c>
      <c r="G28" s="11" t="s">
        <v>287</v>
      </c>
      <c r="H28" s="12"/>
      <c r="I28" s="13">
        <v>0.0</v>
      </c>
      <c r="J28" s="13">
        <v>4.0</v>
      </c>
      <c r="K28" s="9" t="str">
        <f t="shared" si="9"/>
        <v>Twitter Media Studio - LiveCut</v>
      </c>
      <c r="L28" s="14">
        <v>69192.0</v>
      </c>
      <c r="M28" s="14">
        <v>847.0</v>
      </c>
      <c r="N28" s="14">
        <v>211.0</v>
      </c>
      <c r="O28" s="15" t="s">
        <v>24</v>
      </c>
      <c r="P28" s="16">
        <v>42969.728472222225</v>
      </c>
      <c r="Q28" s="10" t="s">
        <v>224</v>
      </c>
      <c r="R28" s="10" t="s">
        <v>225</v>
      </c>
      <c r="S28" s="11" t="s">
        <v>226</v>
      </c>
      <c r="T28" s="12"/>
      <c r="U28" s="17" t="str">
        <f t="shared" si="10"/>
        <v>View</v>
      </c>
      <c r="V28" s="12"/>
      <c r="W28" s="12"/>
      <c r="X28" s="12"/>
      <c r="Y28" s="12"/>
      <c r="Z28" s="12"/>
    </row>
    <row r="29">
      <c r="A29" s="8">
        <v>44222.54981481482</v>
      </c>
      <c r="B29" s="9" t="str">
        <f>HYPERLINK("https://twitter.com/sandylufp","@sandylufp")</f>
        <v>@sandylufp</v>
      </c>
      <c r="C29" s="10" t="s">
        <v>288</v>
      </c>
      <c r="D29" s="10" t="s">
        <v>289</v>
      </c>
      <c r="E29" s="9" t="str">
        <f>HYPERLINK("https://twitter.com/sandylufp/status/1354145013576261633","1354145013576261633")</f>
        <v>1354145013576261633</v>
      </c>
      <c r="F29" s="12"/>
      <c r="G29" s="11" t="s">
        <v>290</v>
      </c>
      <c r="H29" s="12"/>
      <c r="I29" s="13">
        <v>2.0</v>
      </c>
      <c r="J29" s="13">
        <v>0.0</v>
      </c>
      <c r="K29" s="9" t="str">
        <f t="shared" ref="K29:K30" si="11">HYPERLINK("http://twitter.com/download/android","Twitter for Android")</f>
        <v>Twitter for Android</v>
      </c>
      <c r="L29" s="14">
        <v>169.0</v>
      </c>
      <c r="M29" s="14">
        <v>1277.0</v>
      </c>
      <c r="N29" s="14">
        <v>3.0</v>
      </c>
      <c r="O29" s="19"/>
      <c r="P29" s="16">
        <v>40336.59621527778</v>
      </c>
      <c r="Q29" s="10" t="s">
        <v>291</v>
      </c>
      <c r="R29" s="10" t="s">
        <v>292</v>
      </c>
      <c r="S29" s="12"/>
      <c r="T29" s="12"/>
      <c r="U29" s="17" t="str">
        <f>HYPERLINK("https://pbs.twimg.com/profile_images/1273679638313570309/HTUjgchA.jpg","View")</f>
        <v>View</v>
      </c>
      <c r="V29" s="12"/>
      <c r="W29" s="12"/>
      <c r="X29" s="12"/>
      <c r="Y29" s="12"/>
      <c r="Z29" s="12"/>
    </row>
    <row r="30">
      <c r="A30" s="8">
        <v>44222.54824074074</v>
      </c>
      <c r="B30" s="9" t="str">
        <f>HYPERLINK("https://twitter.com/Rafael_EG1","@Rafael_EG1")</f>
        <v>@Rafael_EG1</v>
      </c>
      <c r="C30" s="10" t="s">
        <v>293</v>
      </c>
      <c r="D30" s="10" t="s">
        <v>294</v>
      </c>
      <c r="E30" s="9" t="str">
        <f>HYPERLINK("https://twitter.com/Rafael_EG1/status/1354144443209801733","1354144443209801733")</f>
        <v>1354144443209801733</v>
      </c>
      <c r="F30" s="12"/>
      <c r="G30" s="12"/>
      <c r="H30" s="12"/>
      <c r="I30" s="13">
        <v>0.0</v>
      </c>
      <c r="J30" s="13">
        <v>0.0</v>
      </c>
      <c r="K30" s="9" t="str">
        <f t="shared" si="11"/>
        <v>Twitter for Android</v>
      </c>
      <c r="L30" s="14">
        <v>466.0</v>
      </c>
      <c r="M30" s="14">
        <v>290.0</v>
      </c>
      <c r="N30" s="14">
        <v>5.0</v>
      </c>
      <c r="O30" s="19"/>
      <c r="P30" s="16">
        <v>41331.03755787037</v>
      </c>
      <c r="Q30" s="10" t="s">
        <v>295</v>
      </c>
      <c r="R30" s="10" t="s">
        <v>296</v>
      </c>
      <c r="S30" s="12"/>
      <c r="T30" s="12"/>
      <c r="U30" s="17" t="str">
        <f>HYPERLINK("https://pbs.twimg.com/profile_images/680101858279424000/fQ2JDR6K.jpg","View")</f>
        <v>View</v>
      </c>
      <c r="V30" s="12"/>
      <c r="W30" s="12"/>
      <c r="X30" s="12"/>
      <c r="Y30" s="12"/>
      <c r="Z30" s="12"/>
    </row>
    <row r="31">
      <c r="A31" s="8">
        <v>44222.54488425926</v>
      </c>
      <c r="B31" s="9" t="str">
        <f>HYPERLINK("https://twitter.com/telediario","@telediario")</f>
        <v>@telediario</v>
      </c>
      <c r="C31" s="10" t="s">
        <v>220</v>
      </c>
      <c r="D31" s="10" t="s">
        <v>297</v>
      </c>
      <c r="E31" s="9" t="str">
        <f>HYPERLINK("https://twitter.com/telediario/status/1354143224454066177","1354143224454066177")</f>
        <v>1354143224454066177</v>
      </c>
      <c r="F31" s="11" t="s">
        <v>222</v>
      </c>
      <c r="G31" s="11" t="s">
        <v>298</v>
      </c>
      <c r="H31" s="12"/>
      <c r="I31" s="13">
        <v>1.0</v>
      </c>
      <c r="J31" s="13">
        <v>8.0</v>
      </c>
      <c r="K31" s="9" t="str">
        <f>HYPERLINK("https://www.twitter.com/","Twitter Media Studio - LiveCut")</f>
        <v>Twitter Media Studio - LiveCut</v>
      </c>
      <c r="L31" s="14">
        <v>69192.0</v>
      </c>
      <c r="M31" s="14">
        <v>847.0</v>
      </c>
      <c r="N31" s="14">
        <v>211.0</v>
      </c>
      <c r="O31" s="15" t="s">
        <v>24</v>
      </c>
      <c r="P31" s="16">
        <v>42969.728472222225</v>
      </c>
      <c r="Q31" s="10" t="s">
        <v>224</v>
      </c>
      <c r="R31" s="10" t="s">
        <v>225</v>
      </c>
      <c r="S31" s="11" t="s">
        <v>226</v>
      </c>
      <c r="T31" s="12"/>
      <c r="U31" s="17" t="str">
        <f>HYPERLINK("https://pbs.twimg.com/profile_images/1145715977402892288/hHrrLHGv.png","View")</f>
        <v>View</v>
      </c>
      <c r="V31" s="12"/>
      <c r="W31" s="12"/>
      <c r="X31" s="12"/>
      <c r="Y31" s="12"/>
      <c r="Z31" s="12"/>
    </row>
    <row r="32">
      <c r="A32" s="8">
        <v>44222.500127314815</v>
      </c>
      <c r="B32" s="9" t="str">
        <f>HYPERLINK("https://twitter.com/LuisPabloAngel","@LuisPabloAngel")</f>
        <v>@LuisPabloAngel</v>
      </c>
      <c r="C32" s="10" t="s">
        <v>299</v>
      </c>
      <c r="D32" s="10" t="s">
        <v>300</v>
      </c>
      <c r="E32" s="9" t="str">
        <f>HYPERLINK("https://twitter.com/LuisPabloAngel/status/1354127006489735168","1354127006489735168")</f>
        <v>1354127006489735168</v>
      </c>
      <c r="F32" s="11" t="s">
        <v>301</v>
      </c>
      <c r="G32" s="12"/>
      <c r="H32" s="12"/>
      <c r="I32" s="13">
        <v>0.0</v>
      </c>
      <c r="J32" s="13">
        <v>0.0</v>
      </c>
      <c r="K32" s="9" t="str">
        <f>HYPERLINK("https://mobile.twitter.com","Twitter Web App")</f>
        <v>Twitter Web App</v>
      </c>
      <c r="L32" s="14">
        <v>663.0</v>
      </c>
      <c r="M32" s="14">
        <v>4994.0</v>
      </c>
      <c r="N32" s="14">
        <v>41.0</v>
      </c>
      <c r="O32" s="19"/>
      <c r="P32" s="16">
        <v>40896.95736111111</v>
      </c>
      <c r="Q32" s="10" t="s">
        <v>302</v>
      </c>
      <c r="R32" s="10" t="s">
        <v>303</v>
      </c>
      <c r="S32" s="12"/>
      <c r="T32" s="12"/>
      <c r="U32" s="17" t="str">
        <f>HYPERLINK("https://pbs.twimg.com/profile_images/1268400050935173120/48k82ERw.jpg","View")</f>
        <v>View</v>
      </c>
      <c r="V32" s="12"/>
      <c r="W32" s="12"/>
      <c r="X32" s="12"/>
      <c r="Y32" s="12"/>
      <c r="Z32" s="12"/>
    </row>
    <row r="33">
      <c r="A33" s="8">
        <v>44222.49679398148</v>
      </c>
      <c r="B33" s="9" t="str">
        <f>HYPERLINK("https://twitter.com/delunadiego","@delunadiego")</f>
        <v>@delunadiego</v>
      </c>
      <c r="C33" s="10" t="s">
        <v>304</v>
      </c>
      <c r="D33" s="10" t="s">
        <v>305</v>
      </c>
      <c r="E33" s="9" t="str">
        <f>HYPERLINK("https://twitter.com/delunadiego/status/1354125797376864257","1354125797376864257")</f>
        <v>1354125797376864257</v>
      </c>
      <c r="F33" s="11" t="s">
        <v>306</v>
      </c>
      <c r="G33" s="12"/>
      <c r="H33" s="12"/>
      <c r="I33" s="13">
        <v>2.0</v>
      </c>
      <c r="J33" s="13">
        <v>2.0</v>
      </c>
      <c r="K33" s="9" t="str">
        <f t="shared" ref="K33:K34" si="12">HYPERLINK("http://twitter.com/download/android","Twitter for Android")</f>
        <v>Twitter for Android</v>
      </c>
      <c r="L33" s="14">
        <v>265.0</v>
      </c>
      <c r="M33" s="14">
        <v>353.0</v>
      </c>
      <c r="N33" s="14">
        <v>2.0</v>
      </c>
      <c r="O33" s="19"/>
      <c r="P33" s="16">
        <v>40332.68168981482</v>
      </c>
      <c r="Q33" s="10" t="s">
        <v>307</v>
      </c>
      <c r="R33" s="10" t="s">
        <v>308</v>
      </c>
      <c r="S33" s="12"/>
      <c r="T33" s="12"/>
      <c r="U33" s="17" t="str">
        <f>HYPERLINK("https://pbs.twimg.com/profile_images/1089692236462342145/fX2XnjTy.jpg","View")</f>
        <v>View</v>
      </c>
      <c r="V33" s="12"/>
      <c r="W33" s="12"/>
      <c r="X33" s="12"/>
      <c r="Y33" s="12"/>
      <c r="Z33" s="12"/>
    </row>
    <row r="34">
      <c r="A34" s="8">
        <v>44222.49648148148</v>
      </c>
      <c r="B34" s="9" t="str">
        <f>HYPERLINK("https://twitter.com/diegodelunamx","@diegodelunamx")</f>
        <v>@diegodelunamx</v>
      </c>
      <c r="C34" s="10" t="s">
        <v>304</v>
      </c>
      <c r="D34" s="10" t="s">
        <v>305</v>
      </c>
      <c r="E34" s="9" t="str">
        <f>HYPERLINK("https://twitter.com/diegodelunamx/status/1354125686240391174","1354125686240391174")</f>
        <v>1354125686240391174</v>
      </c>
      <c r="F34" s="11" t="s">
        <v>306</v>
      </c>
      <c r="G34" s="12"/>
      <c r="H34" s="12"/>
      <c r="I34" s="13">
        <v>5.0</v>
      </c>
      <c r="J34" s="13">
        <v>4.0</v>
      </c>
      <c r="K34" s="9" t="str">
        <f t="shared" si="12"/>
        <v>Twitter for Android</v>
      </c>
      <c r="L34" s="14">
        <v>4323.0</v>
      </c>
      <c r="M34" s="14">
        <v>4963.0</v>
      </c>
      <c r="N34" s="14">
        <v>454.0</v>
      </c>
      <c r="O34" s="19"/>
      <c r="P34" s="16">
        <v>40030.53517361111</v>
      </c>
      <c r="Q34" s="10" t="s">
        <v>224</v>
      </c>
      <c r="R34" s="10" t="s">
        <v>308</v>
      </c>
      <c r="S34" s="12"/>
      <c r="T34" s="12"/>
      <c r="U34" s="17" t="str">
        <f>HYPERLINK("https://pbs.twimg.com/profile_images/1246687869734752256/UDomPc8a.jpg","View")</f>
        <v>View</v>
      </c>
      <c r="V34" s="12"/>
      <c r="W34" s="12"/>
      <c r="X34" s="12"/>
      <c r="Y34" s="12"/>
      <c r="Z34" s="12"/>
    </row>
    <row r="35">
      <c r="A35" s="8">
        <v>44222.48884259259</v>
      </c>
      <c r="B35" s="9" t="str">
        <f>HYPERLINK("https://twitter.com/Bermudez_FJ","@Bermudez_FJ")</f>
        <v>@Bermudez_FJ</v>
      </c>
      <c r="C35" s="10" t="s">
        <v>309</v>
      </c>
      <c r="D35" s="10" t="s">
        <v>310</v>
      </c>
      <c r="E35" s="9" t="str">
        <f>HYPERLINK("https://twitter.com/Bermudez_FJ/status/1354122916720476161","1354122916720476161")</f>
        <v>1354122916720476161</v>
      </c>
      <c r="F35" s="11" t="s">
        <v>311</v>
      </c>
      <c r="G35" s="11" t="s">
        <v>312</v>
      </c>
      <c r="H35" s="12"/>
      <c r="I35" s="13">
        <v>4.0</v>
      </c>
      <c r="J35" s="13">
        <v>4.0</v>
      </c>
      <c r="K35" s="9" t="str">
        <f>HYPERLINK("http://twitter.com/download/iphone","Twitter for iPhone")</f>
        <v>Twitter for iPhone</v>
      </c>
      <c r="L35" s="14">
        <v>2626.0</v>
      </c>
      <c r="M35" s="14">
        <v>780.0</v>
      </c>
      <c r="N35" s="14">
        <v>41.0</v>
      </c>
      <c r="O35" s="19"/>
      <c r="P35" s="16">
        <v>42235.37055555556</v>
      </c>
      <c r="Q35" s="12"/>
      <c r="R35" s="10" t="s">
        <v>313</v>
      </c>
      <c r="S35" s="12"/>
      <c r="T35" s="12"/>
      <c r="U35" s="17" t="str">
        <f>HYPERLINK("https://pbs.twimg.com/profile_images/1061269801442705408/QQ4sdvti.jpg","View")</f>
        <v>View</v>
      </c>
      <c r="V35" s="12"/>
      <c r="W35" s="12"/>
      <c r="X35" s="12"/>
      <c r="Y35" s="12"/>
      <c r="Z35" s="12"/>
    </row>
    <row r="36">
      <c r="A36" s="8">
        <v>44222.46487268519</v>
      </c>
      <c r="B36" s="9" t="str">
        <f>HYPERLINK("https://twitter.com/JorgeDelgado_MX","@JorgeDelgado_MX")</f>
        <v>@JorgeDelgado_MX</v>
      </c>
      <c r="C36" s="10" t="s">
        <v>314</v>
      </c>
      <c r="D36" s="10" t="s">
        <v>315</v>
      </c>
      <c r="E36" s="9" t="str">
        <f>HYPERLINK("https://twitter.com/JorgeDelgado_MX/status/1354114231168348162","1354114231168348162")</f>
        <v>1354114231168348162</v>
      </c>
      <c r="F36" s="11" t="s">
        <v>316</v>
      </c>
      <c r="G36" s="11" t="s">
        <v>317</v>
      </c>
      <c r="H36" s="12"/>
      <c r="I36" s="13">
        <v>0.0</v>
      </c>
      <c r="J36" s="13">
        <v>0.0</v>
      </c>
      <c r="K36" s="9" t="str">
        <f t="shared" ref="K36:K37" si="13">HYPERLINK("http://twitter.com/download/android","Twitter for Android")</f>
        <v>Twitter for Android</v>
      </c>
      <c r="L36" s="14">
        <v>385.0</v>
      </c>
      <c r="M36" s="14">
        <v>2348.0</v>
      </c>
      <c r="N36" s="14">
        <v>3.0</v>
      </c>
      <c r="O36" s="19"/>
      <c r="P36" s="16">
        <v>40286.07203703704</v>
      </c>
      <c r="Q36" s="10" t="s">
        <v>224</v>
      </c>
      <c r="R36" s="10" t="s">
        <v>318</v>
      </c>
      <c r="S36" s="12"/>
      <c r="T36" s="12"/>
      <c r="U36" s="17" t="str">
        <f>HYPERLINK("https://pbs.twimg.com/profile_images/413868089738924032/d2KyyqbY.jpeg","View")</f>
        <v>View</v>
      </c>
      <c r="V36" s="12"/>
      <c r="W36" s="12"/>
      <c r="X36" s="12"/>
      <c r="Y36" s="12"/>
      <c r="Z36" s="12"/>
    </row>
    <row r="37">
      <c r="A37" s="8">
        <v>44222.462685185186</v>
      </c>
      <c r="B37" s="9" t="str">
        <f>HYPERLINK("https://twitter.com/marcelino_77","@marcelino_77")</f>
        <v>@marcelino_77</v>
      </c>
      <c r="C37" s="10" t="s">
        <v>319</v>
      </c>
      <c r="D37" s="10" t="s">
        <v>320</v>
      </c>
      <c r="E37" s="9" t="str">
        <f>HYPERLINK("https://twitter.com/marcelino_77/status/1354113437073195014","1354113437073195014")</f>
        <v>1354113437073195014</v>
      </c>
      <c r="F37" s="11" t="s">
        <v>321</v>
      </c>
      <c r="G37" s="11" t="s">
        <v>322</v>
      </c>
      <c r="H37" s="12"/>
      <c r="I37" s="13">
        <v>0.0</v>
      </c>
      <c r="J37" s="13">
        <v>1.0</v>
      </c>
      <c r="K37" s="9" t="str">
        <f t="shared" si="13"/>
        <v>Twitter for Android</v>
      </c>
      <c r="L37" s="14">
        <v>1050.0</v>
      </c>
      <c r="M37" s="14">
        <v>1862.0</v>
      </c>
      <c r="N37" s="14">
        <v>2.0</v>
      </c>
      <c r="O37" s="19"/>
      <c r="P37" s="16">
        <v>40825.87563657407</v>
      </c>
      <c r="Q37" s="12"/>
      <c r="R37" s="10" t="s">
        <v>323</v>
      </c>
      <c r="S37" s="12"/>
      <c r="T37" s="12"/>
      <c r="U37" s="17" t="str">
        <f>HYPERLINK("https://pbs.twimg.com/profile_images/1338694529856151554/5YQfB46X.jpg","View")</f>
        <v>View</v>
      </c>
      <c r="V37" s="12"/>
      <c r="W37" s="12"/>
      <c r="X37" s="12"/>
      <c r="Y37" s="12"/>
      <c r="Z37" s="12"/>
    </row>
    <row r="38">
      <c r="A38" s="8">
        <v>44222.44318287037</v>
      </c>
      <c r="B38" s="9" t="str">
        <f>HYPERLINK("https://twitter.com/DDMexico","@DDMexico")</f>
        <v>@DDMexico</v>
      </c>
      <c r="C38" s="10" t="s">
        <v>324</v>
      </c>
      <c r="D38" s="10" t="s">
        <v>305</v>
      </c>
      <c r="E38" s="9" t="str">
        <f>HYPERLINK("https://twitter.com/DDMexico/status/1354106369385885698","1354106369385885698")</f>
        <v>1354106369385885698</v>
      </c>
      <c r="F38" s="11" t="s">
        <v>306</v>
      </c>
      <c r="G38" s="12"/>
      <c r="H38" s="12"/>
      <c r="I38" s="13">
        <v>34.0</v>
      </c>
      <c r="J38" s="13">
        <v>33.0</v>
      </c>
      <c r="K38" s="9" t="str">
        <f>HYPERLINK("https://mobile.twitter.com","Twitter Web App")</f>
        <v>Twitter Web App</v>
      </c>
      <c r="L38" s="14">
        <v>16293.0</v>
      </c>
      <c r="M38" s="14">
        <v>1390.0</v>
      </c>
      <c r="N38" s="14">
        <v>329.0</v>
      </c>
      <c r="O38" s="19"/>
      <c r="P38" s="16">
        <v>40169.44137731481</v>
      </c>
      <c r="Q38" s="10" t="s">
        <v>325</v>
      </c>
      <c r="R38" s="10" t="s">
        <v>326</v>
      </c>
      <c r="S38" s="11" t="s">
        <v>327</v>
      </c>
      <c r="T38" s="12"/>
      <c r="U38" s="17" t="str">
        <f>HYPERLINK("https://pbs.twimg.com/profile_images/949077921683070976/caPGsYXq.jpg","View")</f>
        <v>View</v>
      </c>
      <c r="V38" s="12"/>
      <c r="W38" s="12"/>
      <c r="X38" s="12"/>
      <c r="Y38" s="12"/>
      <c r="Z38" s="12"/>
    </row>
    <row r="39">
      <c r="A39" s="8">
        <v>44222.429606481484</v>
      </c>
      <c r="B39" s="9" t="str">
        <f>HYPERLINK("https://twitter.com/marcelino_77","@marcelino_77")</f>
        <v>@marcelino_77</v>
      </c>
      <c r="C39" s="10" t="s">
        <v>319</v>
      </c>
      <c r="D39" s="10" t="s">
        <v>328</v>
      </c>
      <c r="E39" s="9" t="str">
        <f>HYPERLINK("https://twitter.com/marcelino_77/status/1354101449844645889","1354101449844645889")</f>
        <v>1354101449844645889</v>
      </c>
      <c r="F39" s="11" t="s">
        <v>316</v>
      </c>
      <c r="G39" s="11" t="s">
        <v>317</v>
      </c>
      <c r="H39" s="12"/>
      <c r="I39" s="13">
        <v>0.0</v>
      </c>
      <c r="J39" s="13">
        <v>2.0</v>
      </c>
      <c r="K39" s="9" t="str">
        <f>HYPERLINK("http://twitter.com/download/android","Twitter for Android")</f>
        <v>Twitter for Android</v>
      </c>
      <c r="L39" s="14">
        <v>1050.0</v>
      </c>
      <c r="M39" s="14">
        <v>1862.0</v>
      </c>
      <c r="N39" s="14">
        <v>2.0</v>
      </c>
      <c r="O39" s="19"/>
      <c r="P39" s="16">
        <v>40825.87563657407</v>
      </c>
      <c r="Q39" s="12"/>
      <c r="R39" s="10" t="s">
        <v>323</v>
      </c>
      <c r="S39" s="12"/>
      <c r="T39" s="12"/>
      <c r="U39" s="17" t="str">
        <f>HYPERLINK("https://pbs.twimg.com/profile_images/1338694529856151554/5YQfB46X.jpg","View")</f>
        <v>View</v>
      </c>
      <c r="V39" s="12"/>
      <c r="W39" s="12"/>
      <c r="X39" s="12"/>
      <c r="Y39" s="12"/>
      <c r="Z39" s="12"/>
    </row>
    <row r="40">
      <c r="A40" s="8">
        <v>44222.41528935185</v>
      </c>
      <c r="B40" s="9" t="str">
        <f>HYPERLINK("https://twitter.com/fconsydig","@fconsydig")</f>
        <v>@fconsydig</v>
      </c>
      <c r="C40" s="10" t="s">
        <v>329</v>
      </c>
      <c r="D40" s="10" t="s">
        <v>330</v>
      </c>
      <c r="E40" s="9" t="str">
        <f>HYPERLINK("https://twitter.com/fconsydig/status/1354096264309305347","1354096264309305347")</f>
        <v>1354096264309305347</v>
      </c>
      <c r="F40" s="10" t="s">
        <v>331</v>
      </c>
      <c r="G40" s="12"/>
      <c r="H40" s="12"/>
      <c r="I40" s="13">
        <v>15.0</v>
      </c>
      <c r="J40" s="13">
        <v>18.0</v>
      </c>
      <c r="K40" s="9" t="str">
        <f>HYPERLINK("https://mobile.twitter.com","Twitter Web App")</f>
        <v>Twitter Web App</v>
      </c>
      <c r="L40" s="14">
        <v>19257.0</v>
      </c>
      <c r="M40" s="14">
        <v>21144.0</v>
      </c>
      <c r="N40" s="14">
        <v>180.0</v>
      </c>
      <c r="O40" s="19"/>
      <c r="P40" s="16">
        <v>41366.00785879629</v>
      </c>
      <c r="Q40" s="10" t="s">
        <v>325</v>
      </c>
      <c r="R40" s="10" t="s">
        <v>332</v>
      </c>
      <c r="S40" s="11" t="s">
        <v>333</v>
      </c>
      <c r="T40" s="12"/>
      <c r="U40" s="17" t="str">
        <f>HYPERLINK("https://pbs.twimg.com/profile_images/648012290415988736/97m9plQ0.jpg","View")</f>
        <v>View</v>
      </c>
      <c r="V40" s="12"/>
      <c r="W40" s="12"/>
      <c r="X40" s="12"/>
      <c r="Y40" s="12"/>
      <c r="Z40" s="12"/>
    </row>
    <row r="41">
      <c r="A41" s="8">
        <v>44222.41096064815</v>
      </c>
      <c r="B41" s="9" t="str">
        <f>HYPERLINK("https://twitter.com/marcelino_77","@marcelino_77")</f>
        <v>@marcelino_77</v>
      </c>
      <c r="C41" s="10" t="s">
        <v>319</v>
      </c>
      <c r="D41" s="10" t="s">
        <v>334</v>
      </c>
      <c r="E41" s="9" t="str">
        <f>HYPERLINK("https://twitter.com/marcelino_77/status/1354094694276317184","1354094694276317184")</f>
        <v>1354094694276317184</v>
      </c>
      <c r="F41" s="11" t="s">
        <v>335</v>
      </c>
      <c r="G41" s="11" t="s">
        <v>336</v>
      </c>
      <c r="H41" s="12"/>
      <c r="I41" s="13">
        <v>0.0</v>
      </c>
      <c r="J41" s="13">
        <v>0.0</v>
      </c>
      <c r="K41" s="9" t="str">
        <f>HYPERLINK("http://twitter.com/download/android","Twitter for Android")</f>
        <v>Twitter for Android</v>
      </c>
      <c r="L41" s="14">
        <v>1050.0</v>
      </c>
      <c r="M41" s="14">
        <v>1862.0</v>
      </c>
      <c r="N41" s="14">
        <v>2.0</v>
      </c>
      <c r="O41" s="19"/>
      <c r="P41" s="16">
        <v>40825.87563657407</v>
      </c>
      <c r="Q41" s="12"/>
      <c r="R41" s="10" t="s">
        <v>323</v>
      </c>
      <c r="S41" s="12"/>
      <c r="T41" s="12"/>
      <c r="U41" s="17" t="str">
        <f>HYPERLINK("https://pbs.twimg.com/profile_images/1338694529856151554/5YQfB46X.jpg","View")</f>
        <v>View</v>
      </c>
      <c r="V41" s="12"/>
      <c r="W41" s="12"/>
      <c r="X41" s="12"/>
      <c r="Y41" s="12"/>
      <c r="Z41" s="12"/>
    </row>
    <row r="42">
      <c r="A42" s="8">
        <v>44222.39776620371</v>
      </c>
      <c r="B42" s="9" t="str">
        <f>HYPERLINK("https://twitter.com/letichelius","@letichelius")</f>
        <v>@letichelius</v>
      </c>
      <c r="C42" s="10" t="s">
        <v>337</v>
      </c>
      <c r="D42" s="10" t="s">
        <v>338</v>
      </c>
      <c r="E42" s="9" t="str">
        <f>HYPERLINK("https://twitter.com/letichelius/status/1354089911805239298","1354089911805239298")</f>
        <v>1354089911805239298</v>
      </c>
      <c r="F42" s="11" t="s">
        <v>339</v>
      </c>
      <c r="G42" s="11" t="s">
        <v>30</v>
      </c>
      <c r="H42" s="12"/>
      <c r="I42" s="13">
        <v>3.0</v>
      </c>
      <c r="J42" s="13">
        <v>5.0</v>
      </c>
      <c r="K42" s="9" t="str">
        <f>HYPERLINK("https://mobile.twitter.com","Twitter Web App")</f>
        <v>Twitter Web App</v>
      </c>
      <c r="L42" s="14">
        <v>8487.0</v>
      </c>
      <c r="M42" s="14">
        <v>2135.0</v>
      </c>
      <c r="N42" s="14">
        <v>104.0</v>
      </c>
      <c r="O42" s="19"/>
      <c r="P42" s="16">
        <v>40120.912881944445</v>
      </c>
      <c r="Q42" s="10" t="s">
        <v>340</v>
      </c>
      <c r="R42" s="10" t="s">
        <v>341</v>
      </c>
      <c r="S42" s="11" t="s">
        <v>342</v>
      </c>
      <c r="T42" s="12"/>
      <c r="U42" s="17" t="str">
        <f>HYPERLINK("https://pbs.twimg.com/profile_images/1340147672284614657/qkHagHwF.jpg","View")</f>
        <v>View</v>
      </c>
      <c r="V42" s="12"/>
      <c r="W42" s="12"/>
      <c r="X42" s="12"/>
      <c r="Y42" s="12"/>
      <c r="Z42" s="12"/>
    </row>
    <row r="43">
      <c r="A43" s="8">
        <v>44222.02280092593</v>
      </c>
      <c r="B43" s="9" t="str">
        <f>HYPERLINK("https://twitter.com/sandylufp","@sandylufp")</f>
        <v>@sandylufp</v>
      </c>
      <c r="C43" s="10" t="s">
        <v>288</v>
      </c>
      <c r="D43" s="10" t="s">
        <v>343</v>
      </c>
      <c r="E43" s="9" t="str">
        <f>HYPERLINK("https://twitter.com/sandylufp/status/1353954028833542144","1353954028833542144")</f>
        <v>1353954028833542144</v>
      </c>
      <c r="F43" s="12"/>
      <c r="G43" s="11" t="s">
        <v>344</v>
      </c>
      <c r="H43" s="12"/>
      <c r="I43" s="13">
        <v>126.0</v>
      </c>
      <c r="J43" s="13">
        <v>51.0</v>
      </c>
      <c r="K43" s="9" t="str">
        <f>HYPERLINK("http://twitter.com/download/android","Twitter for Android")</f>
        <v>Twitter for Android</v>
      </c>
      <c r="L43" s="14">
        <v>169.0</v>
      </c>
      <c r="M43" s="14">
        <v>1277.0</v>
      </c>
      <c r="N43" s="14">
        <v>3.0</v>
      </c>
      <c r="O43" s="19"/>
      <c r="P43" s="16">
        <v>40336.59621527778</v>
      </c>
      <c r="Q43" s="10" t="s">
        <v>291</v>
      </c>
      <c r="R43" s="10" t="s">
        <v>292</v>
      </c>
      <c r="S43" s="12"/>
      <c r="T43" s="12"/>
      <c r="U43" s="17" t="str">
        <f>HYPERLINK("https://pbs.twimg.com/profile_images/1273679638313570309/HTUjgchA.jpg","View")</f>
        <v>View</v>
      </c>
      <c r="V43" s="12"/>
      <c r="W43" s="12"/>
      <c r="X43" s="12"/>
      <c r="Y43" s="12"/>
      <c r="Z43" s="12"/>
    </row>
    <row r="44">
      <c r="A44" s="8">
        <v>44221.96105324074</v>
      </c>
      <c r="B44" s="9" t="str">
        <f>HYPERLINK("https://twitter.com/Milenio","@Milenio")</f>
        <v>@Milenio</v>
      </c>
      <c r="C44" s="10" t="s">
        <v>345</v>
      </c>
      <c r="D44" s="10" t="s">
        <v>346</v>
      </c>
      <c r="E44" s="9" t="str">
        <f>HYPERLINK("https://twitter.com/Milenio/status/1353931654557884416","1353931654557884416")</f>
        <v>1353931654557884416</v>
      </c>
      <c r="F44" s="12"/>
      <c r="G44" s="11" t="s">
        <v>347</v>
      </c>
      <c r="H44" s="12"/>
      <c r="I44" s="13">
        <v>3.0</v>
      </c>
      <c r="J44" s="13">
        <v>20.0</v>
      </c>
      <c r="K44" s="9" t="str">
        <f t="shared" ref="K44:K53" si="14">HYPERLINK("https://www.twitter.com/","Twitter Media Studio - LiveCut")</f>
        <v>Twitter Media Studio - LiveCut</v>
      </c>
      <c r="L44" s="14">
        <v>4891495.0</v>
      </c>
      <c r="M44" s="14">
        <v>0.0</v>
      </c>
      <c r="N44" s="14">
        <v>15544.0</v>
      </c>
      <c r="O44" s="15" t="s">
        <v>24</v>
      </c>
      <c r="P44" s="16">
        <v>39889.685162037036</v>
      </c>
      <c r="Q44" s="10" t="s">
        <v>325</v>
      </c>
      <c r="R44" s="10" t="s">
        <v>348</v>
      </c>
      <c r="S44" s="11" t="s">
        <v>349</v>
      </c>
      <c r="T44" s="12"/>
      <c r="U44" s="17" t="str">
        <f>HYPERLINK("https://pbs.twimg.com/profile_images/1324490011526500352/6QM7X0Ec.jpg","View")</f>
        <v>View</v>
      </c>
      <c r="V44" s="12"/>
      <c r="W44" s="12"/>
      <c r="X44" s="12"/>
      <c r="Y44" s="12"/>
      <c r="Z44" s="12"/>
    </row>
    <row r="45">
      <c r="A45" s="8">
        <v>44221.96105324074</v>
      </c>
      <c r="B45" s="9" t="str">
        <f t="shared" ref="B45:B46" si="15">HYPERLINK("https://twitter.com/mileniotv","@mileniotv")</f>
        <v>@mileniotv</v>
      </c>
      <c r="C45" s="10" t="s">
        <v>350</v>
      </c>
      <c r="D45" s="10" t="s">
        <v>346</v>
      </c>
      <c r="E45" s="9" t="str">
        <f>HYPERLINK("https://twitter.com/mileniotv/status/1353931654545330176","1353931654545330176")</f>
        <v>1353931654545330176</v>
      </c>
      <c r="F45" s="12"/>
      <c r="G45" s="11" t="s">
        <v>351</v>
      </c>
      <c r="H45" s="12"/>
      <c r="I45" s="13">
        <v>0.0</v>
      </c>
      <c r="J45" s="13">
        <v>4.0</v>
      </c>
      <c r="K45" s="9" t="str">
        <f t="shared" si="14"/>
        <v>Twitter Media Studio - LiveCut</v>
      </c>
      <c r="L45" s="14">
        <v>778066.0</v>
      </c>
      <c r="M45" s="14">
        <v>1.0</v>
      </c>
      <c r="N45" s="14">
        <v>3499.0</v>
      </c>
      <c r="O45" s="15" t="s">
        <v>24</v>
      </c>
      <c r="P45" s="16">
        <v>40189.61256944444</v>
      </c>
      <c r="Q45" s="10" t="s">
        <v>325</v>
      </c>
      <c r="R45" s="10" t="s">
        <v>352</v>
      </c>
      <c r="S45" s="11" t="s">
        <v>349</v>
      </c>
      <c r="T45" s="12"/>
      <c r="U45" s="17" t="str">
        <f t="shared" ref="U45:U46" si="16">HYPERLINK("https://pbs.twimg.com/profile_images/1267320384568864768/f8h8X12H.jpg","View")</f>
        <v>View</v>
      </c>
      <c r="V45" s="12"/>
      <c r="W45" s="12"/>
      <c r="X45" s="12"/>
      <c r="Y45" s="12"/>
      <c r="Z45" s="12"/>
    </row>
    <row r="46">
      <c r="A46" s="8">
        <v>44221.96045138889</v>
      </c>
      <c r="B46" s="9" t="str">
        <f t="shared" si="15"/>
        <v>@mileniotv</v>
      </c>
      <c r="C46" s="10" t="s">
        <v>350</v>
      </c>
      <c r="D46" s="10" t="s">
        <v>353</v>
      </c>
      <c r="E46" s="9" t="str">
        <f>HYPERLINK("https://twitter.com/mileniotv/status/1353931436206657536","1353931436206657536")</f>
        <v>1353931436206657536</v>
      </c>
      <c r="F46" s="12"/>
      <c r="G46" s="11" t="s">
        <v>354</v>
      </c>
      <c r="H46" s="12"/>
      <c r="I46" s="13">
        <v>1.0</v>
      </c>
      <c r="J46" s="13">
        <v>4.0</v>
      </c>
      <c r="K46" s="9" t="str">
        <f t="shared" si="14"/>
        <v>Twitter Media Studio - LiveCut</v>
      </c>
      <c r="L46" s="14">
        <v>778066.0</v>
      </c>
      <c r="M46" s="14">
        <v>1.0</v>
      </c>
      <c r="N46" s="14">
        <v>3499.0</v>
      </c>
      <c r="O46" s="15" t="s">
        <v>24</v>
      </c>
      <c r="P46" s="16">
        <v>40189.61256944444</v>
      </c>
      <c r="Q46" s="10" t="s">
        <v>325</v>
      </c>
      <c r="R46" s="10" t="s">
        <v>352</v>
      </c>
      <c r="S46" s="11" t="s">
        <v>349</v>
      </c>
      <c r="T46" s="12"/>
      <c r="U46" s="17" t="str">
        <f t="shared" si="16"/>
        <v>View</v>
      </c>
      <c r="V46" s="12"/>
      <c r="W46" s="12"/>
      <c r="X46" s="12"/>
      <c r="Y46" s="12"/>
      <c r="Z46" s="12"/>
    </row>
    <row r="47">
      <c r="A47" s="8">
        <v>44221.96045138889</v>
      </c>
      <c r="B47" s="9" t="str">
        <f>HYPERLINK("https://twitter.com/Milenio","@Milenio")</f>
        <v>@Milenio</v>
      </c>
      <c r="C47" s="10" t="s">
        <v>345</v>
      </c>
      <c r="D47" s="10" t="s">
        <v>353</v>
      </c>
      <c r="E47" s="9" t="str">
        <f>HYPERLINK("https://twitter.com/Milenio/status/1353931436152131585","1353931436152131585")</f>
        <v>1353931436152131585</v>
      </c>
      <c r="F47" s="12"/>
      <c r="G47" s="11" t="s">
        <v>355</v>
      </c>
      <c r="H47" s="12"/>
      <c r="I47" s="13">
        <v>10.0</v>
      </c>
      <c r="J47" s="13">
        <v>18.0</v>
      </c>
      <c r="K47" s="9" t="str">
        <f t="shared" si="14"/>
        <v>Twitter Media Studio - LiveCut</v>
      </c>
      <c r="L47" s="14">
        <v>4891495.0</v>
      </c>
      <c r="M47" s="14">
        <v>0.0</v>
      </c>
      <c r="N47" s="14">
        <v>15544.0</v>
      </c>
      <c r="O47" s="15" t="s">
        <v>24</v>
      </c>
      <c r="P47" s="16">
        <v>39889.685162037036</v>
      </c>
      <c r="Q47" s="10" t="s">
        <v>325</v>
      </c>
      <c r="R47" s="10" t="s">
        <v>348</v>
      </c>
      <c r="S47" s="11" t="s">
        <v>349</v>
      </c>
      <c r="T47" s="12"/>
      <c r="U47" s="17" t="str">
        <f>HYPERLINK("https://pbs.twimg.com/profile_images/1324490011526500352/6QM7X0Ec.jpg","View")</f>
        <v>View</v>
      </c>
      <c r="V47" s="12"/>
      <c r="W47" s="12"/>
      <c r="X47" s="12"/>
      <c r="Y47" s="12"/>
      <c r="Z47" s="12"/>
    </row>
    <row r="48">
      <c r="A48" s="8">
        <v>44221.959375</v>
      </c>
      <c r="B48" s="9" t="str">
        <f>HYPERLINK("https://twitter.com/mileniotv","@mileniotv")</f>
        <v>@mileniotv</v>
      </c>
      <c r="C48" s="10" t="s">
        <v>350</v>
      </c>
      <c r="D48" s="10" t="s">
        <v>356</v>
      </c>
      <c r="E48" s="9" t="str">
        <f>HYPERLINK("https://twitter.com/mileniotv/status/1353931044462858240","1353931044462858240")</f>
        <v>1353931044462858240</v>
      </c>
      <c r="F48" s="12"/>
      <c r="G48" s="11" t="s">
        <v>357</v>
      </c>
      <c r="H48" s="12"/>
      <c r="I48" s="13">
        <v>5.0</v>
      </c>
      <c r="J48" s="13">
        <v>12.0</v>
      </c>
      <c r="K48" s="9" t="str">
        <f t="shared" si="14"/>
        <v>Twitter Media Studio - LiveCut</v>
      </c>
      <c r="L48" s="14">
        <v>778066.0</v>
      </c>
      <c r="M48" s="14">
        <v>1.0</v>
      </c>
      <c r="N48" s="14">
        <v>3499.0</v>
      </c>
      <c r="O48" s="15" t="s">
        <v>24</v>
      </c>
      <c r="P48" s="16">
        <v>40189.61256944444</v>
      </c>
      <c r="Q48" s="10" t="s">
        <v>325</v>
      </c>
      <c r="R48" s="10" t="s">
        <v>352</v>
      </c>
      <c r="S48" s="11" t="s">
        <v>349</v>
      </c>
      <c r="T48" s="12"/>
      <c r="U48" s="17" t="str">
        <f>HYPERLINK("https://pbs.twimg.com/profile_images/1267320384568864768/f8h8X12H.jpg","View")</f>
        <v>View</v>
      </c>
      <c r="V48" s="12"/>
      <c r="W48" s="12"/>
      <c r="X48" s="12"/>
      <c r="Y48" s="12"/>
      <c r="Z48" s="12"/>
    </row>
    <row r="49">
      <c r="A49" s="8">
        <v>44221.959375</v>
      </c>
      <c r="B49" s="9" t="str">
        <f>HYPERLINK("https://twitter.com/Milenio","@Milenio")</f>
        <v>@Milenio</v>
      </c>
      <c r="C49" s="10" t="s">
        <v>345</v>
      </c>
      <c r="D49" s="10" t="s">
        <v>356</v>
      </c>
      <c r="E49" s="9" t="str">
        <f>HYPERLINK("https://twitter.com/Milenio/status/1353931044450226178","1353931044450226178")</f>
        <v>1353931044450226178</v>
      </c>
      <c r="F49" s="12"/>
      <c r="G49" s="11" t="s">
        <v>358</v>
      </c>
      <c r="H49" s="12"/>
      <c r="I49" s="13">
        <v>16.0</v>
      </c>
      <c r="J49" s="13">
        <v>23.0</v>
      </c>
      <c r="K49" s="9" t="str">
        <f t="shared" si="14"/>
        <v>Twitter Media Studio - LiveCut</v>
      </c>
      <c r="L49" s="14">
        <v>4891495.0</v>
      </c>
      <c r="M49" s="14">
        <v>0.0</v>
      </c>
      <c r="N49" s="14">
        <v>15544.0</v>
      </c>
      <c r="O49" s="15" t="s">
        <v>24</v>
      </c>
      <c r="P49" s="16">
        <v>39889.685162037036</v>
      </c>
      <c r="Q49" s="10" t="s">
        <v>325</v>
      </c>
      <c r="R49" s="10" t="s">
        <v>348</v>
      </c>
      <c r="S49" s="11" t="s">
        <v>349</v>
      </c>
      <c r="T49" s="12"/>
      <c r="U49" s="17" t="str">
        <f>HYPERLINK("https://pbs.twimg.com/profile_images/1324490011526500352/6QM7X0Ec.jpg","View")</f>
        <v>View</v>
      </c>
      <c r="V49" s="12"/>
      <c r="W49" s="12"/>
      <c r="X49" s="12"/>
      <c r="Y49" s="12"/>
      <c r="Z49" s="12"/>
    </row>
    <row r="50">
      <c r="A50" s="8">
        <v>44221.955937499995</v>
      </c>
      <c r="B50" s="9" t="str">
        <f>HYPERLINK("https://twitter.com/mileniotv","@mileniotv")</f>
        <v>@mileniotv</v>
      </c>
      <c r="C50" s="10" t="s">
        <v>350</v>
      </c>
      <c r="D50" s="10" t="s">
        <v>359</v>
      </c>
      <c r="E50" s="9" t="str">
        <f>HYPERLINK("https://twitter.com/mileniotv/status/1353929800503549954","1353929800503549954")</f>
        <v>1353929800503549954</v>
      </c>
      <c r="F50" s="12"/>
      <c r="G50" s="11" t="s">
        <v>360</v>
      </c>
      <c r="H50" s="12"/>
      <c r="I50" s="13">
        <v>3.0</v>
      </c>
      <c r="J50" s="13">
        <v>14.0</v>
      </c>
      <c r="K50" s="9" t="str">
        <f t="shared" si="14"/>
        <v>Twitter Media Studio - LiveCut</v>
      </c>
      <c r="L50" s="14">
        <v>778066.0</v>
      </c>
      <c r="M50" s="14">
        <v>1.0</v>
      </c>
      <c r="N50" s="14">
        <v>3499.0</v>
      </c>
      <c r="O50" s="15" t="s">
        <v>24</v>
      </c>
      <c r="P50" s="16">
        <v>40189.61256944444</v>
      </c>
      <c r="Q50" s="10" t="s">
        <v>325</v>
      </c>
      <c r="R50" s="10" t="s">
        <v>352</v>
      </c>
      <c r="S50" s="11" t="s">
        <v>349</v>
      </c>
      <c r="T50" s="12"/>
      <c r="U50" s="17" t="str">
        <f>HYPERLINK("https://pbs.twimg.com/profile_images/1267320384568864768/f8h8X12H.jpg","View")</f>
        <v>View</v>
      </c>
      <c r="V50" s="12"/>
      <c r="W50" s="12"/>
      <c r="X50" s="12"/>
      <c r="Y50" s="12"/>
      <c r="Z50" s="12"/>
    </row>
    <row r="51">
      <c r="A51" s="8">
        <v>44221.955937499995</v>
      </c>
      <c r="B51" s="9" t="str">
        <f>HYPERLINK("https://twitter.com/Milenio","@Milenio")</f>
        <v>@Milenio</v>
      </c>
      <c r="C51" s="10" t="s">
        <v>345</v>
      </c>
      <c r="D51" s="10" t="s">
        <v>359</v>
      </c>
      <c r="E51" s="9" t="str">
        <f>HYPERLINK("https://twitter.com/Milenio/status/1353929800486842369","1353929800486842369")</f>
        <v>1353929800486842369</v>
      </c>
      <c r="F51" s="12"/>
      <c r="G51" s="11" t="s">
        <v>361</v>
      </c>
      <c r="H51" s="12"/>
      <c r="I51" s="13">
        <v>15.0</v>
      </c>
      <c r="J51" s="13">
        <v>51.0</v>
      </c>
      <c r="K51" s="9" t="str">
        <f t="shared" si="14"/>
        <v>Twitter Media Studio - LiveCut</v>
      </c>
      <c r="L51" s="14">
        <v>4891495.0</v>
      </c>
      <c r="M51" s="14">
        <v>0.0</v>
      </c>
      <c r="N51" s="14">
        <v>15544.0</v>
      </c>
      <c r="O51" s="15" t="s">
        <v>24</v>
      </c>
      <c r="P51" s="16">
        <v>39889.685162037036</v>
      </c>
      <c r="Q51" s="10" t="s">
        <v>325</v>
      </c>
      <c r="R51" s="10" t="s">
        <v>348</v>
      </c>
      <c r="S51" s="11" t="s">
        <v>349</v>
      </c>
      <c r="T51" s="12"/>
      <c r="U51" s="17" t="str">
        <f>HYPERLINK("https://pbs.twimg.com/profile_images/1324490011526500352/6QM7X0Ec.jpg","View")</f>
        <v>View</v>
      </c>
      <c r="V51" s="12"/>
      <c r="W51" s="12"/>
      <c r="X51" s="12"/>
      <c r="Y51" s="12"/>
      <c r="Z51" s="12"/>
    </row>
    <row r="52">
      <c r="A52" s="8">
        <v>44221.953831018516</v>
      </c>
      <c r="B52" s="9" t="str">
        <f>HYPERLINK("https://twitter.com/mileniotv","@mileniotv")</f>
        <v>@mileniotv</v>
      </c>
      <c r="C52" s="10" t="s">
        <v>350</v>
      </c>
      <c r="D52" s="10" t="s">
        <v>362</v>
      </c>
      <c r="E52" s="9" t="str">
        <f>HYPERLINK("https://twitter.com/mileniotv/status/1353929033734475776","1353929033734475776")</f>
        <v>1353929033734475776</v>
      </c>
      <c r="F52" s="12"/>
      <c r="G52" s="11" t="s">
        <v>363</v>
      </c>
      <c r="H52" s="12"/>
      <c r="I52" s="13">
        <v>8.0</v>
      </c>
      <c r="J52" s="13">
        <v>9.0</v>
      </c>
      <c r="K52" s="9" t="str">
        <f t="shared" si="14"/>
        <v>Twitter Media Studio - LiveCut</v>
      </c>
      <c r="L52" s="14">
        <v>778066.0</v>
      </c>
      <c r="M52" s="14">
        <v>1.0</v>
      </c>
      <c r="N52" s="14">
        <v>3499.0</v>
      </c>
      <c r="O52" s="15" t="s">
        <v>24</v>
      </c>
      <c r="P52" s="16">
        <v>40189.61256944444</v>
      </c>
      <c r="Q52" s="10" t="s">
        <v>325</v>
      </c>
      <c r="R52" s="10" t="s">
        <v>352</v>
      </c>
      <c r="S52" s="11" t="s">
        <v>349</v>
      </c>
      <c r="T52" s="12"/>
      <c r="U52" s="17" t="str">
        <f>HYPERLINK("https://pbs.twimg.com/profile_images/1267320384568864768/f8h8X12H.jpg","View")</f>
        <v>View</v>
      </c>
      <c r="V52" s="12"/>
      <c r="W52" s="12"/>
      <c r="X52" s="12"/>
      <c r="Y52" s="12"/>
      <c r="Z52" s="12"/>
    </row>
    <row r="53">
      <c r="A53" s="8">
        <v>44221.953831018516</v>
      </c>
      <c r="B53" s="9" t="str">
        <f>HYPERLINK("https://twitter.com/Milenio","@Milenio")</f>
        <v>@Milenio</v>
      </c>
      <c r="C53" s="10" t="s">
        <v>345</v>
      </c>
      <c r="D53" s="10" t="s">
        <v>362</v>
      </c>
      <c r="E53" s="9" t="str">
        <f>HYPERLINK("https://twitter.com/Milenio/status/1353929033726128129","1353929033726128129")</f>
        <v>1353929033726128129</v>
      </c>
      <c r="F53" s="12"/>
      <c r="G53" s="11" t="s">
        <v>364</v>
      </c>
      <c r="H53" s="12"/>
      <c r="I53" s="13">
        <v>5.0</v>
      </c>
      <c r="J53" s="13">
        <v>16.0</v>
      </c>
      <c r="K53" s="9" t="str">
        <f t="shared" si="14"/>
        <v>Twitter Media Studio - LiveCut</v>
      </c>
      <c r="L53" s="14">
        <v>4891495.0</v>
      </c>
      <c r="M53" s="14">
        <v>0.0</v>
      </c>
      <c r="N53" s="14">
        <v>15544.0</v>
      </c>
      <c r="O53" s="15" t="s">
        <v>24</v>
      </c>
      <c r="P53" s="16">
        <v>39889.685162037036</v>
      </c>
      <c r="Q53" s="10" t="s">
        <v>325</v>
      </c>
      <c r="R53" s="10" t="s">
        <v>348</v>
      </c>
      <c r="S53" s="11" t="s">
        <v>349</v>
      </c>
      <c r="T53" s="12"/>
      <c r="U53" s="17" t="str">
        <f>HYPERLINK("https://pbs.twimg.com/profile_images/1324490011526500352/6QM7X0Ec.jpg","View")</f>
        <v>View</v>
      </c>
      <c r="V53" s="12"/>
      <c r="W53" s="12"/>
      <c r="X53" s="12"/>
      <c r="Y53" s="12"/>
      <c r="Z53" s="12"/>
    </row>
    <row r="54">
      <c r="A54" s="8">
        <v>44221.923425925925</v>
      </c>
      <c r="B54" s="9" t="str">
        <f>HYPERLINK("https://twitter.com/RaulDivino","@RaulDivino")</f>
        <v>@RaulDivino</v>
      </c>
      <c r="C54" s="10" t="s">
        <v>365</v>
      </c>
      <c r="D54" s="10" t="s">
        <v>366</v>
      </c>
      <c r="E54" s="9" t="str">
        <f>HYPERLINK("https://twitter.com/RaulDivino/status/1353918017256755203","1353918017256755203")</f>
        <v>1353918017256755203</v>
      </c>
      <c r="F54" s="12"/>
      <c r="G54" s="11" t="s">
        <v>367</v>
      </c>
      <c r="H54" s="12"/>
      <c r="I54" s="13">
        <v>0.0</v>
      </c>
      <c r="J54" s="13">
        <v>0.0</v>
      </c>
      <c r="K54" s="9" t="str">
        <f>HYPERLINK("http://twitter.com/download/iphone","Twitter for iPhone")</f>
        <v>Twitter for iPhone</v>
      </c>
      <c r="L54" s="14">
        <v>704.0</v>
      </c>
      <c r="M54" s="14">
        <v>324.0</v>
      </c>
      <c r="N54" s="14">
        <v>5.0</v>
      </c>
      <c r="O54" s="19"/>
      <c r="P54" s="16">
        <v>40083.039351851854</v>
      </c>
      <c r="Q54" s="10" t="s">
        <v>368</v>
      </c>
      <c r="R54" s="10" t="s">
        <v>369</v>
      </c>
      <c r="S54" s="11" t="s">
        <v>370</v>
      </c>
      <c r="T54" s="12"/>
      <c r="U54" s="17" t="str">
        <f>HYPERLINK("https://pbs.twimg.com/profile_images/1189236143587549184/VPFADOKZ.jpg","View")</f>
        <v>View</v>
      </c>
      <c r="V54" s="12"/>
      <c r="W54" s="12"/>
      <c r="X54" s="12"/>
      <c r="Y54" s="12"/>
      <c r="Z54" s="12"/>
    </row>
    <row r="55">
      <c r="A55" s="8">
        <v>44221.919687500005</v>
      </c>
      <c r="B55" s="9" t="str">
        <f>HYPERLINK("https://twitter.com/JorgeDelgado_MX","@JorgeDelgado_MX")</f>
        <v>@JorgeDelgado_MX</v>
      </c>
      <c r="C55" s="10" t="s">
        <v>314</v>
      </c>
      <c r="D55" s="10" t="s">
        <v>371</v>
      </c>
      <c r="E55" s="9" t="str">
        <f>HYPERLINK("https://twitter.com/JorgeDelgado_MX/status/1353916663515766784","1353916663515766784")</f>
        <v>1353916663515766784</v>
      </c>
      <c r="F55" s="11" t="s">
        <v>372</v>
      </c>
      <c r="G55" s="11" t="s">
        <v>373</v>
      </c>
      <c r="H55" s="12"/>
      <c r="I55" s="13">
        <v>0.0</v>
      </c>
      <c r="J55" s="13">
        <v>0.0</v>
      </c>
      <c r="K55" s="9" t="str">
        <f t="shared" ref="K55:K56" si="17">HYPERLINK("http://twitter.com/download/android","Twitter for Android")</f>
        <v>Twitter for Android</v>
      </c>
      <c r="L55" s="14">
        <v>385.0</v>
      </c>
      <c r="M55" s="14">
        <v>2348.0</v>
      </c>
      <c r="N55" s="14">
        <v>3.0</v>
      </c>
      <c r="O55" s="19"/>
      <c r="P55" s="16">
        <v>40286.07203703704</v>
      </c>
      <c r="Q55" s="10" t="s">
        <v>224</v>
      </c>
      <c r="R55" s="10" t="s">
        <v>318</v>
      </c>
      <c r="S55" s="12"/>
      <c r="T55" s="12"/>
      <c r="U55" s="17" t="str">
        <f>HYPERLINK("https://pbs.twimg.com/profile_images/413868089738924032/d2KyyqbY.jpeg","View")</f>
        <v>View</v>
      </c>
      <c r="V55" s="12"/>
      <c r="W55" s="12"/>
      <c r="X55" s="12"/>
      <c r="Y55" s="12"/>
      <c r="Z55" s="12"/>
    </row>
    <row r="56">
      <c r="A56" s="8">
        <v>44221.91855324074</v>
      </c>
      <c r="B56" s="9" t="str">
        <f>HYPERLINK("https://twitter.com/juandedioz","@juandedioz")</f>
        <v>@juandedioz</v>
      </c>
      <c r="C56" s="10" t="s">
        <v>374</v>
      </c>
      <c r="D56" s="10" t="s">
        <v>375</v>
      </c>
      <c r="E56" s="9" t="str">
        <f>HYPERLINK("https://twitter.com/juandedioz/status/1353916249395388416","1353916249395388416")</f>
        <v>1353916249395388416</v>
      </c>
      <c r="F56" s="12"/>
      <c r="G56" s="11" t="s">
        <v>376</v>
      </c>
      <c r="H56" s="12"/>
      <c r="I56" s="13">
        <v>3.0</v>
      </c>
      <c r="J56" s="13">
        <v>8.0</v>
      </c>
      <c r="K56" s="9" t="str">
        <f t="shared" si="17"/>
        <v>Twitter for Android</v>
      </c>
      <c r="L56" s="14">
        <v>1125.0</v>
      </c>
      <c r="M56" s="14">
        <v>1353.0</v>
      </c>
      <c r="N56" s="14">
        <v>8.0</v>
      </c>
      <c r="O56" s="19"/>
      <c r="P56" s="16">
        <v>40188.86321759259</v>
      </c>
      <c r="Q56" s="10" t="s">
        <v>377</v>
      </c>
      <c r="R56" s="10" t="s">
        <v>378</v>
      </c>
      <c r="S56" s="12"/>
      <c r="T56" s="12"/>
      <c r="U56" s="17" t="str">
        <f>HYPERLINK("https://pbs.twimg.com/profile_images/672451051249754112/DozaZUNc.jpg","View")</f>
        <v>View</v>
      </c>
      <c r="V56" s="12"/>
      <c r="W56" s="12"/>
      <c r="X56" s="12"/>
      <c r="Y56" s="12"/>
      <c r="Z56" s="12"/>
    </row>
    <row r="57">
      <c r="A57" s="8">
        <v>44221.91731481481</v>
      </c>
      <c r="B57" s="9" t="str">
        <f>HYPERLINK("https://twitter.com/xe1cgs","@xe1cgs")</f>
        <v>@xe1cgs</v>
      </c>
      <c r="C57" s="10" t="s">
        <v>379</v>
      </c>
      <c r="D57" s="10" t="s">
        <v>380</v>
      </c>
      <c r="E57" s="9" t="str">
        <f>HYPERLINK("https://twitter.com/xe1cgs/status/1353915802999693312","1353915802999693312")</f>
        <v>1353915802999693312</v>
      </c>
      <c r="F57" s="11" t="s">
        <v>381</v>
      </c>
      <c r="G57" s="12"/>
      <c r="H57" s="12"/>
      <c r="I57" s="13">
        <v>0.0</v>
      </c>
      <c r="J57" s="13">
        <v>0.0</v>
      </c>
      <c r="K57" s="9" t="str">
        <f>HYPERLINK("https://periscope.tv","Periscope")</f>
        <v>Periscope</v>
      </c>
      <c r="L57" s="14">
        <v>143.0</v>
      </c>
      <c r="M57" s="14">
        <v>1191.0</v>
      </c>
      <c r="N57" s="14">
        <v>2.0</v>
      </c>
      <c r="O57" s="19"/>
      <c r="P57" s="16">
        <v>40572.66416666667</v>
      </c>
      <c r="Q57" s="10" t="s">
        <v>382</v>
      </c>
      <c r="R57" s="10" t="s">
        <v>383</v>
      </c>
      <c r="S57" s="12"/>
      <c r="T57" s="12"/>
      <c r="U57" s="17" t="str">
        <f>HYPERLINK("https://pbs.twimg.com/profile_images/1249130247569715200/zpsYkMFU.jpg","View")</f>
        <v>View</v>
      </c>
      <c r="V57" s="12"/>
      <c r="W57" s="12"/>
      <c r="X57" s="12"/>
      <c r="Y57" s="12"/>
      <c r="Z57" s="12"/>
    </row>
    <row r="58">
      <c r="A58" s="8">
        <v>44221.91628472222</v>
      </c>
      <c r="B58" s="9" t="str">
        <f>HYPERLINK("https://twitter.com/mileniotv","@mileniotv")</f>
        <v>@mileniotv</v>
      </c>
      <c r="C58" s="10" t="s">
        <v>350</v>
      </c>
      <c r="D58" s="10" t="s">
        <v>384</v>
      </c>
      <c r="E58" s="9" t="str">
        <f>HYPERLINK("https://twitter.com/mileniotv/status/1353915429081681920","1353915429081681920")</f>
        <v>1353915429081681920</v>
      </c>
      <c r="F58" s="11" t="s">
        <v>385</v>
      </c>
      <c r="G58" s="12"/>
      <c r="H58" s="12"/>
      <c r="I58" s="13">
        <v>0.0</v>
      </c>
      <c r="J58" s="13">
        <v>5.0</v>
      </c>
      <c r="K58" s="9" t="str">
        <f t="shared" ref="K58:K59" si="18">HYPERLINK("https://about.twitter.com/products/tweetdeck","TweetDeck")</f>
        <v>TweetDeck</v>
      </c>
      <c r="L58" s="14">
        <v>778066.0</v>
      </c>
      <c r="M58" s="14">
        <v>1.0</v>
      </c>
      <c r="N58" s="14">
        <v>3499.0</v>
      </c>
      <c r="O58" s="15" t="s">
        <v>24</v>
      </c>
      <c r="P58" s="16">
        <v>40189.61256944444</v>
      </c>
      <c r="Q58" s="10" t="s">
        <v>325</v>
      </c>
      <c r="R58" s="10" t="s">
        <v>352</v>
      </c>
      <c r="S58" s="11" t="s">
        <v>349</v>
      </c>
      <c r="T58" s="12"/>
      <c r="U58" s="17" t="str">
        <f>HYPERLINK("https://pbs.twimg.com/profile_images/1267320384568864768/f8h8X12H.jpg","View")</f>
        <v>View</v>
      </c>
      <c r="V58" s="12"/>
      <c r="W58" s="12"/>
      <c r="X58" s="12"/>
      <c r="Y58" s="12"/>
      <c r="Z58" s="12"/>
    </row>
    <row r="59">
      <c r="A59" s="8">
        <v>44221.916249999995</v>
      </c>
      <c r="B59" s="9" t="str">
        <f>HYPERLINK("https://twitter.com/Milenio","@Milenio")</f>
        <v>@Milenio</v>
      </c>
      <c r="C59" s="10" t="s">
        <v>345</v>
      </c>
      <c r="D59" s="10" t="s">
        <v>384</v>
      </c>
      <c r="E59" s="9" t="str">
        <f>HYPERLINK("https://twitter.com/Milenio/status/1353915418528731140","1353915418528731140")</f>
        <v>1353915418528731140</v>
      </c>
      <c r="F59" s="11" t="s">
        <v>385</v>
      </c>
      <c r="G59" s="12"/>
      <c r="H59" s="12"/>
      <c r="I59" s="13">
        <v>2.0</v>
      </c>
      <c r="J59" s="13">
        <v>10.0</v>
      </c>
      <c r="K59" s="9" t="str">
        <f t="shared" si="18"/>
        <v>TweetDeck</v>
      </c>
      <c r="L59" s="14">
        <v>4891495.0</v>
      </c>
      <c r="M59" s="14">
        <v>0.0</v>
      </c>
      <c r="N59" s="14">
        <v>15544.0</v>
      </c>
      <c r="O59" s="15" t="s">
        <v>24</v>
      </c>
      <c r="P59" s="16">
        <v>39889.685162037036</v>
      </c>
      <c r="Q59" s="10" t="s">
        <v>325</v>
      </c>
      <c r="R59" s="10" t="s">
        <v>348</v>
      </c>
      <c r="S59" s="11" t="s">
        <v>349</v>
      </c>
      <c r="T59" s="12"/>
      <c r="U59" s="17" t="str">
        <f>HYPERLINK("https://pbs.twimg.com/profile_images/1324490011526500352/6QM7X0Ec.jpg","View")</f>
        <v>View</v>
      </c>
      <c r="V59" s="12"/>
      <c r="W59" s="12"/>
      <c r="X59" s="12"/>
      <c r="Y59" s="12"/>
      <c r="Z59" s="12"/>
    </row>
    <row r="60">
      <c r="A60" s="8">
        <v>44221.91431712963</v>
      </c>
      <c r="B60" s="9" t="str">
        <f>HYPERLINK("https://twitter.com/EduardoBerista1","@EduardoBerista1")</f>
        <v>@EduardoBerista1</v>
      </c>
      <c r="C60" s="10" t="s">
        <v>386</v>
      </c>
      <c r="D60" s="10" t="s">
        <v>387</v>
      </c>
      <c r="E60" s="9" t="str">
        <f>HYPERLINK("https://twitter.com/EduardoBerista1/status/1353914717727846401","1353914717727846401")</f>
        <v>1353914717727846401</v>
      </c>
      <c r="F60" s="10" t="s">
        <v>388</v>
      </c>
      <c r="G60" s="12"/>
      <c r="H60" s="12"/>
      <c r="I60" s="13">
        <v>0.0</v>
      </c>
      <c r="J60" s="13">
        <v>0.0</v>
      </c>
      <c r="K60" s="9" t="str">
        <f t="shared" ref="K60:K61" si="19">HYPERLINK("https://mobile.twitter.com","Twitter Web App")</f>
        <v>Twitter Web App</v>
      </c>
      <c r="L60" s="14">
        <v>575.0</v>
      </c>
      <c r="M60" s="14">
        <v>1079.0</v>
      </c>
      <c r="N60" s="14">
        <v>0.0</v>
      </c>
      <c r="O60" s="19"/>
      <c r="P60" s="16">
        <v>40863.69625</v>
      </c>
      <c r="Q60" s="10" t="s">
        <v>389</v>
      </c>
      <c r="R60" s="10" t="s">
        <v>390</v>
      </c>
      <c r="S60" s="12"/>
      <c r="T60" s="12"/>
      <c r="U60" s="17" t="str">
        <f>HYPERLINK("https://pbs.twimg.com/profile_images/1732698461/IMG00279-20100117-1127.jpg","View")</f>
        <v>View</v>
      </c>
      <c r="V60" s="12"/>
      <c r="W60" s="12"/>
      <c r="X60" s="12"/>
      <c r="Y60" s="12"/>
      <c r="Z60" s="12"/>
    </row>
    <row r="61">
      <c r="A61" s="8">
        <v>44221.83694444444</v>
      </c>
      <c r="B61" s="9" t="str">
        <f>HYPERLINK("https://twitter.com/AdrianaDavilaF","@AdrianaDavilaF")</f>
        <v>@AdrianaDavilaF</v>
      </c>
      <c r="C61" s="10" t="s">
        <v>391</v>
      </c>
      <c r="D61" s="10" t="s">
        <v>392</v>
      </c>
      <c r="E61" s="9" t="str">
        <f>HYPERLINK("https://twitter.com/AdrianaDavilaF/status/1353886676234493952","1353886676234493952")</f>
        <v>1353886676234493952</v>
      </c>
      <c r="F61" s="12"/>
      <c r="G61" s="11" t="s">
        <v>393</v>
      </c>
      <c r="H61" s="12"/>
      <c r="I61" s="13">
        <v>135.0</v>
      </c>
      <c r="J61" s="13">
        <v>386.0</v>
      </c>
      <c r="K61" s="9" t="str">
        <f t="shared" si="19"/>
        <v>Twitter Web App</v>
      </c>
      <c r="L61" s="14">
        <v>19180.0</v>
      </c>
      <c r="M61" s="14">
        <v>1707.0</v>
      </c>
      <c r="N61" s="14">
        <v>216.0</v>
      </c>
      <c r="O61" s="15" t="s">
        <v>24</v>
      </c>
      <c r="P61" s="16">
        <v>40896.552152777775</v>
      </c>
      <c r="Q61" s="12"/>
      <c r="R61" s="10" t="s">
        <v>394</v>
      </c>
      <c r="S61" s="11" t="s">
        <v>395</v>
      </c>
      <c r="T61" s="12"/>
      <c r="U61" s="17" t="str">
        <f>HYPERLINK("https://pbs.twimg.com/profile_images/1334145724087291905/-ifpjV-b.jpg","View")</f>
        <v>View</v>
      </c>
      <c r="V61" s="12"/>
      <c r="W61" s="12"/>
      <c r="X61" s="12"/>
      <c r="Y61" s="12"/>
      <c r="Z61" s="12"/>
    </row>
    <row r="62">
      <c r="A62" s="8">
        <v>44221.794953703706</v>
      </c>
      <c r="B62" s="9" t="str">
        <f>HYPERLINK("https://twitter.com/IvanVenturaJ","@IvanVenturaJ")</f>
        <v>@IvanVenturaJ</v>
      </c>
      <c r="C62" s="10" t="s">
        <v>396</v>
      </c>
      <c r="D62" s="10" t="s">
        <v>397</v>
      </c>
      <c r="E62" s="9" t="str">
        <f>HYPERLINK("https://twitter.com/IvanVenturaJ/status/1353871460440240130","1353871460440240130")</f>
        <v>1353871460440240130</v>
      </c>
      <c r="F62" s="12"/>
      <c r="G62" s="12"/>
      <c r="H62" s="12"/>
      <c r="I62" s="13">
        <v>0.0</v>
      </c>
      <c r="J62" s="13">
        <v>5.0</v>
      </c>
      <c r="K62" s="9" t="str">
        <f>HYPERLINK("http://twitter.com/download/android","Twitter for Android")</f>
        <v>Twitter for Android</v>
      </c>
      <c r="L62" s="14">
        <v>1372.0</v>
      </c>
      <c r="M62" s="14">
        <v>1171.0</v>
      </c>
      <c r="N62" s="14">
        <v>0.0</v>
      </c>
      <c r="O62" s="19"/>
      <c r="P62" s="16">
        <v>40896.6983912037</v>
      </c>
      <c r="Q62" s="10" t="s">
        <v>398</v>
      </c>
      <c r="R62" s="10" t="s">
        <v>399</v>
      </c>
      <c r="S62" s="11" t="s">
        <v>400</v>
      </c>
      <c r="T62" s="12"/>
      <c r="U62" s="17" t="str">
        <f>HYPERLINK("https://pbs.twimg.com/profile_images/1352082983927250946/zDtfwXyg.jpg","View")</f>
        <v>View</v>
      </c>
      <c r="V62" s="12"/>
      <c r="W62" s="12"/>
      <c r="X62" s="12"/>
      <c r="Y62" s="12"/>
      <c r="Z62" s="12"/>
    </row>
    <row r="63">
      <c r="A63" s="8">
        <v>44221.78917824074</v>
      </c>
      <c r="B63" s="9" t="str">
        <f>HYPERLINK("https://twitter.com/BrunoDa791","@BrunoDa791")</f>
        <v>@BrunoDa791</v>
      </c>
      <c r="C63" s="10" t="s">
        <v>401</v>
      </c>
      <c r="D63" s="10" t="s">
        <v>402</v>
      </c>
      <c r="E63" s="9" t="str">
        <f>HYPERLINK("https://twitter.com/BrunoDa791/status/1353869365377024000","1353869365377024000")</f>
        <v>1353869365377024000</v>
      </c>
      <c r="F63" s="10" t="s">
        <v>403</v>
      </c>
      <c r="G63" s="12"/>
      <c r="H63" s="12"/>
      <c r="I63" s="13">
        <v>0.0</v>
      </c>
      <c r="J63" s="13">
        <v>2.0</v>
      </c>
      <c r="K63" s="9" t="str">
        <f t="shared" ref="K63:K64" si="20">HYPERLINK("http://twitter.com/download/iphone","Twitter for iPhone")</f>
        <v>Twitter for iPhone</v>
      </c>
      <c r="L63" s="14">
        <v>931.0</v>
      </c>
      <c r="M63" s="14">
        <v>1488.0</v>
      </c>
      <c r="N63" s="14">
        <v>1.0</v>
      </c>
      <c r="O63" s="19"/>
      <c r="P63" s="16">
        <v>42951.50340277777</v>
      </c>
      <c r="Q63" s="10" t="s">
        <v>404</v>
      </c>
      <c r="R63" s="12"/>
      <c r="S63" s="12"/>
      <c r="T63" s="12"/>
      <c r="U63" s="17" t="str">
        <f>HYPERLINK("https://pbs.twimg.com/profile_images/1286358223092625408/rJuEYEdi.jpg","View")</f>
        <v>View</v>
      </c>
      <c r="V63" s="12"/>
      <c r="W63" s="12"/>
      <c r="X63" s="12"/>
      <c r="Y63" s="12"/>
      <c r="Z63" s="12"/>
    </row>
    <row r="64">
      <c r="A64" s="8">
        <v>44221.787048611106</v>
      </c>
      <c r="B64" s="9" t="str">
        <f>HYPERLINK("https://twitter.com/Erika_Velasco_","@Erika_Velasco_")</f>
        <v>@Erika_Velasco_</v>
      </c>
      <c r="C64" s="10" t="s">
        <v>405</v>
      </c>
      <c r="D64" s="10" t="s">
        <v>406</v>
      </c>
      <c r="E64" s="9" t="str">
        <f>HYPERLINK("https://twitter.com/Erika_Velasco_/status/1353868597605621765","1353868597605621765")</f>
        <v>1353868597605621765</v>
      </c>
      <c r="F64" s="12"/>
      <c r="G64" s="12"/>
      <c r="H64" s="12"/>
      <c r="I64" s="13">
        <v>0.0</v>
      </c>
      <c r="J64" s="13">
        <v>0.0</v>
      </c>
      <c r="K64" s="9" t="str">
        <f t="shared" si="20"/>
        <v>Twitter for iPhone</v>
      </c>
      <c r="L64" s="14">
        <v>8108.0</v>
      </c>
      <c r="M64" s="14">
        <v>1293.0</v>
      </c>
      <c r="N64" s="14">
        <v>17.0</v>
      </c>
      <c r="O64" s="19"/>
      <c r="P64" s="16">
        <v>40335.81644675926</v>
      </c>
      <c r="Q64" s="10" t="s">
        <v>407</v>
      </c>
      <c r="R64" s="10" t="s">
        <v>408</v>
      </c>
      <c r="S64" s="11" t="s">
        <v>409</v>
      </c>
      <c r="T64" s="12"/>
      <c r="U64" s="17" t="str">
        <f>HYPERLINK("https://pbs.twimg.com/profile_images/1297559787027275776/0VtLRX9y.jpg","View")</f>
        <v>View</v>
      </c>
      <c r="V64" s="12"/>
      <c r="W64" s="12"/>
      <c r="X64" s="12"/>
      <c r="Y64" s="12"/>
      <c r="Z64" s="12"/>
    </row>
    <row r="65">
      <c r="A65" s="8">
        <v>44221.779699074075</v>
      </c>
      <c r="B65" s="9" t="str">
        <f>HYPERLINK("https://twitter.com/liebano","@liebano")</f>
        <v>@liebano</v>
      </c>
      <c r="C65" s="10" t="s">
        <v>410</v>
      </c>
      <c r="D65" s="10" t="s">
        <v>411</v>
      </c>
      <c r="E65" s="9" t="str">
        <f>HYPERLINK("https://twitter.com/liebano/status/1353865932666503168","1353865932666503168")</f>
        <v>1353865932666503168</v>
      </c>
      <c r="F65" s="11" t="s">
        <v>412</v>
      </c>
      <c r="G65" s="12"/>
      <c r="H65" s="12"/>
      <c r="I65" s="13">
        <v>14.0</v>
      </c>
      <c r="J65" s="13">
        <v>27.0</v>
      </c>
      <c r="K65" s="9" t="str">
        <f t="shared" ref="K65:K68" si="21">HYPERLINK("https://mobile.twitter.com","Twitter Web App")</f>
        <v>Twitter Web App</v>
      </c>
      <c r="L65" s="14">
        <v>175774.0</v>
      </c>
      <c r="M65" s="14">
        <v>115670.0</v>
      </c>
      <c r="N65" s="14">
        <v>1931.0</v>
      </c>
      <c r="O65" s="15" t="s">
        <v>24</v>
      </c>
      <c r="P65" s="16">
        <v>39909.29961805556</v>
      </c>
      <c r="Q65" s="10" t="s">
        <v>413</v>
      </c>
      <c r="R65" s="10" t="s">
        <v>414</v>
      </c>
      <c r="S65" s="11" t="s">
        <v>415</v>
      </c>
      <c r="T65" s="12"/>
      <c r="U65" s="17" t="str">
        <f>HYPERLINK("https://pbs.twimg.com/profile_images/1289630146396221442/p5O6O-0H.jpg","View")</f>
        <v>View</v>
      </c>
      <c r="V65" s="12"/>
      <c r="W65" s="12"/>
      <c r="X65" s="12"/>
      <c r="Y65" s="12"/>
      <c r="Z65" s="12"/>
    </row>
    <row r="66">
      <c r="A66" s="8">
        <v>44221.77694444444</v>
      </c>
      <c r="B66" s="9" t="str">
        <f>HYPERLINK("https://twitter.com/VENEZIA555","@VENEZIA555")</f>
        <v>@VENEZIA555</v>
      </c>
      <c r="C66" s="10" t="s">
        <v>416</v>
      </c>
      <c r="D66" s="10" t="s">
        <v>417</v>
      </c>
      <c r="E66" s="9" t="str">
        <f>HYPERLINK("https://twitter.com/VENEZIA555/status/1353864933801406464","1353864933801406464")</f>
        <v>1353864933801406464</v>
      </c>
      <c r="F66" s="11" t="s">
        <v>418</v>
      </c>
      <c r="G66" s="12"/>
      <c r="H66" s="12"/>
      <c r="I66" s="13">
        <v>0.0</v>
      </c>
      <c r="J66" s="13">
        <v>0.0</v>
      </c>
      <c r="K66" s="9" t="str">
        <f t="shared" si="21"/>
        <v>Twitter Web App</v>
      </c>
      <c r="L66" s="14">
        <v>720.0</v>
      </c>
      <c r="M66" s="14">
        <v>805.0</v>
      </c>
      <c r="N66" s="14">
        <v>0.0</v>
      </c>
      <c r="O66" s="19"/>
      <c r="P66" s="16">
        <v>40858.54363425926</v>
      </c>
      <c r="Q66" s="10" t="s">
        <v>325</v>
      </c>
      <c r="R66" s="10" t="s">
        <v>419</v>
      </c>
      <c r="S66" s="12"/>
      <c r="T66" s="12"/>
      <c r="U66" s="17" t="str">
        <f>HYPERLINK("https://pbs.twimg.com/profile_images/1287929366194925568/HOMHP0sf.jpg","View")</f>
        <v>View</v>
      </c>
      <c r="V66" s="12"/>
      <c r="W66" s="12"/>
      <c r="X66" s="12"/>
      <c r="Y66" s="12"/>
      <c r="Z66" s="12"/>
    </row>
    <row r="67">
      <c r="A67" s="8">
        <v>44221.77234953704</v>
      </c>
      <c r="B67" s="9" t="str">
        <f>HYPERLINK("https://twitter.com/carlostomasini","@carlostomasini")</f>
        <v>@carlostomasini</v>
      </c>
      <c r="C67" s="10" t="s">
        <v>420</v>
      </c>
      <c r="D67" s="10" t="s">
        <v>421</v>
      </c>
      <c r="E67" s="9" t="str">
        <f>HYPERLINK("https://twitter.com/carlostomasini/status/1353863267769331713","1353863267769331713")</f>
        <v>1353863267769331713</v>
      </c>
      <c r="F67" s="11" t="s">
        <v>422</v>
      </c>
      <c r="G67" s="12"/>
      <c r="H67" s="12"/>
      <c r="I67" s="13">
        <v>1.0</v>
      </c>
      <c r="J67" s="13">
        <v>0.0</v>
      </c>
      <c r="K67" s="9" t="str">
        <f t="shared" si="21"/>
        <v>Twitter Web App</v>
      </c>
      <c r="L67" s="14">
        <v>9404.0</v>
      </c>
      <c r="M67" s="14">
        <v>10063.0</v>
      </c>
      <c r="N67" s="14">
        <v>195.0</v>
      </c>
      <c r="O67" s="19"/>
      <c r="P67" s="16">
        <v>39937.85098379629</v>
      </c>
      <c r="Q67" s="10" t="s">
        <v>423</v>
      </c>
      <c r="R67" s="10" t="s">
        <v>424</v>
      </c>
      <c r="S67" s="11" t="s">
        <v>425</v>
      </c>
      <c r="T67" s="12"/>
      <c r="U67" s="17" t="str">
        <f>HYPERLINK("https://pbs.twimg.com/profile_images/1347152624697544712/gyvlMxFF.jpg","View")</f>
        <v>View</v>
      </c>
      <c r="V67" s="12"/>
      <c r="W67" s="12"/>
      <c r="X67" s="12"/>
      <c r="Y67" s="12"/>
      <c r="Z67" s="12"/>
    </row>
    <row r="68">
      <c r="A68" s="8">
        <v>44221.767743055556</v>
      </c>
      <c r="B68" s="9" t="str">
        <f>HYPERLINK("https://twitter.com/Odiseo1969","@Odiseo1969")</f>
        <v>@Odiseo1969</v>
      </c>
      <c r="C68" s="10" t="s">
        <v>426</v>
      </c>
      <c r="D68" s="10" t="s">
        <v>427</v>
      </c>
      <c r="E68" s="9" t="str">
        <f>HYPERLINK("https://twitter.com/Odiseo1969/status/1353861598826397697","1353861598826397697")</f>
        <v>1353861598826397697</v>
      </c>
      <c r="F68" s="12"/>
      <c r="G68" s="12"/>
      <c r="H68" s="12"/>
      <c r="I68" s="13">
        <v>0.0</v>
      </c>
      <c r="J68" s="13">
        <v>0.0</v>
      </c>
      <c r="K68" s="9" t="str">
        <f t="shared" si="21"/>
        <v>Twitter Web App</v>
      </c>
      <c r="L68" s="14">
        <v>217.0</v>
      </c>
      <c r="M68" s="14">
        <v>228.0</v>
      </c>
      <c r="N68" s="14">
        <v>1.0</v>
      </c>
      <c r="O68" s="19"/>
      <c r="P68" s="16">
        <v>40189.60451388889</v>
      </c>
      <c r="Q68" s="10" t="s">
        <v>428</v>
      </c>
      <c r="R68" s="10" t="s">
        <v>429</v>
      </c>
      <c r="S68" s="12"/>
      <c r="T68" s="12"/>
      <c r="U68" s="17" t="str">
        <f>HYPERLINK("https://pbs.twimg.com/profile_images/1120518669866500097/_yW9FT30.png","View")</f>
        <v>View</v>
      </c>
      <c r="V68" s="12"/>
      <c r="W68" s="12"/>
      <c r="X68" s="12"/>
      <c r="Y68" s="12"/>
      <c r="Z68" s="12"/>
    </row>
    <row r="69">
      <c r="A69" s="8">
        <v>44221.76696759259</v>
      </c>
      <c r="B69" s="9" t="str">
        <f>HYPERLINK("https://twitter.com/karlaiberia","@karlaiberia")</f>
        <v>@karlaiberia</v>
      </c>
      <c r="C69" s="10" t="s">
        <v>430</v>
      </c>
      <c r="D69" s="10" t="s">
        <v>431</v>
      </c>
      <c r="E69" s="9" t="str">
        <f>HYPERLINK("https://twitter.com/karlaiberia/status/1353861319879962632","1353861319879962632")</f>
        <v>1353861319879962632</v>
      </c>
      <c r="F69" s="12"/>
      <c r="G69" s="12"/>
      <c r="H69" s="12"/>
      <c r="I69" s="13">
        <v>163.0</v>
      </c>
      <c r="J69" s="13">
        <v>681.0</v>
      </c>
      <c r="K69" s="9" t="str">
        <f>HYPERLINK("http://twitter.com/download/iphone","Twitter for iPhone")</f>
        <v>Twitter for iPhone</v>
      </c>
      <c r="L69" s="14">
        <v>338679.0</v>
      </c>
      <c r="M69" s="14">
        <v>4178.0</v>
      </c>
      <c r="N69" s="14">
        <v>1622.0</v>
      </c>
      <c r="O69" s="15" t="s">
        <v>24</v>
      </c>
      <c r="P69" s="16">
        <v>40227.56576388889</v>
      </c>
      <c r="Q69" s="12"/>
      <c r="R69" s="10" t="s">
        <v>432</v>
      </c>
      <c r="S69" s="11" t="s">
        <v>433</v>
      </c>
      <c r="T69" s="12"/>
      <c r="U69" s="17" t="str">
        <f>HYPERLINK("https://pbs.twimg.com/profile_images/1461044945/KARLA_foto.jpg","View")</f>
        <v>View</v>
      </c>
      <c r="V69" s="12"/>
      <c r="W69" s="12"/>
      <c r="X69" s="12"/>
      <c r="Y69" s="12"/>
      <c r="Z69" s="12"/>
    </row>
    <row r="70">
      <c r="A70" s="8">
        <v>44221.7483912037</v>
      </c>
      <c r="B70" s="9" t="str">
        <f>HYPERLINK("https://twitter.com/marcelino_77","@marcelino_77")</f>
        <v>@marcelino_77</v>
      </c>
      <c r="C70" s="10" t="s">
        <v>319</v>
      </c>
      <c r="D70" s="10" t="s">
        <v>434</v>
      </c>
      <c r="E70" s="9" t="str">
        <f>HYPERLINK("https://twitter.com/marcelino_77/status/1353854588365975558","1353854588365975558")</f>
        <v>1353854588365975558</v>
      </c>
      <c r="F70" s="11" t="s">
        <v>435</v>
      </c>
      <c r="G70" s="11" t="s">
        <v>436</v>
      </c>
      <c r="H70" s="12"/>
      <c r="I70" s="13">
        <v>0.0</v>
      </c>
      <c r="J70" s="13">
        <v>0.0</v>
      </c>
      <c r="K70" s="9" t="str">
        <f>HYPERLINK("http://twitter.com/download/android","Twitter for Android")</f>
        <v>Twitter for Android</v>
      </c>
      <c r="L70" s="14">
        <v>1050.0</v>
      </c>
      <c r="M70" s="14">
        <v>1862.0</v>
      </c>
      <c r="N70" s="14">
        <v>2.0</v>
      </c>
      <c r="O70" s="19"/>
      <c r="P70" s="16">
        <v>40825.87563657407</v>
      </c>
      <c r="Q70" s="12"/>
      <c r="R70" s="10" t="s">
        <v>323</v>
      </c>
      <c r="S70" s="12"/>
      <c r="T70" s="12"/>
      <c r="U70" s="17" t="str">
        <f>HYPERLINK("https://pbs.twimg.com/profile_images/1338694529856151554/5YQfB46X.jpg","View")</f>
        <v>View</v>
      </c>
      <c r="V70" s="12"/>
      <c r="W70" s="12"/>
      <c r="X70" s="12"/>
      <c r="Y70" s="12"/>
      <c r="Z70" s="12"/>
    </row>
    <row r="71">
      <c r="A71" s="8">
        <v>44221.738020833334</v>
      </c>
      <c r="B71" s="9" t="str">
        <f>HYPERLINK("https://twitter.com/claudiotv12dgo","@claudiotv12dgo")</f>
        <v>@claudiotv12dgo</v>
      </c>
      <c r="C71" s="10" t="s">
        <v>437</v>
      </c>
      <c r="D71" s="10" t="s">
        <v>438</v>
      </c>
      <c r="E71" s="9" t="str">
        <f>HYPERLINK("https://twitter.com/claudiotv12dgo/status/1353850827396558848","1353850827396558848")</f>
        <v>1353850827396558848</v>
      </c>
      <c r="F71" s="12"/>
      <c r="G71" s="11" t="s">
        <v>439</v>
      </c>
      <c r="H71" s="12"/>
      <c r="I71" s="13">
        <v>0.0</v>
      </c>
      <c r="J71" s="13">
        <v>0.0</v>
      </c>
      <c r="K71" s="9" t="str">
        <f>HYPERLINK("http://twitter.com/download/iphone","Twitter for iPhone")</f>
        <v>Twitter for iPhone</v>
      </c>
      <c r="L71" s="14">
        <v>14639.0</v>
      </c>
      <c r="M71" s="14">
        <v>149.0</v>
      </c>
      <c r="N71" s="14">
        <v>98.0</v>
      </c>
      <c r="O71" s="19"/>
      <c r="P71" s="16">
        <v>40530.809432870374</v>
      </c>
      <c r="Q71" s="12"/>
      <c r="R71" s="10" t="s">
        <v>440</v>
      </c>
      <c r="S71" s="12"/>
      <c r="T71" s="12"/>
      <c r="U71" s="17" t="str">
        <f>HYPERLINK("https://pbs.twimg.com/profile_images/1353092881125412865/JkMMobJQ.jpg","View")</f>
        <v>View</v>
      </c>
      <c r="V71" s="12"/>
      <c r="W71" s="12"/>
      <c r="X71" s="12"/>
      <c r="Y71" s="12"/>
      <c r="Z71" s="12"/>
    </row>
    <row r="72">
      <c r="A72" s="8">
        <v>44221.6871412037</v>
      </c>
      <c r="B72" s="9" t="str">
        <f>HYPERLINK("https://twitter.com/PaladinFelix","@PaladinFelix")</f>
        <v>@PaladinFelix</v>
      </c>
      <c r="C72" s="10" t="s">
        <v>441</v>
      </c>
      <c r="D72" s="10" t="s">
        <v>442</v>
      </c>
      <c r="E72" s="9" t="str">
        <f>HYPERLINK("https://twitter.com/PaladinFelix/status/1353832391270408193","1353832391270408193")</f>
        <v>1353832391270408193</v>
      </c>
      <c r="F72" s="11" t="s">
        <v>443</v>
      </c>
      <c r="G72" s="11" t="s">
        <v>444</v>
      </c>
      <c r="H72" s="12"/>
      <c r="I72" s="13">
        <v>0.0</v>
      </c>
      <c r="J72" s="13">
        <v>2.0</v>
      </c>
      <c r="K72" s="9" t="str">
        <f>HYPERLINK("https://mobile.twitter.com","Twitter Web App")</f>
        <v>Twitter Web App</v>
      </c>
      <c r="L72" s="14">
        <v>2743.0</v>
      </c>
      <c r="M72" s="14">
        <v>1474.0</v>
      </c>
      <c r="N72" s="14">
        <v>13.0</v>
      </c>
      <c r="O72" s="19"/>
      <c r="P72" s="16">
        <v>42098.25340277777</v>
      </c>
      <c r="Q72" s="12"/>
      <c r="R72" s="10" t="s">
        <v>445</v>
      </c>
      <c r="S72" s="12"/>
      <c r="T72" s="12"/>
      <c r="U72" s="17" t="str">
        <f>HYPERLINK("https://pbs.twimg.com/profile_images/1085316665699516416/0XwmWVVP.jpg","View")</f>
        <v>View</v>
      </c>
      <c r="V72" s="12"/>
      <c r="W72" s="12"/>
      <c r="X72" s="12"/>
      <c r="Y72" s="12"/>
      <c r="Z72" s="12"/>
    </row>
    <row r="73">
      <c r="A73" s="8">
        <v>44221.66972222222</v>
      </c>
      <c r="B73" s="9" t="str">
        <f>HYPERLINK("https://twitter.com/LuisOPiza","@LuisOPiza")</f>
        <v>@LuisOPiza</v>
      </c>
      <c r="C73" s="10" t="s">
        <v>446</v>
      </c>
      <c r="D73" s="10" t="s">
        <v>447</v>
      </c>
      <c r="E73" s="9" t="str">
        <f>HYPERLINK("https://twitter.com/LuisOPiza/status/1353826076661870592","1353826076661870592")</f>
        <v>1353826076661870592</v>
      </c>
      <c r="F73" s="11" t="s">
        <v>448</v>
      </c>
      <c r="G73" s="11" t="s">
        <v>449</v>
      </c>
      <c r="H73" s="12"/>
      <c r="I73" s="13">
        <v>5.0</v>
      </c>
      <c r="J73" s="13">
        <v>9.0</v>
      </c>
      <c r="K73" s="9" t="str">
        <f>HYPERLINK("http://twitter.com/download/android","Twitter for Android")</f>
        <v>Twitter for Android</v>
      </c>
      <c r="L73" s="14">
        <v>465.0</v>
      </c>
      <c r="M73" s="14">
        <v>2790.0</v>
      </c>
      <c r="N73" s="14">
        <v>0.0</v>
      </c>
      <c r="O73" s="19"/>
      <c r="P73" s="16">
        <v>41636.73778935185</v>
      </c>
      <c r="Q73" s="12"/>
      <c r="R73" s="10" t="s">
        <v>450</v>
      </c>
      <c r="S73" s="12"/>
      <c r="T73" s="12"/>
      <c r="U73" s="17" t="str">
        <f>HYPERLINK("https://pbs.twimg.com/profile_images/1347924292898611200/6CE6mGeQ.jpg","View")</f>
        <v>View</v>
      </c>
      <c r="V73" s="12"/>
      <c r="W73" s="12"/>
      <c r="X73" s="12"/>
      <c r="Y73" s="12"/>
      <c r="Z73" s="12"/>
    </row>
    <row r="74">
      <c r="A74" s="8">
        <v>44221.65954861111</v>
      </c>
      <c r="B74" s="9" t="str">
        <f>HYPERLINK("https://twitter.com/betostream","@betostream")</f>
        <v>@betostream</v>
      </c>
      <c r="C74" s="10" t="s">
        <v>451</v>
      </c>
      <c r="D74" s="10" t="s">
        <v>452</v>
      </c>
      <c r="E74" s="9" t="str">
        <f>HYPERLINK("https://twitter.com/betostream/status/1353822392762691585","1353822392762691585")</f>
        <v>1353822392762691585</v>
      </c>
      <c r="F74" s="12"/>
      <c r="G74" s="11" t="s">
        <v>453</v>
      </c>
      <c r="H74" s="12"/>
      <c r="I74" s="13">
        <v>24.0</v>
      </c>
      <c r="J74" s="13">
        <v>22.0</v>
      </c>
      <c r="K74" s="9" t="str">
        <f>HYPERLINK("https://mobile.twitter.com","Twitter Web App")</f>
        <v>Twitter Web App</v>
      </c>
      <c r="L74" s="14">
        <v>1226.0</v>
      </c>
      <c r="M74" s="14">
        <v>5001.0</v>
      </c>
      <c r="N74" s="14">
        <v>0.0</v>
      </c>
      <c r="O74" s="19"/>
      <c r="P74" s="16">
        <v>40711.05679398148</v>
      </c>
      <c r="Q74" s="10" t="s">
        <v>454</v>
      </c>
      <c r="R74" s="10" t="s">
        <v>455</v>
      </c>
      <c r="S74" s="12"/>
      <c r="T74" s="12"/>
      <c r="U74" s="17" t="str">
        <f>HYPERLINK("https://pbs.twimg.com/profile_images/1248731760009129986/61qDeJmB.jpg","View")</f>
        <v>View</v>
      </c>
      <c r="V74" s="12"/>
      <c r="W74" s="12"/>
      <c r="X74" s="12"/>
      <c r="Y74" s="12"/>
      <c r="Z74" s="12"/>
    </row>
    <row r="75">
      <c r="A75" s="8">
        <v>44221.61591435185</v>
      </c>
      <c r="B75" s="9" t="str">
        <f t="shared" ref="B75:B76" si="22">HYPERLINK("https://twitter.com/telediario","@telediario")</f>
        <v>@telediario</v>
      </c>
      <c r="C75" s="10" t="s">
        <v>220</v>
      </c>
      <c r="D75" s="10" t="s">
        <v>456</v>
      </c>
      <c r="E75" s="9" t="str">
        <f>HYPERLINK("https://twitter.com/telediario/status/1353806578869268481","1353806578869268481")</f>
        <v>1353806578869268481</v>
      </c>
      <c r="F75" s="11" t="s">
        <v>222</v>
      </c>
      <c r="G75" s="11" t="s">
        <v>457</v>
      </c>
      <c r="H75" s="12"/>
      <c r="I75" s="13">
        <v>2.0</v>
      </c>
      <c r="J75" s="13">
        <v>9.0</v>
      </c>
      <c r="K75" s="9" t="str">
        <f t="shared" ref="K75:K76" si="23">HYPERLINK("https://www.twitter.com/","Twitter Media Studio - LiveCut")</f>
        <v>Twitter Media Studio - LiveCut</v>
      </c>
      <c r="L75" s="14">
        <v>69192.0</v>
      </c>
      <c r="M75" s="14">
        <v>847.0</v>
      </c>
      <c r="N75" s="14">
        <v>211.0</v>
      </c>
      <c r="O75" s="15" t="s">
        <v>24</v>
      </c>
      <c r="P75" s="16">
        <v>42969.728472222225</v>
      </c>
      <c r="Q75" s="10" t="s">
        <v>224</v>
      </c>
      <c r="R75" s="10" t="s">
        <v>225</v>
      </c>
      <c r="S75" s="11" t="s">
        <v>226</v>
      </c>
      <c r="T75" s="12"/>
      <c r="U75" s="17" t="str">
        <f t="shared" ref="U75:U76" si="24">HYPERLINK("https://pbs.twimg.com/profile_images/1145715977402892288/hHrrLHGv.png","View")</f>
        <v>View</v>
      </c>
      <c r="V75" s="12"/>
      <c r="W75" s="12"/>
      <c r="X75" s="12"/>
      <c r="Y75" s="12"/>
      <c r="Z75" s="12"/>
    </row>
    <row r="76">
      <c r="A76" s="8">
        <v>44221.614537037036</v>
      </c>
      <c r="B76" s="9" t="str">
        <f t="shared" si="22"/>
        <v>@telediario</v>
      </c>
      <c r="C76" s="10" t="s">
        <v>220</v>
      </c>
      <c r="D76" s="10" t="s">
        <v>458</v>
      </c>
      <c r="E76" s="9" t="str">
        <f>HYPERLINK("https://twitter.com/telediario/status/1353806078321041408","1353806078321041408")</f>
        <v>1353806078321041408</v>
      </c>
      <c r="F76" s="11" t="s">
        <v>222</v>
      </c>
      <c r="G76" s="11" t="s">
        <v>459</v>
      </c>
      <c r="H76" s="12"/>
      <c r="I76" s="13">
        <v>1.0</v>
      </c>
      <c r="J76" s="13">
        <v>5.0</v>
      </c>
      <c r="K76" s="9" t="str">
        <f t="shared" si="23"/>
        <v>Twitter Media Studio - LiveCut</v>
      </c>
      <c r="L76" s="14">
        <v>69192.0</v>
      </c>
      <c r="M76" s="14">
        <v>847.0</v>
      </c>
      <c r="N76" s="14">
        <v>211.0</v>
      </c>
      <c r="O76" s="15" t="s">
        <v>24</v>
      </c>
      <c r="P76" s="16">
        <v>42969.728472222225</v>
      </c>
      <c r="Q76" s="10" t="s">
        <v>224</v>
      </c>
      <c r="R76" s="10" t="s">
        <v>225</v>
      </c>
      <c r="S76" s="11" t="s">
        <v>226</v>
      </c>
      <c r="T76" s="12"/>
      <c r="U76" s="17" t="str">
        <f t="shared" si="24"/>
        <v>View</v>
      </c>
      <c r="V76" s="12"/>
      <c r="W76" s="12"/>
      <c r="X76" s="12"/>
      <c r="Y76" s="12"/>
      <c r="Z76" s="12"/>
    </row>
    <row r="77">
      <c r="A77" s="8">
        <v>44221.60582175926</v>
      </c>
      <c r="B77" s="9" t="str">
        <f>HYPERLINK("https://twitter.com/OfeliaVazquezR","@OfeliaVazquezR")</f>
        <v>@OfeliaVazquezR</v>
      </c>
      <c r="C77" s="10" t="s">
        <v>460</v>
      </c>
      <c r="D77" s="10" t="s">
        <v>461</v>
      </c>
      <c r="E77" s="9" t="str">
        <f>HYPERLINK("https://twitter.com/OfeliaVazquezR/status/1353802923025731584","1353802923025731584")</f>
        <v>1353802923025731584</v>
      </c>
      <c r="F77" s="11" t="s">
        <v>462</v>
      </c>
      <c r="G77" s="11" t="s">
        <v>463</v>
      </c>
      <c r="H77" s="12"/>
      <c r="I77" s="13">
        <v>2.0</v>
      </c>
      <c r="J77" s="13">
        <v>3.0</v>
      </c>
      <c r="K77" s="9" t="str">
        <f>HYPERLINK("http://twitter.com/download/android","Twitter for Android")</f>
        <v>Twitter for Android</v>
      </c>
      <c r="L77" s="14">
        <v>800.0</v>
      </c>
      <c r="M77" s="14">
        <v>2620.0</v>
      </c>
      <c r="N77" s="14">
        <v>3.0</v>
      </c>
      <c r="O77" s="19"/>
      <c r="P77" s="16">
        <v>40464.06733796296</v>
      </c>
      <c r="Q77" s="10" t="s">
        <v>464</v>
      </c>
      <c r="R77" s="10" t="s">
        <v>465</v>
      </c>
      <c r="S77" s="12"/>
      <c r="T77" s="12"/>
      <c r="U77" s="17" t="str">
        <f>HYPERLINK("https://pbs.twimg.com/profile_images/378800000441857060/5ab31e9dbf9c748135fd827cb7e95ea4.jpeg","View")</f>
        <v>View</v>
      </c>
      <c r="V77" s="12"/>
      <c r="W77" s="12"/>
      <c r="X77" s="12"/>
      <c r="Y77" s="12"/>
      <c r="Z77" s="12"/>
    </row>
    <row r="78">
      <c r="A78" s="8">
        <v>44221.6021875</v>
      </c>
      <c r="B78" s="9" t="str">
        <f t="shared" ref="B78:B81" si="25">HYPERLINK("https://twitter.com/telediario","@telediario")</f>
        <v>@telediario</v>
      </c>
      <c r="C78" s="10" t="s">
        <v>220</v>
      </c>
      <c r="D78" s="10" t="s">
        <v>466</v>
      </c>
      <c r="E78" s="9" t="str">
        <f>HYPERLINK("https://twitter.com/telediario/status/1353801604999356417","1353801604999356417")</f>
        <v>1353801604999356417</v>
      </c>
      <c r="F78" s="11" t="s">
        <v>222</v>
      </c>
      <c r="G78" s="11" t="s">
        <v>467</v>
      </c>
      <c r="H78" s="12"/>
      <c r="I78" s="13">
        <v>0.0</v>
      </c>
      <c r="J78" s="13">
        <v>7.0</v>
      </c>
      <c r="K78" s="9" t="str">
        <f t="shared" ref="K78:K81" si="26">HYPERLINK("https://www.twitter.com/","Twitter Media Studio - LiveCut")</f>
        <v>Twitter Media Studio - LiveCut</v>
      </c>
      <c r="L78" s="14">
        <v>69192.0</v>
      </c>
      <c r="M78" s="14">
        <v>847.0</v>
      </c>
      <c r="N78" s="14">
        <v>211.0</v>
      </c>
      <c r="O78" s="15" t="s">
        <v>24</v>
      </c>
      <c r="P78" s="16">
        <v>42969.728472222225</v>
      </c>
      <c r="Q78" s="10" t="s">
        <v>224</v>
      </c>
      <c r="R78" s="10" t="s">
        <v>225</v>
      </c>
      <c r="S78" s="11" t="s">
        <v>226</v>
      </c>
      <c r="T78" s="12"/>
      <c r="U78" s="17" t="str">
        <f t="shared" ref="U78:U81" si="27">HYPERLINK("https://pbs.twimg.com/profile_images/1145715977402892288/hHrrLHGv.png","View")</f>
        <v>View</v>
      </c>
      <c r="V78" s="12"/>
      <c r="W78" s="12"/>
      <c r="X78" s="12"/>
      <c r="Y78" s="12"/>
      <c r="Z78" s="12"/>
    </row>
    <row r="79">
      <c r="A79" s="8">
        <v>44221.597280092596</v>
      </c>
      <c r="B79" s="9" t="str">
        <f t="shared" si="25"/>
        <v>@telediario</v>
      </c>
      <c r="C79" s="10" t="s">
        <v>220</v>
      </c>
      <c r="D79" s="10" t="s">
        <v>468</v>
      </c>
      <c r="E79" s="9" t="str">
        <f>HYPERLINK("https://twitter.com/telediario/status/1353799824869625856","1353799824869625856")</f>
        <v>1353799824869625856</v>
      </c>
      <c r="F79" s="11" t="s">
        <v>222</v>
      </c>
      <c r="G79" s="11" t="s">
        <v>469</v>
      </c>
      <c r="H79" s="12"/>
      <c r="I79" s="13">
        <v>0.0</v>
      </c>
      <c r="J79" s="13">
        <v>8.0</v>
      </c>
      <c r="K79" s="9" t="str">
        <f t="shared" si="26"/>
        <v>Twitter Media Studio - LiveCut</v>
      </c>
      <c r="L79" s="14">
        <v>69192.0</v>
      </c>
      <c r="M79" s="14">
        <v>847.0</v>
      </c>
      <c r="N79" s="14">
        <v>211.0</v>
      </c>
      <c r="O79" s="15" t="s">
        <v>24</v>
      </c>
      <c r="P79" s="16">
        <v>42969.728472222225</v>
      </c>
      <c r="Q79" s="10" t="s">
        <v>224</v>
      </c>
      <c r="R79" s="10" t="s">
        <v>225</v>
      </c>
      <c r="S79" s="11" t="s">
        <v>226</v>
      </c>
      <c r="T79" s="12"/>
      <c r="U79" s="17" t="str">
        <f t="shared" si="27"/>
        <v>View</v>
      </c>
      <c r="V79" s="12"/>
      <c r="W79" s="12"/>
      <c r="X79" s="12"/>
      <c r="Y79" s="12"/>
      <c r="Z79" s="12"/>
    </row>
    <row r="80">
      <c r="A80" s="8">
        <v>44221.593553240746</v>
      </c>
      <c r="B80" s="9" t="str">
        <f t="shared" si="25"/>
        <v>@telediario</v>
      </c>
      <c r="C80" s="10" t="s">
        <v>220</v>
      </c>
      <c r="D80" s="10" t="s">
        <v>470</v>
      </c>
      <c r="E80" s="9" t="str">
        <f>HYPERLINK("https://twitter.com/telediario/status/1353798474760925184","1353798474760925184")</f>
        <v>1353798474760925184</v>
      </c>
      <c r="F80" s="11" t="s">
        <v>222</v>
      </c>
      <c r="G80" s="11" t="s">
        <v>471</v>
      </c>
      <c r="H80" s="12"/>
      <c r="I80" s="13">
        <v>1.0</v>
      </c>
      <c r="J80" s="13">
        <v>19.0</v>
      </c>
      <c r="K80" s="9" t="str">
        <f t="shared" si="26"/>
        <v>Twitter Media Studio - LiveCut</v>
      </c>
      <c r="L80" s="14">
        <v>69192.0</v>
      </c>
      <c r="M80" s="14">
        <v>847.0</v>
      </c>
      <c r="N80" s="14">
        <v>211.0</v>
      </c>
      <c r="O80" s="15" t="s">
        <v>24</v>
      </c>
      <c r="P80" s="16">
        <v>42969.728472222225</v>
      </c>
      <c r="Q80" s="10" t="s">
        <v>224</v>
      </c>
      <c r="R80" s="10" t="s">
        <v>225</v>
      </c>
      <c r="S80" s="11" t="s">
        <v>226</v>
      </c>
      <c r="T80" s="12"/>
      <c r="U80" s="17" t="str">
        <f t="shared" si="27"/>
        <v>View</v>
      </c>
      <c r="V80" s="12"/>
      <c r="W80" s="12"/>
      <c r="X80" s="12"/>
      <c r="Y80" s="12"/>
      <c r="Z80" s="12"/>
    </row>
    <row r="81">
      <c r="A81" s="8">
        <v>44221.59318287037</v>
      </c>
      <c r="B81" s="9" t="str">
        <f t="shared" si="25"/>
        <v>@telediario</v>
      </c>
      <c r="C81" s="10" t="s">
        <v>220</v>
      </c>
      <c r="D81" s="10" t="s">
        <v>472</v>
      </c>
      <c r="E81" s="9" t="str">
        <f>HYPERLINK("https://twitter.com/telediario/status/1353798339708542976","1353798339708542976")</f>
        <v>1353798339708542976</v>
      </c>
      <c r="F81" s="11" t="s">
        <v>222</v>
      </c>
      <c r="G81" s="11" t="s">
        <v>473</v>
      </c>
      <c r="H81" s="12"/>
      <c r="I81" s="13">
        <v>3.0</v>
      </c>
      <c r="J81" s="13">
        <v>14.0</v>
      </c>
      <c r="K81" s="9" t="str">
        <f t="shared" si="26"/>
        <v>Twitter Media Studio - LiveCut</v>
      </c>
      <c r="L81" s="14">
        <v>69192.0</v>
      </c>
      <c r="M81" s="14">
        <v>847.0</v>
      </c>
      <c r="N81" s="14">
        <v>211.0</v>
      </c>
      <c r="O81" s="15" t="s">
        <v>24</v>
      </c>
      <c r="P81" s="16">
        <v>42969.728472222225</v>
      </c>
      <c r="Q81" s="10" t="s">
        <v>224</v>
      </c>
      <c r="R81" s="10" t="s">
        <v>225</v>
      </c>
      <c r="S81" s="11" t="s">
        <v>226</v>
      </c>
      <c r="T81" s="12"/>
      <c r="U81" s="17" t="str">
        <f t="shared" si="27"/>
        <v>View</v>
      </c>
      <c r="V81" s="12"/>
      <c r="W81" s="12"/>
      <c r="X81" s="12"/>
      <c r="Y81" s="12"/>
      <c r="Z81" s="12"/>
    </row>
    <row r="82">
      <c r="A82" s="8">
        <v>44221.583078703705</v>
      </c>
      <c r="B82" s="9" t="str">
        <f>HYPERLINK("https://twitter.com/laurivme","@laurivme")</f>
        <v>@laurivme</v>
      </c>
      <c r="C82" s="10" t="s">
        <v>474</v>
      </c>
      <c r="D82" s="10" t="s">
        <v>475</v>
      </c>
      <c r="E82" s="9" t="str">
        <f>HYPERLINK("https://twitter.com/laurivme/status/1353794677493751809","1353794677493751809")</f>
        <v>1353794677493751809</v>
      </c>
      <c r="F82" s="10" t="s">
        <v>476</v>
      </c>
      <c r="G82" s="11" t="s">
        <v>477</v>
      </c>
      <c r="H82" s="12"/>
      <c r="I82" s="13">
        <v>0.0</v>
      </c>
      <c r="J82" s="13">
        <v>0.0</v>
      </c>
      <c r="K82" s="9" t="str">
        <f>HYPERLINK("http://twitter.com/download/iphone","Twitter for iPhone")</f>
        <v>Twitter for iPhone</v>
      </c>
      <c r="L82" s="14">
        <v>1003.0</v>
      </c>
      <c r="M82" s="14">
        <v>1395.0</v>
      </c>
      <c r="N82" s="14">
        <v>27.0</v>
      </c>
      <c r="O82" s="19"/>
      <c r="P82" s="16">
        <v>40710.43399305556</v>
      </c>
      <c r="Q82" s="10" t="s">
        <v>478</v>
      </c>
      <c r="R82" s="10" t="s">
        <v>479</v>
      </c>
      <c r="S82" s="12"/>
      <c r="T82" s="12"/>
      <c r="U82" s="17" t="str">
        <f>HYPERLINK("https://pbs.twimg.com/profile_images/1339003660970291201/XCWW4XJg.jpg","View")</f>
        <v>View</v>
      </c>
      <c r="V82" s="12"/>
      <c r="W82" s="12"/>
      <c r="X82" s="12"/>
      <c r="Y82" s="12"/>
      <c r="Z82" s="12"/>
    </row>
    <row r="83">
      <c r="A83" s="8">
        <v>44221.572476851856</v>
      </c>
      <c r="B83" s="9" t="str">
        <f t="shared" ref="B83:B84" si="28">HYPERLINK("https://twitter.com/telediario","@telediario")</f>
        <v>@telediario</v>
      </c>
      <c r="C83" s="10" t="s">
        <v>220</v>
      </c>
      <c r="D83" s="10" t="s">
        <v>480</v>
      </c>
      <c r="E83" s="9" t="str">
        <f>HYPERLINK("https://twitter.com/telediario/status/1353790838720094209","1353790838720094209")</f>
        <v>1353790838720094209</v>
      </c>
      <c r="F83" s="11" t="s">
        <v>222</v>
      </c>
      <c r="G83" s="11" t="s">
        <v>481</v>
      </c>
      <c r="H83" s="12"/>
      <c r="I83" s="13">
        <v>3.0</v>
      </c>
      <c r="J83" s="13">
        <v>23.0</v>
      </c>
      <c r="K83" s="9" t="str">
        <f t="shared" ref="K83:K84" si="29">HYPERLINK("https://www.twitter.com/","Twitter Media Studio - LiveCut")</f>
        <v>Twitter Media Studio - LiveCut</v>
      </c>
      <c r="L83" s="14">
        <v>69192.0</v>
      </c>
      <c r="M83" s="14">
        <v>847.0</v>
      </c>
      <c r="N83" s="14">
        <v>211.0</v>
      </c>
      <c r="O83" s="15" t="s">
        <v>24</v>
      </c>
      <c r="P83" s="16">
        <v>42969.728472222225</v>
      </c>
      <c r="Q83" s="10" t="s">
        <v>224</v>
      </c>
      <c r="R83" s="10" t="s">
        <v>225</v>
      </c>
      <c r="S83" s="11" t="s">
        <v>226</v>
      </c>
      <c r="T83" s="12"/>
      <c r="U83" s="17" t="str">
        <f t="shared" ref="U83:U84" si="30">HYPERLINK("https://pbs.twimg.com/profile_images/1145715977402892288/hHrrLHGv.png","View")</f>
        <v>View</v>
      </c>
      <c r="V83" s="12"/>
      <c r="W83" s="12"/>
      <c r="X83" s="12"/>
      <c r="Y83" s="12"/>
      <c r="Z83" s="12"/>
    </row>
    <row r="84">
      <c r="A84" s="8">
        <v>44221.56837962963</v>
      </c>
      <c r="B84" s="9" t="str">
        <f t="shared" si="28"/>
        <v>@telediario</v>
      </c>
      <c r="C84" s="10" t="s">
        <v>220</v>
      </c>
      <c r="D84" s="10" t="s">
        <v>482</v>
      </c>
      <c r="E84" s="9" t="str">
        <f>HYPERLINK("https://twitter.com/telediario/status/1353789354020364290","1353789354020364290")</f>
        <v>1353789354020364290</v>
      </c>
      <c r="F84" s="11" t="s">
        <v>222</v>
      </c>
      <c r="G84" s="11" t="s">
        <v>483</v>
      </c>
      <c r="H84" s="12"/>
      <c r="I84" s="13">
        <v>5.0</v>
      </c>
      <c r="J84" s="13">
        <v>33.0</v>
      </c>
      <c r="K84" s="9" t="str">
        <f t="shared" si="29"/>
        <v>Twitter Media Studio - LiveCut</v>
      </c>
      <c r="L84" s="14">
        <v>69192.0</v>
      </c>
      <c r="M84" s="14">
        <v>847.0</v>
      </c>
      <c r="N84" s="14">
        <v>211.0</v>
      </c>
      <c r="O84" s="15" t="s">
        <v>24</v>
      </c>
      <c r="P84" s="16">
        <v>42969.728472222225</v>
      </c>
      <c r="Q84" s="10" t="s">
        <v>224</v>
      </c>
      <c r="R84" s="10" t="s">
        <v>225</v>
      </c>
      <c r="S84" s="11" t="s">
        <v>226</v>
      </c>
      <c r="T84" s="12"/>
      <c r="U84" s="17" t="str">
        <f t="shared" si="30"/>
        <v>View</v>
      </c>
      <c r="V84" s="12"/>
      <c r="W84" s="12"/>
      <c r="X84" s="12"/>
      <c r="Y84" s="12"/>
      <c r="Z84" s="12"/>
    </row>
    <row r="85">
      <c r="A85" s="8">
        <v>44221.56599537037</v>
      </c>
      <c r="B85" s="9" t="str">
        <f>HYPERLINK("https://twitter.com/rogerayalar","@rogerayalar")</f>
        <v>@rogerayalar</v>
      </c>
      <c r="C85" s="10" t="s">
        <v>484</v>
      </c>
      <c r="D85" s="10" t="s">
        <v>485</v>
      </c>
      <c r="E85" s="9" t="str">
        <f>HYPERLINK("https://twitter.com/rogerayalar/status/1353788487313612800","1353788487313612800")</f>
        <v>1353788487313612800</v>
      </c>
      <c r="F85" s="12"/>
      <c r="G85" s="12"/>
      <c r="H85" s="12"/>
      <c r="I85" s="13">
        <v>0.0</v>
      </c>
      <c r="J85" s="13">
        <v>0.0</v>
      </c>
      <c r="K85" s="9" t="str">
        <f>HYPERLINK("http://twitter.com/download/iphone","Twitter for iPhone")</f>
        <v>Twitter for iPhone</v>
      </c>
      <c r="L85" s="14">
        <v>746.0</v>
      </c>
      <c r="M85" s="14">
        <v>1402.0</v>
      </c>
      <c r="N85" s="14">
        <v>20.0</v>
      </c>
      <c r="O85" s="19"/>
      <c r="P85" s="16">
        <v>39899.537777777776</v>
      </c>
      <c r="Q85" s="10" t="s">
        <v>486</v>
      </c>
      <c r="R85" s="10" t="s">
        <v>487</v>
      </c>
      <c r="S85" s="11" t="s">
        <v>488</v>
      </c>
      <c r="T85" s="12"/>
      <c r="U85" s="17" t="str">
        <f>HYPERLINK("https://pbs.twimg.com/profile_images/1304166636002381824/PoYbkUDa.jpg","View")</f>
        <v>View</v>
      </c>
      <c r="V85" s="12"/>
      <c r="W85" s="12"/>
      <c r="X85" s="12"/>
      <c r="Y85" s="12"/>
      <c r="Z85" s="12"/>
    </row>
    <row r="86">
      <c r="A86" s="8">
        <v>44221.56452546296</v>
      </c>
      <c r="B86" s="9" t="str">
        <f t="shared" ref="B86:B90" si="31">HYPERLINK("https://twitter.com/telediario","@telediario")</f>
        <v>@telediario</v>
      </c>
      <c r="C86" s="10" t="s">
        <v>220</v>
      </c>
      <c r="D86" s="10" t="s">
        <v>489</v>
      </c>
      <c r="E86" s="9" t="str">
        <f>HYPERLINK("https://twitter.com/telediario/status/1353787956700573697","1353787956700573697")</f>
        <v>1353787956700573697</v>
      </c>
      <c r="F86" s="11" t="s">
        <v>222</v>
      </c>
      <c r="G86" s="11" t="s">
        <v>490</v>
      </c>
      <c r="H86" s="12"/>
      <c r="I86" s="13">
        <v>4.0</v>
      </c>
      <c r="J86" s="13">
        <v>14.0</v>
      </c>
      <c r="K86" s="9" t="str">
        <f t="shared" ref="K86:K90" si="32">HYPERLINK("https://www.twitter.com/","Twitter Media Studio - LiveCut")</f>
        <v>Twitter Media Studio - LiveCut</v>
      </c>
      <c r="L86" s="14">
        <v>69192.0</v>
      </c>
      <c r="M86" s="14">
        <v>847.0</v>
      </c>
      <c r="N86" s="14">
        <v>211.0</v>
      </c>
      <c r="O86" s="15" t="s">
        <v>24</v>
      </c>
      <c r="P86" s="16">
        <v>42969.728472222225</v>
      </c>
      <c r="Q86" s="10" t="s">
        <v>224</v>
      </c>
      <c r="R86" s="10" t="s">
        <v>225</v>
      </c>
      <c r="S86" s="11" t="s">
        <v>226</v>
      </c>
      <c r="T86" s="12"/>
      <c r="U86" s="17" t="str">
        <f t="shared" ref="U86:U90" si="33">HYPERLINK("https://pbs.twimg.com/profile_images/1145715977402892288/hHrrLHGv.png","View")</f>
        <v>View</v>
      </c>
      <c r="V86" s="12"/>
      <c r="W86" s="12"/>
      <c r="X86" s="12"/>
      <c r="Y86" s="12"/>
      <c r="Z86" s="12"/>
    </row>
    <row r="87">
      <c r="A87" s="8">
        <v>44221.56259259259</v>
      </c>
      <c r="B87" s="9" t="str">
        <f t="shared" si="31"/>
        <v>@telediario</v>
      </c>
      <c r="C87" s="10" t="s">
        <v>220</v>
      </c>
      <c r="D87" s="10" t="s">
        <v>491</v>
      </c>
      <c r="E87" s="9" t="str">
        <f>HYPERLINK("https://twitter.com/telediario/status/1353787256729952259","1353787256729952259")</f>
        <v>1353787256729952259</v>
      </c>
      <c r="F87" s="11" t="s">
        <v>222</v>
      </c>
      <c r="G87" s="11" t="s">
        <v>492</v>
      </c>
      <c r="H87" s="12"/>
      <c r="I87" s="13">
        <v>4.0</v>
      </c>
      <c r="J87" s="13">
        <v>12.0</v>
      </c>
      <c r="K87" s="9" t="str">
        <f t="shared" si="32"/>
        <v>Twitter Media Studio - LiveCut</v>
      </c>
      <c r="L87" s="14">
        <v>69192.0</v>
      </c>
      <c r="M87" s="14">
        <v>847.0</v>
      </c>
      <c r="N87" s="14">
        <v>211.0</v>
      </c>
      <c r="O87" s="15" t="s">
        <v>24</v>
      </c>
      <c r="P87" s="16">
        <v>42969.728472222225</v>
      </c>
      <c r="Q87" s="10" t="s">
        <v>224</v>
      </c>
      <c r="R87" s="10" t="s">
        <v>225</v>
      </c>
      <c r="S87" s="11" t="s">
        <v>226</v>
      </c>
      <c r="T87" s="12"/>
      <c r="U87" s="17" t="str">
        <f t="shared" si="33"/>
        <v>View</v>
      </c>
      <c r="V87" s="12"/>
      <c r="W87" s="12"/>
      <c r="X87" s="12"/>
      <c r="Y87" s="12"/>
      <c r="Z87" s="12"/>
    </row>
    <row r="88">
      <c r="A88" s="8">
        <v>44221.55913194444</v>
      </c>
      <c r="B88" s="9" t="str">
        <f t="shared" si="31"/>
        <v>@telediario</v>
      </c>
      <c r="C88" s="10" t="s">
        <v>220</v>
      </c>
      <c r="D88" s="10" t="s">
        <v>493</v>
      </c>
      <c r="E88" s="9" t="str">
        <f>HYPERLINK("https://twitter.com/telediario/status/1353786000523354113","1353786000523354113")</f>
        <v>1353786000523354113</v>
      </c>
      <c r="F88" s="11" t="s">
        <v>222</v>
      </c>
      <c r="G88" s="11" t="s">
        <v>494</v>
      </c>
      <c r="H88" s="12"/>
      <c r="I88" s="13">
        <v>2.0</v>
      </c>
      <c r="J88" s="13">
        <v>11.0</v>
      </c>
      <c r="K88" s="9" t="str">
        <f t="shared" si="32"/>
        <v>Twitter Media Studio - LiveCut</v>
      </c>
      <c r="L88" s="14">
        <v>69192.0</v>
      </c>
      <c r="M88" s="14">
        <v>847.0</v>
      </c>
      <c r="N88" s="14">
        <v>211.0</v>
      </c>
      <c r="O88" s="15" t="s">
        <v>24</v>
      </c>
      <c r="P88" s="16">
        <v>42969.728472222225</v>
      </c>
      <c r="Q88" s="10" t="s">
        <v>224</v>
      </c>
      <c r="R88" s="10" t="s">
        <v>225</v>
      </c>
      <c r="S88" s="11" t="s">
        <v>226</v>
      </c>
      <c r="T88" s="12"/>
      <c r="U88" s="17" t="str">
        <f t="shared" si="33"/>
        <v>View</v>
      </c>
      <c r="V88" s="12"/>
      <c r="W88" s="12"/>
      <c r="X88" s="12"/>
      <c r="Y88" s="12"/>
      <c r="Z88" s="12"/>
    </row>
    <row r="89">
      <c r="A89" s="8">
        <v>44221.557222222225</v>
      </c>
      <c r="B89" s="9" t="str">
        <f t="shared" si="31"/>
        <v>@telediario</v>
      </c>
      <c r="C89" s="10" t="s">
        <v>220</v>
      </c>
      <c r="D89" s="10" t="s">
        <v>495</v>
      </c>
      <c r="E89" s="9" t="str">
        <f>HYPERLINK("https://twitter.com/telediario/status/1353785308324765696","1353785308324765696")</f>
        <v>1353785308324765696</v>
      </c>
      <c r="F89" s="11" t="s">
        <v>222</v>
      </c>
      <c r="G89" s="11" t="s">
        <v>496</v>
      </c>
      <c r="H89" s="12"/>
      <c r="I89" s="13">
        <v>5.0</v>
      </c>
      <c r="J89" s="13">
        <v>11.0</v>
      </c>
      <c r="K89" s="9" t="str">
        <f t="shared" si="32"/>
        <v>Twitter Media Studio - LiveCut</v>
      </c>
      <c r="L89" s="14">
        <v>69192.0</v>
      </c>
      <c r="M89" s="14">
        <v>847.0</v>
      </c>
      <c r="N89" s="14">
        <v>211.0</v>
      </c>
      <c r="O89" s="15" t="s">
        <v>24</v>
      </c>
      <c r="P89" s="16">
        <v>42969.728472222225</v>
      </c>
      <c r="Q89" s="10" t="s">
        <v>224</v>
      </c>
      <c r="R89" s="10" t="s">
        <v>225</v>
      </c>
      <c r="S89" s="11" t="s">
        <v>226</v>
      </c>
      <c r="T89" s="12"/>
      <c r="U89" s="17" t="str">
        <f t="shared" si="33"/>
        <v>View</v>
      </c>
      <c r="V89" s="12"/>
      <c r="W89" s="12"/>
      <c r="X89" s="12"/>
      <c r="Y89" s="12"/>
      <c r="Z89" s="12"/>
    </row>
    <row r="90">
      <c r="A90" s="8">
        <v>44221.547534722224</v>
      </c>
      <c r="B90" s="9" t="str">
        <f t="shared" si="31"/>
        <v>@telediario</v>
      </c>
      <c r="C90" s="10" t="s">
        <v>220</v>
      </c>
      <c r="D90" s="10" t="s">
        <v>497</v>
      </c>
      <c r="E90" s="9" t="str">
        <f>HYPERLINK("https://twitter.com/telediario/status/1353781799533600768","1353781799533600768")</f>
        <v>1353781799533600768</v>
      </c>
      <c r="F90" s="11" t="s">
        <v>222</v>
      </c>
      <c r="G90" s="11" t="s">
        <v>498</v>
      </c>
      <c r="H90" s="12"/>
      <c r="I90" s="13">
        <v>2.0</v>
      </c>
      <c r="J90" s="13">
        <v>12.0</v>
      </c>
      <c r="K90" s="9" t="str">
        <f t="shared" si="32"/>
        <v>Twitter Media Studio - LiveCut</v>
      </c>
      <c r="L90" s="14">
        <v>69192.0</v>
      </c>
      <c r="M90" s="14">
        <v>847.0</v>
      </c>
      <c r="N90" s="14">
        <v>211.0</v>
      </c>
      <c r="O90" s="15" t="s">
        <v>24</v>
      </c>
      <c r="P90" s="16">
        <v>42969.728472222225</v>
      </c>
      <c r="Q90" s="10" t="s">
        <v>224</v>
      </c>
      <c r="R90" s="10" t="s">
        <v>225</v>
      </c>
      <c r="S90" s="11" t="s">
        <v>226</v>
      </c>
      <c r="T90" s="12"/>
      <c r="U90" s="17" t="str">
        <f t="shared" si="33"/>
        <v>View</v>
      </c>
      <c r="V90" s="12"/>
      <c r="W90" s="12"/>
      <c r="X90" s="12"/>
      <c r="Y90" s="12"/>
      <c r="Z90" s="12"/>
    </row>
    <row r="91">
      <c r="A91" s="8">
        <v>44221.54045138889</v>
      </c>
      <c r="B91" s="9" t="str">
        <f>HYPERLINK("https://twitter.com/marcelino_77","@marcelino_77")</f>
        <v>@marcelino_77</v>
      </c>
      <c r="C91" s="10" t="s">
        <v>319</v>
      </c>
      <c r="D91" s="10" t="s">
        <v>499</v>
      </c>
      <c r="E91" s="9" t="str">
        <f>HYPERLINK("https://twitter.com/marcelino_77/status/1353779230484668418","1353779230484668418")</f>
        <v>1353779230484668418</v>
      </c>
      <c r="F91" s="11" t="s">
        <v>500</v>
      </c>
      <c r="G91" s="12"/>
      <c r="H91" s="12"/>
      <c r="I91" s="13">
        <v>0.0</v>
      </c>
      <c r="J91" s="13">
        <v>0.0</v>
      </c>
      <c r="K91" s="9" t="str">
        <f>HYPERLINK("http://twitter.com/download/android","Twitter for Android")</f>
        <v>Twitter for Android</v>
      </c>
      <c r="L91" s="14">
        <v>1050.0</v>
      </c>
      <c r="M91" s="14">
        <v>1862.0</v>
      </c>
      <c r="N91" s="14">
        <v>2.0</v>
      </c>
      <c r="O91" s="19"/>
      <c r="P91" s="16">
        <v>40825.87563657407</v>
      </c>
      <c r="Q91" s="12"/>
      <c r="R91" s="10" t="s">
        <v>323</v>
      </c>
      <c r="S91" s="12"/>
      <c r="T91" s="12"/>
      <c r="U91" s="17" t="str">
        <f>HYPERLINK("https://pbs.twimg.com/profile_images/1338694529856151554/5YQfB46X.jpg","View")</f>
        <v>View</v>
      </c>
      <c r="V91" s="12"/>
      <c r="W91" s="12"/>
      <c r="X91" s="12"/>
      <c r="Y91" s="12"/>
      <c r="Z91" s="12"/>
    </row>
    <row r="92">
      <c r="A92" s="8">
        <v>44221.537893518514</v>
      </c>
      <c r="B92" s="9" t="str">
        <f>HYPERLINK("https://twitter.com/suarezmoises","@suarezmoises")</f>
        <v>@suarezmoises</v>
      </c>
      <c r="C92" s="10" t="s">
        <v>501</v>
      </c>
      <c r="D92" s="10" t="s">
        <v>502</v>
      </c>
      <c r="E92" s="9" t="str">
        <f>HYPERLINK("https://twitter.com/suarezmoises/status/1353778303249866754","1353778303249866754")</f>
        <v>1353778303249866754</v>
      </c>
      <c r="F92" s="11" t="s">
        <v>503</v>
      </c>
      <c r="G92" s="12"/>
      <c r="H92" s="12"/>
      <c r="I92" s="13">
        <v>0.0</v>
      </c>
      <c r="J92" s="13">
        <v>0.0</v>
      </c>
      <c r="K92" s="9" t="str">
        <f t="shared" ref="K92:K94" si="34">HYPERLINK("http://twitter.com/download/iphone","Twitter for iPhone")</f>
        <v>Twitter for iPhone</v>
      </c>
      <c r="L92" s="14">
        <v>997.0</v>
      </c>
      <c r="M92" s="14">
        <v>1126.0</v>
      </c>
      <c r="N92" s="14">
        <v>15.0</v>
      </c>
      <c r="O92" s="19"/>
      <c r="P92" s="16">
        <v>39920.06447916667</v>
      </c>
      <c r="Q92" s="12"/>
      <c r="R92" s="11" t="s">
        <v>504</v>
      </c>
      <c r="S92" s="11" t="s">
        <v>504</v>
      </c>
      <c r="T92" s="12"/>
      <c r="U92" s="17" t="str">
        <f>HYPERLINK("https://pbs.twimg.com/profile_images/1281054134695755778/9WB1SUkB.jpg","View")</f>
        <v>View</v>
      </c>
      <c r="V92" s="12"/>
      <c r="W92" s="12"/>
      <c r="X92" s="12"/>
      <c r="Y92" s="12"/>
      <c r="Z92" s="12"/>
    </row>
    <row r="93">
      <c r="A93" s="8">
        <v>44221.46836805556</v>
      </c>
      <c r="B93" s="9" t="str">
        <f>HYPERLINK("https://twitter.com/janupi","@janupi")</f>
        <v>@janupi</v>
      </c>
      <c r="C93" s="10" t="s">
        <v>505</v>
      </c>
      <c r="D93" s="10" t="s">
        <v>506</v>
      </c>
      <c r="E93" s="9" t="str">
        <f>HYPERLINK("https://twitter.com/janupi/status/1353753109818986497","1353753109818986497")</f>
        <v>1353753109818986497</v>
      </c>
      <c r="F93" s="12"/>
      <c r="G93" s="11" t="s">
        <v>507</v>
      </c>
      <c r="H93" s="12"/>
      <c r="I93" s="13">
        <v>11.0</v>
      </c>
      <c r="J93" s="13">
        <v>57.0</v>
      </c>
      <c r="K93" s="9" t="str">
        <f t="shared" si="34"/>
        <v>Twitter for iPhone</v>
      </c>
      <c r="L93" s="14">
        <v>12415.0</v>
      </c>
      <c r="M93" s="14">
        <v>199.0</v>
      </c>
      <c r="N93" s="14">
        <v>140.0</v>
      </c>
      <c r="O93" s="15" t="s">
        <v>24</v>
      </c>
      <c r="P93" s="16">
        <v>40581.59413194445</v>
      </c>
      <c r="Q93" s="10" t="s">
        <v>508</v>
      </c>
      <c r="R93" s="10" t="s">
        <v>509</v>
      </c>
      <c r="S93" s="11" t="s">
        <v>96</v>
      </c>
      <c r="T93" s="12"/>
      <c r="U93" s="17" t="str">
        <f>HYPERLINK("https://pbs.twimg.com/profile_images/1251104954854641665/OwZkWeWO.jpg","View")</f>
        <v>View</v>
      </c>
      <c r="V93" s="12"/>
      <c r="W93" s="12"/>
      <c r="X93" s="12"/>
      <c r="Y93" s="12"/>
      <c r="Z93" s="12"/>
    </row>
    <row r="94">
      <c r="A94" s="8">
        <v>44221.416504629626</v>
      </c>
      <c r="B94" s="9" t="str">
        <f>HYPERLINK("https://twitter.com/roberto_snts","@roberto_snts")</f>
        <v>@roberto_snts</v>
      </c>
      <c r="C94" s="10" t="s">
        <v>510</v>
      </c>
      <c r="D94" s="10" t="s">
        <v>511</v>
      </c>
      <c r="E94" s="9" t="str">
        <f>HYPERLINK("https://twitter.com/roberto_snts/status/1353734315788685313","1353734315788685313")</f>
        <v>1353734315788685313</v>
      </c>
      <c r="F94" s="12"/>
      <c r="G94" s="12"/>
      <c r="H94" s="12"/>
      <c r="I94" s="13">
        <v>0.0</v>
      </c>
      <c r="J94" s="13">
        <v>4.0</v>
      </c>
      <c r="K94" s="9" t="str">
        <f t="shared" si="34"/>
        <v>Twitter for iPhone</v>
      </c>
      <c r="L94" s="14">
        <v>1940.0</v>
      </c>
      <c r="M94" s="14">
        <v>1209.0</v>
      </c>
      <c r="N94" s="14">
        <v>6.0</v>
      </c>
      <c r="O94" s="19"/>
      <c r="P94" s="16">
        <v>39918.89871527778</v>
      </c>
      <c r="Q94" s="12"/>
      <c r="R94" s="10" t="s">
        <v>512</v>
      </c>
      <c r="S94" s="12"/>
      <c r="T94" s="12"/>
      <c r="U94" s="17" t="str">
        <f>HYPERLINK("https://pbs.twimg.com/profile_images/1342576043132137476/Cb9HvwX7.jpg","View")</f>
        <v>View</v>
      </c>
      <c r="V94" s="12"/>
      <c r="W94" s="12"/>
      <c r="X94" s="12"/>
      <c r="Y94" s="12"/>
      <c r="Z94" s="12"/>
    </row>
    <row r="95">
      <c r="A95" s="8">
        <v>44221.40427083333</v>
      </c>
      <c r="B95" s="9" t="str">
        <f>HYPERLINK("https://twitter.com/Alex83054319","@Alex83054319")</f>
        <v>@Alex83054319</v>
      </c>
      <c r="C95" s="10" t="s">
        <v>513</v>
      </c>
      <c r="D95" s="10" t="s">
        <v>514</v>
      </c>
      <c r="E95" s="9" t="str">
        <f>HYPERLINK("https://twitter.com/Alex83054319/status/1353729882711347200","1353729882711347200")</f>
        <v>1353729882711347200</v>
      </c>
      <c r="F95" s="12"/>
      <c r="G95" s="11" t="s">
        <v>515</v>
      </c>
      <c r="H95" s="12"/>
      <c r="I95" s="13">
        <v>0.0</v>
      </c>
      <c r="J95" s="13">
        <v>1.0</v>
      </c>
      <c r="K95" s="9" t="str">
        <f>HYPERLINK("http://twitter.com/download/android","Twitter for Android")</f>
        <v>Twitter for Android</v>
      </c>
      <c r="L95" s="14">
        <v>46.0</v>
      </c>
      <c r="M95" s="14">
        <v>194.0</v>
      </c>
      <c r="N95" s="14">
        <v>0.0</v>
      </c>
      <c r="O95" s="19"/>
      <c r="P95" s="16">
        <v>43718.29268518518</v>
      </c>
      <c r="Q95" s="12"/>
      <c r="R95" s="10" t="s">
        <v>516</v>
      </c>
      <c r="S95" s="12"/>
      <c r="T95" s="12"/>
      <c r="U95" s="17" t="str">
        <f>HYPERLINK("https://pbs.twimg.com/profile_images/1345188373242277889/BAS344By.jpg","View")</f>
        <v>View</v>
      </c>
      <c r="V95" s="12"/>
      <c r="W95" s="12"/>
      <c r="X95" s="12"/>
      <c r="Y95" s="12"/>
      <c r="Z95" s="12"/>
    </row>
    <row r="96">
      <c r="A96" s="8">
        <v>44221.356192129635</v>
      </c>
      <c r="B96" s="9" t="str">
        <f>HYPERLINK("https://twitter.com/rmarquezblas","@rmarquezblas")</f>
        <v>@rmarquezblas</v>
      </c>
      <c r="C96" s="10" t="s">
        <v>517</v>
      </c>
      <c r="D96" s="10" t="s">
        <v>518</v>
      </c>
      <c r="E96" s="9" t="str">
        <f>HYPERLINK("https://twitter.com/rmarquezblas/status/1353712459920650241","1353712459920650241")</f>
        <v>1353712459920650241</v>
      </c>
      <c r="F96" s="10" t="s">
        <v>519</v>
      </c>
      <c r="G96" s="12"/>
      <c r="H96" s="12"/>
      <c r="I96" s="13">
        <v>3.0</v>
      </c>
      <c r="J96" s="13">
        <v>15.0</v>
      </c>
      <c r="K96" s="9" t="str">
        <f>HYPERLINK("https://mobile.twitter.com","Twitter Web App")</f>
        <v>Twitter Web App</v>
      </c>
      <c r="L96" s="14">
        <v>1575.0</v>
      </c>
      <c r="M96" s="14">
        <v>1115.0</v>
      </c>
      <c r="N96" s="14">
        <v>7.0</v>
      </c>
      <c r="O96" s="19"/>
      <c r="P96" s="16">
        <v>43186.39583333333</v>
      </c>
      <c r="Q96" s="10" t="s">
        <v>520</v>
      </c>
      <c r="R96" s="10" t="s">
        <v>521</v>
      </c>
      <c r="S96" s="12"/>
      <c r="T96" s="12"/>
      <c r="U96" s="17" t="str">
        <f>HYPERLINK("https://pbs.twimg.com/profile_images/1238155443169607681/SCB3eXe6.jpg","View")</f>
        <v>View</v>
      </c>
      <c r="V96" s="12"/>
      <c r="W96" s="12"/>
      <c r="X96" s="12"/>
      <c r="Y96" s="12"/>
      <c r="Z96" s="12"/>
    </row>
    <row r="97">
      <c r="A97" s="8">
        <v>44221.27850694444</v>
      </c>
      <c r="B97" s="9" t="str">
        <f>HYPERLINK("https://twitter.com/EliMontoya82","@EliMontoya82")</f>
        <v>@EliMontoya82</v>
      </c>
      <c r="C97" s="10" t="s">
        <v>522</v>
      </c>
      <c r="D97" s="10" t="s">
        <v>523</v>
      </c>
      <c r="E97" s="9" t="str">
        <f>HYPERLINK("https://twitter.com/EliMontoya82/status/1353684306309296128","1353684306309296128")</f>
        <v>1353684306309296128</v>
      </c>
      <c r="F97" s="11" t="s">
        <v>524</v>
      </c>
      <c r="G97" s="11" t="s">
        <v>525</v>
      </c>
      <c r="H97" s="12"/>
      <c r="I97" s="13">
        <v>0.0</v>
      </c>
      <c r="J97" s="13">
        <v>0.0</v>
      </c>
      <c r="K97" s="9" t="str">
        <f>HYPERLINK("http://twitter.com/download/android","Twitter for Android")</f>
        <v>Twitter for Android</v>
      </c>
      <c r="L97" s="14">
        <v>854.0</v>
      </c>
      <c r="M97" s="14">
        <v>1944.0</v>
      </c>
      <c r="N97" s="14">
        <v>0.0</v>
      </c>
      <c r="O97" s="19"/>
      <c r="P97" s="16">
        <v>41752.317453703705</v>
      </c>
      <c r="Q97" s="10" t="s">
        <v>526</v>
      </c>
      <c r="R97" s="10" t="s">
        <v>527</v>
      </c>
      <c r="S97" s="12"/>
      <c r="T97" s="12"/>
      <c r="U97" s="17" t="str">
        <f>HYPERLINK("https://pbs.twimg.com/profile_images/1290431089169723392/ZljK5Icb.jpg","View")</f>
        <v>View</v>
      </c>
      <c r="V97" s="12"/>
      <c r="W97" s="12"/>
      <c r="X97" s="12"/>
      <c r="Y97" s="12"/>
      <c r="Z97" s="12"/>
    </row>
    <row r="98">
      <c r="A98" s="8">
        <v>44221.05175925926</v>
      </c>
      <c r="B98" s="9" t="str">
        <f>HYPERLINK("https://twitter.com/Albertomarvatt","@Albertomarvatt")</f>
        <v>@Albertomarvatt</v>
      </c>
      <c r="C98" s="10" t="s">
        <v>271</v>
      </c>
      <c r="D98" s="10" t="s">
        <v>528</v>
      </c>
      <c r="E98" s="9" t="str">
        <f>HYPERLINK("https://twitter.com/Albertomarvatt/status/1353602136425246722","1353602136425246722")</f>
        <v>1353602136425246722</v>
      </c>
      <c r="F98" s="12"/>
      <c r="G98" s="12"/>
      <c r="H98" s="12"/>
      <c r="I98" s="13">
        <v>3.0</v>
      </c>
      <c r="J98" s="13">
        <v>6.0</v>
      </c>
      <c r="K98" s="9" t="str">
        <f>HYPERLINK("https://mobile.twitter.com","Twitter Web App")</f>
        <v>Twitter Web App</v>
      </c>
      <c r="L98" s="14">
        <v>10491.0</v>
      </c>
      <c r="M98" s="14">
        <v>9859.0</v>
      </c>
      <c r="N98" s="14">
        <v>31.0</v>
      </c>
      <c r="O98" s="19"/>
      <c r="P98" s="16">
        <v>41637.136354166665</v>
      </c>
      <c r="Q98" s="10" t="s">
        <v>273</v>
      </c>
      <c r="R98" s="10" t="s">
        <v>274</v>
      </c>
      <c r="S98" s="12"/>
      <c r="T98" s="12"/>
      <c r="U98" s="17" t="str">
        <f>HYPERLINK("https://pbs.twimg.com/profile_images/417475556087562240/O3TqZfTr.png","View")</f>
        <v>View</v>
      </c>
      <c r="V98" s="12"/>
      <c r="W98" s="12"/>
      <c r="X98" s="12"/>
      <c r="Y98" s="12"/>
      <c r="Z98" s="12"/>
    </row>
    <row r="99">
      <c r="A99" s="8">
        <v>44221.01424768519</v>
      </c>
      <c r="B99" s="9" t="str">
        <f>HYPERLINK("https://twitter.com/RALPHPECINA","@RALPHPECINA")</f>
        <v>@RALPHPECINA</v>
      </c>
      <c r="C99" s="10" t="s">
        <v>529</v>
      </c>
      <c r="D99" s="10" t="s">
        <v>530</v>
      </c>
      <c r="E99" s="9" t="str">
        <f>HYPERLINK("https://twitter.com/RALPHPECINA/status/1353588540748259329","1353588540748259329")</f>
        <v>1353588540748259329</v>
      </c>
      <c r="F99" s="12"/>
      <c r="G99" s="12"/>
      <c r="H99" s="12"/>
      <c r="I99" s="13">
        <v>0.0</v>
      </c>
      <c r="J99" s="13">
        <v>1.0</v>
      </c>
      <c r="K99" s="9" t="str">
        <f t="shared" ref="K99:K101" si="35">HYPERLINK("http://twitter.com/download/android","Twitter for Android")</f>
        <v>Twitter for Android</v>
      </c>
      <c r="L99" s="14">
        <v>962.0</v>
      </c>
      <c r="M99" s="14">
        <v>3555.0</v>
      </c>
      <c r="N99" s="14">
        <v>2.0</v>
      </c>
      <c r="O99" s="19"/>
      <c r="P99" s="16">
        <v>41025.463796296295</v>
      </c>
      <c r="Q99" s="12"/>
      <c r="R99" s="10" t="s">
        <v>531</v>
      </c>
      <c r="S99" s="12"/>
      <c r="T99" s="12"/>
      <c r="U99" s="17" t="str">
        <f>HYPERLINK("https://pbs.twimg.com/profile_images/1330372881902133254/aeh9BKXS.jpg","View")</f>
        <v>View</v>
      </c>
      <c r="V99" s="12"/>
      <c r="W99" s="12"/>
      <c r="X99" s="12"/>
      <c r="Y99" s="12"/>
      <c r="Z99" s="12"/>
    </row>
    <row r="100">
      <c r="A100" s="8">
        <v>44220.96119212963</v>
      </c>
      <c r="B100" s="9" t="str">
        <f>HYPERLINK("https://twitter.com/_DiegoAdan","@_DiegoAdan")</f>
        <v>@_DiegoAdan</v>
      </c>
      <c r="C100" s="10" t="s">
        <v>532</v>
      </c>
      <c r="D100" s="10" t="s">
        <v>533</v>
      </c>
      <c r="E100" s="9" t="str">
        <f>HYPERLINK("https://twitter.com/_DiegoAdan/status/1353569313341513731","1353569313341513731")</f>
        <v>1353569313341513731</v>
      </c>
      <c r="F100" s="11" t="s">
        <v>534</v>
      </c>
      <c r="G100" s="12"/>
      <c r="H100" s="12"/>
      <c r="I100" s="13">
        <v>0.0</v>
      </c>
      <c r="J100" s="13">
        <v>0.0</v>
      </c>
      <c r="K100" s="9" t="str">
        <f t="shared" si="35"/>
        <v>Twitter for Android</v>
      </c>
      <c r="L100" s="14">
        <v>29.0</v>
      </c>
      <c r="M100" s="14">
        <v>343.0</v>
      </c>
      <c r="N100" s="14">
        <v>0.0</v>
      </c>
      <c r="O100" s="19"/>
      <c r="P100" s="16">
        <v>40467.800520833334</v>
      </c>
      <c r="Q100" s="10" t="s">
        <v>224</v>
      </c>
      <c r="R100" s="12"/>
      <c r="S100" s="12"/>
      <c r="T100" s="12"/>
      <c r="U100" s="17" t="str">
        <f>HYPERLINK("https://pbs.twimg.com/profile_images/600885126315126784/sa_G6uzL.png","View")</f>
        <v>View</v>
      </c>
      <c r="V100" s="12"/>
      <c r="W100" s="12"/>
      <c r="X100" s="12"/>
      <c r="Y100" s="12"/>
      <c r="Z100" s="12"/>
    </row>
    <row r="101">
      <c r="A101" s="8">
        <v>44220.95248842593</v>
      </c>
      <c r="B101" s="9" t="str">
        <f>HYPERLINK("https://twitter.com/RedPortero","@RedPortero")</f>
        <v>@RedPortero</v>
      </c>
      <c r="C101" s="10" t="s">
        <v>535</v>
      </c>
      <c r="D101" s="10" t="s">
        <v>536</v>
      </c>
      <c r="E101" s="9" t="str">
        <f>HYPERLINK("https://twitter.com/RedPortero/status/1353566159988256768","1353566159988256768")</f>
        <v>1353566159988256768</v>
      </c>
      <c r="F101" s="11" t="s">
        <v>537</v>
      </c>
      <c r="G101" s="12"/>
      <c r="H101" s="12"/>
      <c r="I101" s="13">
        <v>0.0</v>
      </c>
      <c r="J101" s="13">
        <v>0.0</v>
      </c>
      <c r="K101" s="9" t="str">
        <f t="shared" si="35"/>
        <v>Twitter for Android</v>
      </c>
      <c r="L101" s="14">
        <v>3679.0</v>
      </c>
      <c r="M101" s="14">
        <v>3098.0</v>
      </c>
      <c r="N101" s="14">
        <v>209.0</v>
      </c>
      <c r="O101" s="19"/>
      <c r="P101" s="16">
        <v>40772.55861111111</v>
      </c>
      <c r="Q101" s="10" t="s">
        <v>538</v>
      </c>
      <c r="R101" s="10" t="s">
        <v>539</v>
      </c>
      <c r="S101" s="12"/>
      <c r="T101" s="12"/>
      <c r="U101" s="17" t="str">
        <f>HYPERLINK("https://pbs.twimg.com/profile_images/1346560614039080960/5dmwdlP7.jpg","View")</f>
        <v>View</v>
      </c>
      <c r="V101" s="12"/>
      <c r="W101" s="12"/>
      <c r="X101" s="12"/>
      <c r="Y101" s="12"/>
      <c r="Z101" s="12"/>
    </row>
    <row r="102">
      <c r="A102" s="8">
        <v>44220.938368055555</v>
      </c>
      <c r="B102" s="9" t="str">
        <f>HYPERLINK("https://twitter.com/suarezmoises","@suarezmoises")</f>
        <v>@suarezmoises</v>
      </c>
      <c r="C102" s="10" t="s">
        <v>501</v>
      </c>
      <c r="D102" s="10" t="s">
        <v>540</v>
      </c>
      <c r="E102" s="9" t="str">
        <f>HYPERLINK("https://twitter.com/suarezmoises/status/1353561046036996097","1353561046036996097")</f>
        <v>1353561046036996097</v>
      </c>
      <c r="F102" s="12"/>
      <c r="G102" s="12"/>
      <c r="H102" s="12"/>
      <c r="I102" s="13">
        <v>0.0</v>
      </c>
      <c r="J102" s="13">
        <v>0.0</v>
      </c>
      <c r="K102" s="9" t="str">
        <f>HYPERLINK("http://twitter.com/download/iphone","Twitter for iPhone")</f>
        <v>Twitter for iPhone</v>
      </c>
      <c r="L102" s="14">
        <v>997.0</v>
      </c>
      <c r="M102" s="14">
        <v>1126.0</v>
      </c>
      <c r="N102" s="14">
        <v>15.0</v>
      </c>
      <c r="O102" s="19"/>
      <c r="P102" s="16">
        <v>39920.06447916667</v>
      </c>
      <c r="Q102" s="12"/>
      <c r="R102" s="11" t="s">
        <v>504</v>
      </c>
      <c r="S102" s="11" t="s">
        <v>504</v>
      </c>
      <c r="T102" s="12"/>
      <c r="U102" s="17" t="str">
        <f>HYPERLINK("https://pbs.twimg.com/profile_images/1281054134695755778/9WB1SUkB.jpg","View")</f>
        <v>View</v>
      </c>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sheetData>
  <hyperlinks>
    <hyperlink r:id="rId1" ref="F3"/>
    <hyperlink r:id="rId2" ref="G3"/>
    <hyperlink r:id="rId3" ref="S3"/>
    <hyperlink r:id="rId4" ref="F4"/>
    <hyperlink r:id="rId5" ref="G4"/>
    <hyperlink r:id="rId6" ref="S4"/>
    <hyperlink r:id="rId7" ref="F5"/>
    <hyperlink r:id="rId8" ref="G5"/>
    <hyperlink r:id="rId9" ref="S5"/>
    <hyperlink r:id="rId10" ref="F6"/>
    <hyperlink r:id="rId11" ref="G6"/>
    <hyperlink r:id="rId12" ref="F7"/>
    <hyperlink r:id="rId13" ref="G7"/>
    <hyperlink r:id="rId14" ref="S7"/>
    <hyperlink r:id="rId15" ref="F8"/>
    <hyperlink r:id="rId16" ref="F9"/>
    <hyperlink r:id="rId17" ref="G9"/>
    <hyperlink r:id="rId18" ref="S9"/>
    <hyperlink r:id="rId19" ref="G10"/>
    <hyperlink r:id="rId20" ref="S10"/>
    <hyperlink r:id="rId21" ref="F11"/>
    <hyperlink r:id="rId22" ref="G11"/>
    <hyperlink r:id="rId23" ref="S11"/>
    <hyperlink r:id="rId24" ref="F12"/>
    <hyperlink r:id="rId25" ref="G12"/>
    <hyperlink r:id="rId26" ref="S12"/>
    <hyperlink r:id="rId27" ref="F13"/>
    <hyperlink r:id="rId28" ref="G13"/>
    <hyperlink r:id="rId29" ref="S13"/>
    <hyperlink r:id="rId30" ref="F14"/>
    <hyperlink r:id="rId31" ref="G14"/>
    <hyperlink r:id="rId32" ref="S14"/>
    <hyperlink r:id="rId33" ref="F15"/>
    <hyperlink r:id="rId34" ref="G15"/>
    <hyperlink r:id="rId35" ref="S15"/>
    <hyperlink r:id="rId36" ref="F16"/>
    <hyperlink r:id="rId37" ref="G16"/>
    <hyperlink r:id="rId38" ref="S16"/>
    <hyperlink r:id="rId39" ref="F17"/>
    <hyperlink r:id="rId40" ref="G17"/>
    <hyperlink r:id="rId41" ref="S17"/>
    <hyperlink r:id="rId42" ref="F18"/>
    <hyperlink r:id="rId43" ref="G18"/>
    <hyperlink r:id="rId44" ref="S18"/>
    <hyperlink r:id="rId45" ref="F19"/>
    <hyperlink r:id="rId46" ref="G19"/>
    <hyperlink r:id="rId47" ref="S19"/>
    <hyperlink r:id="rId48" ref="F21"/>
    <hyperlink r:id="rId49" ref="G21"/>
    <hyperlink r:id="rId50" ref="S21"/>
    <hyperlink r:id="rId51" ref="F24"/>
    <hyperlink r:id="rId52" ref="G24"/>
    <hyperlink r:id="rId53" ref="S24"/>
    <hyperlink r:id="rId54" ref="F25"/>
    <hyperlink r:id="rId55" ref="G25"/>
    <hyperlink r:id="rId56" ref="S25"/>
    <hyperlink r:id="rId57" ref="F26"/>
    <hyperlink r:id="rId58" ref="G26"/>
    <hyperlink r:id="rId59" ref="S26"/>
    <hyperlink r:id="rId60" ref="F27"/>
    <hyperlink r:id="rId61" ref="G27"/>
    <hyperlink r:id="rId62" ref="S27"/>
    <hyperlink r:id="rId63" ref="F28"/>
    <hyperlink r:id="rId64" ref="G28"/>
    <hyperlink r:id="rId65" ref="S28"/>
    <hyperlink r:id="rId66" ref="G29"/>
    <hyperlink r:id="rId67" ref="F31"/>
    <hyperlink r:id="rId68" ref="G31"/>
    <hyperlink r:id="rId69" ref="S31"/>
    <hyperlink r:id="rId70" ref="F32"/>
    <hyperlink r:id="rId71" ref="F33"/>
    <hyperlink r:id="rId72" ref="F34"/>
    <hyperlink r:id="rId73" ref="F35"/>
    <hyperlink r:id="rId74" ref="G35"/>
    <hyperlink r:id="rId75" ref="F36"/>
    <hyperlink r:id="rId76" ref="G36"/>
    <hyperlink r:id="rId77" ref="F37"/>
    <hyperlink r:id="rId78" ref="G37"/>
    <hyperlink r:id="rId79" ref="F38"/>
    <hyperlink r:id="rId80" ref="S38"/>
    <hyperlink r:id="rId81" ref="F39"/>
    <hyperlink r:id="rId82" ref="G39"/>
    <hyperlink r:id="rId83" ref="S40"/>
    <hyperlink r:id="rId84" ref="F41"/>
    <hyperlink r:id="rId85" ref="G41"/>
    <hyperlink r:id="rId86" ref="F42"/>
    <hyperlink r:id="rId87" ref="G42"/>
    <hyperlink r:id="rId88" ref="S42"/>
    <hyperlink r:id="rId89" ref="G43"/>
    <hyperlink r:id="rId90" ref="G44"/>
    <hyperlink r:id="rId91" ref="S44"/>
    <hyperlink r:id="rId92" ref="G45"/>
    <hyperlink r:id="rId93" ref="S45"/>
    <hyperlink r:id="rId94" ref="G46"/>
    <hyperlink r:id="rId95" ref="S46"/>
    <hyperlink r:id="rId96" ref="G47"/>
    <hyperlink r:id="rId97" ref="S47"/>
    <hyperlink r:id="rId98" ref="G48"/>
    <hyperlink r:id="rId99" ref="S48"/>
    <hyperlink r:id="rId100" ref="G49"/>
    <hyperlink r:id="rId101" ref="S49"/>
    <hyperlink r:id="rId102" ref="G50"/>
    <hyperlink r:id="rId103" ref="S50"/>
    <hyperlink r:id="rId104" ref="G51"/>
    <hyperlink r:id="rId105" ref="S51"/>
    <hyperlink r:id="rId106" ref="G52"/>
    <hyperlink r:id="rId107" ref="S52"/>
    <hyperlink r:id="rId108" ref="G53"/>
    <hyperlink r:id="rId109" ref="S53"/>
    <hyperlink r:id="rId110" ref="G54"/>
    <hyperlink r:id="rId111" ref="S54"/>
    <hyperlink r:id="rId112" ref="F55"/>
    <hyperlink r:id="rId113" ref="G55"/>
    <hyperlink r:id="rId114" ref="G56"/>
    <hyperlink r:id="rId115" ref="F57"/>
    <hyperlink r:id="rId116" ref="F58"/>
    <hyperlink r:id="rId117" ref="S58"/>
    <hyperlink r:id="rId118" ref="F59"/>
    <hyperlink r:id="rId119" ref="S59"/>
    <hyperlink r:id="rId120" ref="G61"/>
    <hyperlink r:id="rId121" ref="S61"/>
    <hyperlink r:id="rId122" ref="S62"/>
    <hyperlink r:id="rId123" ref="S64"/>
    <hyperlink r:id="rId124" ref="F65"/>
    <hyperlink r:id="rId125" ref="S65"/>
    <hyperlink r:id="rId126" ref="F66"/>
    <hyperlink r:id="rId127" ref="F67"/>
    <hyperlink r:id="rId128" ref="S67"/>
    <hyperlink r:id="rId129" ref="S69"/>
    <hyperlink r:id="rId130" ref="F70"/>
    <hyperlink r:id="rId131" ref="G70"/>
    <hyperlink r:id="rId132" ref="G71"/>
    <hyperlink r:id="rId133" ref="F72"/>
    <hyperlink r:id="rId134" ref="G72"/>
    <hyperlink r:id="rId135" ref="F73"/>
    <hyperlink r:id="rId136" ref="G73"/>
    <hyperlink r:id="rId137" ref="G74"/>
    <hyperlink r:id="rId138" ref="F75"/>
    <hyperlink r:id="rId139" ref="G75"/>
    <hyperlink r:id="rId140" ref="S75"/>
    <hyperlink r:id="rId141" ref="F76"/>
    <hyperlink r:id="rId142" ref="G76"/>
    <hyperlink r:id="rId143" ref="S76"/>
    <hyperlink r:id="rId144" ref="F77"/>
    <hyperlink r:id="rId145" ref="G77"/>
    <hyperlink r:id="rId146" ref="F78"/>
    <hyperlink r:id="rId147" ref="G78"/>
    <hyperlink r:id="rId148" ref="S78"/>
    <hyperlink r:id="rId149" ref="F79"/>
    <hyperlink r:id="rId150" ref="G79"/>
    <hyperlink r:id="rId151" ref="S79"/>
    <hyperlink r:id="rId152" ref="F80"/>
    <hyperlink r:id="rId153" ref="G80"/>
    <hyperlink r:id="rId154" ref="S80"/>
    <hyperlink r:id="rId155" ref="F81"/>
    <hyperlink r:id="rId156" ref="G81"/>
    <hyperlink r:id="rId157" ref="S81"/>
    <hyperlink r:id="rId158" ref="G82"/>
    <hyperlink r:id="rId159" ref="F83"/>
    <hyperlink r:id="rId160" ref="G83"/>
    <hyperlink r:id="rId161" ref="S83"/>
    <hyperlink r:id="rId162" ref="F84"/>
    <hyperlink r:id="rId163" ref="G84"/>
    <hyperlink r:id="rId164" ref="S84"/>
    <hyperlink r:id="rId165" ref="S85"/>
    <hyperlink r:id="rId166" ref="F86"/>
    <hyperlink r:id="rId167" ref="G86"/>
    <hyperlink r:id="rId168" ref="S86"/>
    <hyperlink r:id="rId169" ref="F87"/>
    <hyperlink r:id="rId170" ref="G87"/>
    <hyperlink r:id="rId171" ref="S87"/>
    <hyperlink r:id="rId172" ref="F88"/>
    <hyperlink r:id="rId173" ref="G88"/>
    <hyperlink r:id="rId174" ref="S88"/>
    <hyperlink r:id="rId175" ref="F89"/>
    <hyperlink r:id="rId176" ref="G89"/>
    <hyperlink r:id="rId177" ref="S89"/>
    <hyperlink r:id="rId178" ref="F90"/>
    <hyperlink r:id="rId179" ref="G90"/>
    <hyperlink r:id="rId180" ref="S90"/>
    <hyperlink r:id="rId181" ref="F91"/>
    <hyperlink r:id="rId182" ref="F92"/>
    <hyperlink r:id="rId183" ref="R92"/>
    <hyperlink r:id="rId184" ref="S92"/>
    <hyperlink r:id="rId185" ref="G93"/>
    <hyperlink r:id="rId186" ref="S93"/>
    <hyperlink r:id="rId187" ref="G95"/>
    <hyperlink r:id="rId188" ref="F97"/>
    <hyperlink r:id="rId189" ref="G97"/>
    <hyperlink r:id="rId190" ref="F100"/>
    <hyperlink r:id="rId191" ref="F101"/>
    <hyperlink r:id="rId192" ref="R102"/>
    <hyperlink r:id="rId193" ref="S102"/>
  </hyperlinks>
  <drawing r:id="rId194"/>
  <tableParts count="1">
    <tablePart r:id="rId196"/>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541</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44222.4243287037</v>
      </c>
      <c r="B3" s="9" t="str">
        <f t="shared" ref="B3:B22" si="1">HYPERLINK("https://twitter.com/DeniseDresserG","@DeniseDresserG")</f>
        <v>@DeniseDresserG</v>
      </c>
      <c r="C3" s="10" t="s">
        <v>542</v>
      </c>
      <c r="D3" s="10" t="s">
        <v>543</v>
      </c>
      <c r="E3" s="9" t="str">
        <f>HYPERLINK("https://twitter.com/DeniseDresserG/status/1354099536688513024","1354099536688513024")</f>
        <v>1354099536688513024</v>
      </c>
      <c r="F3" s="10" t="s">
        <v>544</v>
      </c>
      <c r="G3" s="12"/>
      <c r="H3" s="12"/>
      <c r="I3" s="13">
        <v>89.0</v>
      </c>
      <c r="J3" s="13">
        <v>320.0</v>
      </c>
      <c r="K3" s="9" t="str">
        <f t="shared" ref="K3:K22" si="2">HYPERLINK("http://twitter.com/download/iphone","Twitter for iPhone")</f>
        <v>Twitter for iPhone</v>
      </c>
      <c r="L3" s="14">
        <v>4312150.0</v>
      </c>
      <c r="M3" s="14">
        <v>794.0</v>
      </c>
      <c r="N3" s="14">
        <v>6443.0</v>
      </c>
      <c r="O3" s="15" t="s">
        <v>24</v>
      </c>
      <c r="P3" s="16">
        <v>40889.678506944445</v>
      </c>
      <c r="Q3" s="10" t="s">
        <v>224</v>
      </c>
      <c r="R3" s="10" t="s">
        <v>545</v>
      </c>
      <c r="S3" s="11" t="s">
        <v>546</v>
      </c>
      <c r="T3" s="12"/>
      <c r="U3" s="17" t="str">
        <f t="shared" ref="U3:U22" si="3">HYPERLINK("https://pbs.twimg.com/profile_images/548992032727781376/5IQ6oII1.jpeg","View")</f>
        <v>View</v>
      </c>
      <c r="V3" s="12"/>
      <c r="W3" s="12"/>
      <c r="X3" s="12"/>
      <c r="Y3" s="12"/>
      <c r="Z3" s="12"/>
    </row>
    <row r="4">
      <c r="A4" s="8">
        <v>44221.86856481481</v>
      </c>
      <c r="B4" s="9" t="str">
        <f t="shared" si="1"/>
        <v>@DeniseDresserG</v>
      </c>
      <c r="C4" s="10" t="s">
        <v>542</v>
      </c>
      <c r="D4" s="10" t="s">
        <v>547</v>
      </c>
      <c r="E4" s="9" t="str">
        <f>HYPERLINK("https://twitter.com/DeniseDresserG/status/1353898135614087170","1353898135614087170")</f>
        <v>1353898135614087170</v>
      </c>
      <c r="F4" s="10" t="s">
        <v>548</v>
      </c>
      <c r="G4" s="11" t="s">
        <v>549</v>
      </c>
      <c r="H4" s="12"/>
      <c r="I4" s="13">
        <v>2690.0</v>
      </c>
      <c r="J4" s="13">
        <v>7076.0</v>
      </c>
      <c r="K4" s="9" t="str">
        <f t="shared" si="2"/>
        <v>Twitter for iPhone</v>
      </c>
      <c r="L4" s="14">
        <v>4312150.0</v>
      </c>
      <c r="M4" s="14">
        <v>794.0</v>
      </c>
      <c r="N4" s="14">
        <v>6443.0</v>
      </c>
      <c r="O4" s="15" t="s">
        <v>24</v>
      </c>
      <c r="P4" s="16">
        <v>40889.678506944445</v>
      </c>
      <c r="Q4" s="10" t="s">
        <v>224</v>
      </c>
      <c r="R4" s="10" t="s">
        <v>545</v>
      </c>
      <c r="S4" s="11" t="s">
        <v>546</v>
      </c>
      <c r="T4" s="12"/>
      <c r="U4" s="17" t="str">
        <f t="shared" si="3"/>
        <v>View</v>
      </c>
      <c r="V4" s="12"/>
      <c r="W4" s="12"/>
      <c r="X4" s="12"/>
      <c r="Y4" s="12"/>
      <c r="Z4" s="12"/>
    </row>
    <row r="5">
      <c r="A5" s="8">
        <v>44221.85990740741</v>
      </c>
      <c r="B5" s="9" t="str">
        <f t="shared" si="1"/>
        <v>@DeniseDresserG</v>
      </c>
      <c r="C5" s="10" t="s">
        <v>542</v>
      </c>
      <c r="D5" s="10" t="s">
        <v>550</v>
      </c>
      <c r="E5" s="9" t="str">
        <f>HYPERLINK("https://twitter.com/DeniseDresserG/status/1353894997423255560","1353894997423255560")</f>
        <v>1353894997423255560</v>
      </c>
      <c r="F5" s="10" t="s">
        <v>548</v>
      </c>
      <c r="G5" s="11" t="s">
        <v>549</v>
      </c>
      <c r="H5" s="12"/>
      <c r="I5" s="13">
        <v>161.0</v>
      </c>
      <c r="J5" s="13">
        <v>584.0</v>
      </c>
      <c r="K5" s="9" t="str">
        <f t="shared" si="2"/>
        <v>Twitter for iPhone</v>
      </c>
      <c r="L5" s="14">
        <v>4312150.0</v>
      </c>
      <c r="M5" s="14">
        <v>794.0</v>
      </c>
      <c r="N5" s="14">
        <v>6443.0</v>
      </c>
      <c r="O5" s="15" t="s">
        <v>24</v>
      </c>
      <c r="P5" s="16">
        <v>40889.678506944445</v>
      </c>
      <c r="Q5" s="10" t="s">
        <v>224</v>
      </c>
      <c r="R5" s="10" t="s">
        <v>545</v>
      </c>
      <c r="S5" s="11" t="s">
        <v>546</v>
      </c>
      <c r="T5" s="12"/>
      <c r="U5" s="17" t="str">
        <f t="shared" si="3"/>
        <v>View</v>
      </c>
      <c r="V5" s="12"/>
      <c r="W5" s="12"/>
      <c r="X5" s="12"/>
      <c r="Y5" s="12"/>
      <c r="Z5" s="12"/>
    </row>
    <row r="6">
      <c r="A6" s="8">
        <v>44221.513287037036</v>
      </c>
      <c r="B6" s="9" t="str">
        <f t="shared" si="1"/>
        <v>@DeniseDresserG</v>
      </c>
      <c r="C6" s="10" t="s">
        <v>542</v>
      </c>
      <c r="D6" s="10" t="s">
        <v>551</v>
      </c>
      <c r="E6" s="9" t="str">
        <f>HYPERLINK("https://twitter.com/DeniseDresserG/status/1353769385756946433","1353769385756946433")</f>
        <v>1353769385756946433</v>
      </c>
      <c r="F6" s="12"/>
      <c r="G6" s="11" t="s">
        <v>552</v>
      </c>
      <c r="H6" s="12"/>
      <c r="I6" s="13">
        <v>1721.0</v>
      </c>
      <c r="J6" s="13">
        <v>7618.0</v>
      </c>
      <c r="K6" s="9" t="str">
        <f t="shared" si="2"/>
        <v>Twitter for iPhone</v>
      </c>
      <c r="L6" s="14">
        <v>4312150.0</v>
      </c>
      <c r="M6" s="14">
        <v>794.0</v>
      </c>
      <c r="N6" s="14">
        <v>6443.0</v>
      </c>
      <c r="O6" s="15" t="s">
        <v>24</v>
      </c>
      <c r="P6" s="16">
        <v>40889.678506944445</v>
      </c>
      <c r="Q6" s="10" t="s">
        <v>224</v>
      </c>
      <c r="R6" s="10" t="s">
        <v>545</v>
      </c>
      <c r="S6" s="11" t="s">
        <v>546</v>
      </c>
      <c r="T6" s="12"/>
      <c r="U6" s="17" t="str">
        <f t="shared" si="3"/>
        <v>View</v>
      </c>
      <c r="V6" s="12"/>
      <c r="W6" s="12"/>
      <c r="X6" s="12"/>
      <c r="Y6" s="12"/>
      <c r="Z6" s="12"/>
    </row>
    <row r="7">
      <c r="A7" s="8">
        <v>44218.568148148144</v>
      </c>
      <c r="B7" s="9" t="str">
        <f t="shared" si="1"/>
        <v>@DeniseDresserG</v>
      </c>
      <c r="C7" s="10" t="s">
        <v>542</v>
      </c>
      <c r="D7" s="10" t="s">
        <v>553</v>
      </c>
      <c r="E7" s="9" t="str">
        <f>HYPERLINK("https://twitter.com/DeniseDresserG/status/1352702105002385409","1352702105002385409")</f>
        <v>1352702105002385409</v>
      </c>
      <c r="F7" s="12"/>
      <c r="G7" s="11" t="s">
        <v>554</v>
      </c>
      <c r="H7" s="12"/>
      <c r="I7" s="13">
        <v>745.0</v>
      </c>
      <c r="J7" s="13">
        <v>17182.0</v>
      </c>
      <c r="K7" s="9" t="str">
        <f t="shared" si="2"/>
        <v>Twitter for iPhone</v>
      </c>
      <c r="L7" s="14">
        <v>4312150.0</v>
      </c>
      <c r="M7" s="14">
        <v>794.0</v>
      </c>
      <c r="N7" s="14">
        <v>6443.0</v>
      </c>
      <c r="O7" s="15" t="s">
        <v>24</v>
      </c>
      <c r="P7" s="16">
        <v>40889.678506944445</v>
      </c>
      <c r="Q7" s="10" t="s">
        <v>224</v>
      </c>
      <c r="R7" s="10" t="s">
        <v>545</v>
      </c>
      <c r="S7" s="11" t="s">
        <v>546</v>
      </c>
      <c r="T7" s="12"/>
      <c r="U7" s="17" t="str">
        <f t="shared" si="3"/>
        <v>View</v>
      </c>
      <c r="V7" s="12"/>
      <c r="W7" s="12"/>
      <c r="X7" s="12"/>
      <c r="Y7" s="12"/>
      <c r="Z7" s="12"/>
    </row>
    <row r="8">
      <c r="A8" s="8">
        <v>44217.45376157407</v>
      </c>
      <c r="B8" s="9" t="str">
        <f t="shared" si="1"/>
        <v>@DeniseDresserG</v>
      </c>
      <c r="C8" s="10" t="s">
        <v>542</v>
      </c>
      <c r="D8" s="10" t="s">
        <v>555</v>
      </c>
      <c r="E8" s="9" t="str">
        <f>HYPERLINK("https://twitter.com/DeniseDresserG/status/1352298266398961669","1352298266398961669")</f>
        <v>1352298266398961669</v>
      </c>
      <c r="F8" s="10" t="s">
        <v>556</v>
      </c>
      <c r="G8" s="12"/>
      <c r="H8" s="12"/>
      <c r="I8" s="13">
        <v>404.0</v>
      </c>
      <c r="J8" s="13">
        <v>1493.0</v>
      </c>
      <c r="K8" s="9" t="str">
        <f t="shared" si="2"/>
        <v>Twitter for iPhone</v>
      </c>
      <c r="L8" s="14">
        <v>4312150.0</v>
      </c>
      <c r="M8" s="14">
        <v>794.0</v>
      </c>
      <c r="N8" s="14">
        <v>6443.0</v>
      </c>
      <c r="O8" s="15" t="s">
        <v>24</v>
      </c>
      <c r="P8" s="16">
        <v>40889.678506944445</v>
      </c>
      <c r="Q8" s="10" t="s">
        <v>224</v>
      </c>
      <c r="R8" s="10" t="s">
        <v>545</v>
      </c>
      <c r="S8" s="11" t="s">
        <v>546</v>
      </c>
      <c r="T8" s="12"/>
      <c r="U8" s="17" t="str">
        <f t="shared" si="3"/>
        <v>View</v>
      </c>
      <c r="V8" s="12"/>
      <c r="W8" s="12"/>
      <c r="X8" s="12"/>
      <c r="Y8" s="12"/>
      <c r="Z8" s="12"/>
    </row>
    <row r="9">
      <c r="A9" s="8">
        <v>44216.800775462965</v>
      </c>
      <c r="B9" s="9" t="str">
        <f t="shared" si="1"/>
        <v>@DeniseDresserG</v>
      </c>
      <c r="C9" s="10" t="s">
        <v>542</v>
      </c>
      <c r="D9" s="10" t="s">
        <v>557</v>
      </c>
      <c r="E9" s="9" t="str">
        <f>HYPERLINK("https://twitter.com/DeniseDresserG/status/1352061629664550913","1352061629664550913")</f>
        <v>1352061629664550913</v>
      </c>
      <c r="F9" s="12"/>
      <c r="G9" s="11" t="s">
        <v>558</v>
      </c>
      <c r="H9" s="12"/>
      <c r="I9" s="13">
        <v>277.0</v>
      </c>
      <c r="J9" s="13">
        <v>2353.0</v>
      </c>
      <c r="K9" s="9" t="str">
        <f t="shared" si="2"/>
        <v>Twitter for iPhone</v>
      </c>
      <c r="L9" s="14">
        <v>4312150.0</v>
      </c>
      <c r="M9" s="14">
        <v>794.0</v>
      </c>
      <c r="N9" s="14">
        <v>6443.0</v>
      </c>
      <c r="O9" s="15" t="s">
        <v>24</v>
      </c>
      <c r="P9" s="16">
        <v>40889.678506944445</v>
      </c>
      <c r="Q9" s="10" t="s">
        <v>224</v>
      </c>
      <c r="R9" s="10" t="s">
        <v>545</v>
      </c>
      <c r="S9" s="11" t="s">
        <v>546</v>
      </c>
      <c r="T9" s="12"/>
      <c r="U9" s="17" t="str">
        <f t="shared" si="3"/>
        <v>View</v>
      </c>
      <c r="V9" s="12"/>
      <c r="W9" s="12"/>
      <c r="X9" s="12"/>
      <c r="Y9" s="12"/>
      <c r="Z9" s="12"/>
    </row>
    <row r="10">
      <c r="A10" s="8">
        <v>44216.75721064815</v>
      </c>
      <c r="B10" s="9" t="str">
        <f t="shared" si="1"/>
        <v>@DeniseDresserG</v>
      </c>
      <c r="C10" s="10" t="s">
        <v>542</v>
      </c>
      <c r="D10" s="10" t="s">
        <v>559</v>
      </c>
      <c r="E10" s="9" t="str">
        <f>HYPERLINK("https://twitter.com/DeniseDresserG/status/1352045843306733570","1352045843306733570")</f>
        <v>1352045843306733570</v>
      </c>
      <c r="F10" s="12"/>
      <c r="G10" s="11" t="s">
        <v>560</v>
      </c>
      <c r="H10" s="12"/>
      <c r="I10" s="13">
        <v>6046.0</v>
      </c>
      <c r="J10" s="13">
        <v>22833.0</v>
      </c>
      <c r="K10" s="9" t="str">
        <f t="shared" si="2"/>
        <v>Twitter for iPhone</v>
      </c>
      <c r="L10" s="14">
        <v>4312150.0</v>
      </c>
      <c r="M10" s="14">
        <v>794.0</v>
      </c>
      <c r="N10" s="14">
        <v>6443.0</v>
      </c>
      <c r="O10" s="15" t="s">
        <v>24</v>
      </c>
      <c r="P10" s="16">
        <v>40889.678506944445</v>
      </c>
      <c r="Q10" s="10" t="s">
        <v>224</v>
      </c>
      <c r="R10" s="10" t="s">
        <v>545</v>
      </c>
      <c r="S10" s="11" t="s">
        <v>546</v>
      </c>
      <c r="T10" s="12"/>
      <c r="U10" s="17" t="str">
        <f t="shared" si="3"/>
        <v>View</v>
      </c>
      <c r="V10" s="12"/>
      <c r="W10" s="12"/>
      <c r="X10" s="12"/>
      <c r="Y10" s="12"/>
      <c r="Z10" s="12"/>
    </row>
    <row r="11">
      <c r="A11" s="8">
        <v>44216.6181712963</v>
      </c>
      <c r="B11" s="9" t="str">
        <f t="shared" si="1"/>
        <v>@DeniseDresserG</v>
      </c>
      <c r="C11" s="10" t="s">
        <v>542</v>
      </c>
      <c r="D11" s="10" t="s">
        <v>561</v>
      </c>
      <c r="E11" s="9" t="str">
        <f>HYPERLINK("https://twitter.com/DeniseDresserG/status/1351995456809742339","1351995456809742339")</f>
        <v>1351995456809742339</v>
      </c>
      <c r="F11" s="10" t="s">
        <v>562</v>
      </c>
      <c r="G11" s="12"/>
      <c r="H11" s="12"/>
      <c r="I11" s="13">
        <v>400.0</v>
      </c>
      <c r="J11" s="13">
        <v>1502.0</v>
      </c>
      <c r="K11" s="9" t="str">
        <f t="shared" si="2"/>
        <v>Twitter for iPhone</v>
      </c>
      <c r="L11" s="14">
        <v>4312150.0</v>
      </c>
      <c r="M11" s="14">
        <v>794.0</v>
      </c>
      <c r="N11" s="14">
        <v>6443.0</v>
      </c>
      <c r="O11" s="15" t="s">
        <v>24</v>
      </c>
      <c r="P11" s="16">
        <v>40889.678506944445</v>
      </c>
      <c r="Q11" s="10" t="s">
        <v>224</v>
      </c>
      <c r="R11" s="10" t="s">
        <v>545</v>
      </c>
      <c r="S11" s="11" t="s">
        <v>546</v>
      </c>
      <c r="T11" s="12"/>
      <c r="U11" s="17" t="str">
        <f t="shared" si="3"/>
        <v>View</v>
      </c>
      <c r="V11" s="12"/>
      <c r="W11" s="12"/>
      <c r="X11" s="12"/>
      <c r="Y11" s="12"/>
      <c r="Z11" s="12"/>
    </row>
    <row r="12">
      <c r="A12" s="8">
        <v>44216.46429398148</v>
      </c>
      <c r="B12" s="9" t="str">
        <f t="shared" si="1"/>
        <v>@DeniseDresserG</v>
      </c>
      <c r="C12" s="10" t="s">
        <v>542</v>
      </c>
      <c r="D12" s="10" t="s">
        <v>563</v>
      </c>
      <c r="E12" s="9" t="str">
        <f>HYPERLINK("https://twitter.com/DeniseDresserG/status/1351939694922240001","1351939694922240001")</f>
        <v>1351939694922240001</v>
      </c>
      <c r="F12" s="12"/>
      <c r="G12" s="11" t="s">
        <v>564</v>
      </c>
      <c r="H12" s="12"/>
      <c r="I12" s="13">
        <v>520.0</v>
      </c>
      <c r="J12" s="13">
        <v>3179.0</v>
      </c>
      <c r="K12" s="9" t="str">
        <f t="shared" si="2"/>
        <v>Twitter for iPhone</v>
      </c>
      <c r="L12" s="14">
        <v>4312150.0</v>
      </c>
      <c r="M12" s="14">
        <v>794.0</v>
      </c>
      <c r="N12" s="14">
        <v>6443.0</v>
      </c>
      <c r="O12" s="15" t="s">
        <v>24</v>
      </c>
      <c r="P12" s="16">
        <v>40889.678506944445</v>
      </c>
      <c r="Q12" s="10" t="s">
        <v>224</v>
      </c>
      <c r="R12" s="10" t="s">
        <v>545</v>
      </c>
      <c r="S12" s="11" t="s">
        <v>546</v>
      </c>
      <c r="T12" s="12"/>
      <c r="U12" s="17" t="str">
        <f t="shared" si="3"/>
        <v>View</v>
      </c>
      <c r="V12" s="12"/>
      <c r="W12" s="12"/>
      <c r="X12" s="12"/>
      <c r="Y12" s="12"/>
      <c r="Z12" s="12"/>
    </row>
    <row r="13">
      <c r="A13" s="8">
        <v>44216.437060185184</v>
      </c>
      <c r="B13" s="9" t="str">
        <f t="shared" si="1"/>
        <v>@DeniseDresserG</v>
      </c>
      <c r="C13" s="10" t="s">
        <v>542</v>
      </c>
      <c r="D13" s="10" t="s">
        <v>565</v>
      </c>
      <c r="E13" s="9" t="str">
        <f>HYPERLINK("https://twitter.com/DeniseDresserG/status/1351929823720075268","1351929823720075268")</f>
        <v>1351929823720075268</v>
      </c>
      <c r="F13" s="12"/>
      <c r="G13" s="11" t="s">
        <v>566</v>
      </c>
      <c r="H13" s="12"/>
      <c r="I13" s="13">
        <v>1185.0</v>
      </c>
      <c r="J13" s="13">
        <v>7521.0</v>
      </c>
      <c r="K13" s="9" t="str">
        <f t="shared" si="2"/>
        <v>Twitter for iPhone</v>
      </c>
      <c r="L13" s="14">
        <v>4312150.0</v>
      </c>
      <c r="M13" s="14">
        <v>794.0</v>
      </c>
      <c r="N13" s="14">
        <v>6443.0</v>
      </c>
      <c r="O13" s="15" t="s">
        <v>24</v>
      </c>
      <c r="P13" s="16">
        <v>40889.678506944445</v>
      </c>
      <c r="Q13" s="10" t="s">
        <v>224</v>
      </c>
      <c r="R13" s="10" t="s">
        <v>545</v>
      </c>
      <c r="S13" s="11" t="s">
        <v>546</v>
      </c>
      <c r="T13" s="12"/>
      <c r="U13" s="17" t="str">
        <f t="shared" si="3"/>
        <v>View</v>
      </c>
      <c r="V13" s="12"/>
      <c r="W13" s="12"/>
      <c r="X13" s="12"/>
      <c r="Y13" s="12"/>
      <c r="Z13" s="12"/>
    </row>
    <row r="14">
      <c r="A14" s="8">
        <v>44216.35605324074</v>
      </c>
      <c r="B14" s="9" t="str">
        <f t="shared" si="1"/>
        <v>@DeniseDresserG</v>
      </c>
      <c r="C14" s="10" t="s">
        <v>542</v>
      </c>
      <c r="D14" s="10" t="s">
        <v>567</v>
      </c>
      <c r="E14" s="9" t="str">
        <f>HYPERLINK("https://twitter.com/DeniseDresserG/status/1351900467379449856","1351900467379449856")</f>
        <v>1351900467379449856</v>
      </c>
      <c r="F14" s="12"/>
      <c r="G14" s="11" t="s">
        <v>568</v>
      </c>
      <c r="H14" s="12"/>
      <c r="I14" s="13">
        <v>281.0</v>
      </c>
      <c r="J14" s="13">
        <v>2598.0</v>
      </c>
      <c r="K14" s="9" t="str">
        <f t="shared" si="2"/>
        <v>Twitter for iPhone</v>
      </c>
      <c r="L14" s="14">
        <v>4312150.0</v>
      </c>
      <c r="M14" s="14">
        <v>794.0</v>
      </c>
      <c r="N14" s="14">
        <v>6443.0</v>
      </c>
      <c r="O14" s="15" t="s">
        <v>24</v>
      </c>
      <c r="P14" s="16">
        <v>40889.678506944445</v>
      </c>
      <c r="Q14" s="10" t="s">
        <v>224</v>
      </c>
      <c r="R14" s="10" t="s">
        <v>545</v>
      </c>
      <c r="S14" s="11" t="s">
        <v>546</v>
      </c>
      <c r="T14" s="12"/>
      <c r="U14" s="17" t="str">
        <f t="shared" si="3"/>
        <v>View</v>
      </c>
      <c r="V14" s="12"/>
      <c r="W14" s="12"/>
      <c r="X14" s="12"/>
      <c r="Y14" s="12"/>
      <c r="Z14" s="12"/>
    </row>
    <row r="15">
      <c r="A15" s="8">
        <v>44215.77190972222</v>
      </c>
      <c r="B15" s="9" t="str">
        <f t="shared" si="1"/>
        <v>@DeniseDresserG</v>
      </c>
      <c r="C15" s="10" t="s">
        <v>542</v>
      </c>
      <c r="D15" s="10" t="s">
        <v>569</v>
      </c>
      <c r="E15" s="9" t="str">
        <f>HYPERLINK("https://twitter.com/DeniseDresserG/status/1351688781737431043","1351688781737431043")</f>
        <v>1351688781737431043</v>
      </c>
      <c r="F15" s="12"/>
      <c r="G15" s="11" t="s">
        <v>570</v>
      </c>
      <c r="H15" s="12"/>
      <c r="I15" s="13">
        <v>390.0</v>
      </c>
      <c r="J15" s="13">
        <v>1847.0</v>
      </c>
      <c r="K15" s="9" t="str">
        <f t="shared" si="2"/>
        <v>Twitter for iPhone</v>
      </c>
      <c r="L15" s="14">
        <v>4312150.0</v>
      </c>
      <c r="M15" s="14">
        <v>794.0</v>
      </c>
      <c r="N15" s="14">
        <v>6443.0</v>
      </c>
      <c r="O15" s="15" t="s">
        <v>24</v>
      </c>
      <c r="P15" s="16">
        <v>40889.678506944445</v>
      </c>
      <c r="Q15" s="10" t="s">
        <v>224</v>
      </c>
      <c r="R15" s="10" t="s">
        <v>545</v>
      </c>
      <c r="S15" s="11" t="s">
        <v>546</v>
      </c>
      <c r="T15" s="12"/>
      <c r="U15" s="17" t="str">
        <f t="shared" si="3"/>
        <v>View</v>
      </c>
      <c r="V15" s="12"/>
      <c r="W15" s="12"/>
      <c r="X15" s="12"/>
      <c r="Y15" s="12"/>
      <c r="Z15" s="12"/>
    </row>
    <row r="16">
      <c r="A16" s="8">
        <v>44215.51596064815</v>
      </c>
      <c r="B16" s="9" t="str">
        <f t="shared" si="1"/>
        <v>@DeniseDresserG</v>
      </c>
      <c r="C16" s="10" t="s">
        <v>542</v>
      </c>
      <c r="D16" s="10" t="s">
        <v>571</v>
      </c>
      <c r="E16" s="9" t="str">
        <f>HYPERLINK("https://twitter.com/DeniseDresserG/status/1351596030442299398","1351596030442299398")</f>
        <v>1351596030442299398</v>
      </c>
      <c r="F16" s="10" t="s">
        <v>572</v>
      </c>
      <c r="G16" s="11" t="s">
        <v>573</v>
      </c>
      <c r="H16" s="12"/>
      <c r="I16" s="13">
        <v>779.0</v>
      </c>
      <c r="J16" s="13">
        <v>2316.0</v>
      </c>
      <c r="K16" s="9" t="str">
        <f t="shared" si="2"/>
        <v>Twitter for iPhone</v>
      </c>
      <c r="L16" s="14">
        <v>4312150.0</v>
      </c>
      <c r="M16" s="14">
        <v>794.0</v>
      </c>
      <c r="N16" s="14">
        <v>6443.0</v>
      </c>
      <c r="O16" s="15" t="s">
        <v>24</v>
      </c>
      <c r="P16" s="16">
        <v>40889.678506944445</v>
      </c>
      <c r="Q16" s="10" t="s">
        <v>224</v>
      </c>
      <c r="R16" s="10" t="s">
        <v>545</v>
      </c>
      <c r="S16" s="11" t="s">
        <v>546</v>
      </c>
      <c r="T16" s="12"/>
      <c r="U16" s="17" t="str">
        <f t="shared" si="3"/>
        <v>View</v>
      </c>
      <c r="V16" s="12"/>
      <c r="W16" s="12"/>
      <c r="X16" s="12"/>
      <c r="Y16" s="12"/>
      <c r="Z16" s="12"/>
    </row>
    <row r="17">
      <c r="A17" s="8">
        <v>44215.45421296296</v>
      </c>
      <c r="B17" s="9" t="str">
        <f t="shared" si="1"/>
        <v>@DeniseDresserG</v>
      </c>
      <c r="C17" s="10" t="s">
        <v>542</v>
      </c>
      <c r="D17" s="10" t="s">
        <v>574</v>
      </c>
      <c r="E17" s="9" t="str">
        <f>HYPERLINK("https://twitter.com/DeniseDresserG/status/1351573654451195905","1351573654451195905")</f>
        <v>1351573654451195905</v>
      </c>
      <c r="F17" s="12"/>
      <c r="G17" s="11" t="s">
        <v>575</v>
      </c>
      <c r="H17" s="12"/>
      <c r="I17" s="13">
        <v>3088.0</v>
      </c>
      <c r="J17" s="13">
        <v>8585.0</v>
      </c>
      <c r="K17" s="9" t="str">
        <f t="shared" si="2"/>
        <v>Twitter for iPhone</v>
      </c>
      <c r="L17" s="14">
        <v>4312150.0</v>
      </c>
      <c r="M17" s="14">
        <v>794.0</v>
      </c>
      <c r="N17" s="14">
        <v>6443.0</v>
      </c>
      <c r="O17" s="15" t="s">
        <v>24</v>
      </c>
      <c r="P17" s="16">
        <v>40889.678506944445</v>
      </c>
      <c r="Q17" s="10" t="s">
        <v>224</v>
      </c>
      <c r="R17" s="10" t="s">
        <v>545</v>
      </c>
      <c r="S17" s="11" t="s">
        <v>546</v>
      </c>
      <c r="T17" s="12"/>
      <c r="U17" s="17" t="str">
        <f t="shared" si="3"/>
        <v>View</v>
      </c>
      <c r="V17" s="12"/>
      <c r="W17" s="12"/>
      <c r="X17" s="12"/>
      <c r="Y17" s="12"/>
      <c r="Z17" s="12"/>
    </row>
    <row r="18">
      <c r="A18" s="8">
        <v>44215.42841435185</v>
      </c>
      <c r="B18" s="9" t="str">
        <f t="shared" si="1"/>
        <v>@DeniseDresserG</v>
      </c>
      <c r="C18" s="10" t="s">
        <v>542</v>
      </c>
      <c r="D18" s="10" t="s">
        <v>576</v>
      </c>
      <c r="E18" s="9" t="str">
        <f>HYPERLINK("https://twitter.com/DeniseDresserG/status/1351564304638734336","1351564304638734336")</f>
        <v>1351564304638734336</v>
      </c>
      <c r="F18" s="10" t="s">
        <v>577</v>
      </c>
      <c r="G18" s="12"/>
      <c r="H18" s="12"/>
      <c r="I18" s="13">
        <v>478.0</v>
      </c>
      <c r="J18" s="13">
        <v>1159.0</v>
      </c>
      <c r="K18" s="9" t="str">
        <f t="shared" si="2"/>
        <v>Twitter for iPhone</v>
      </c>
      <c r="L18" s="14">
        <v>4312150.0</v>
      </c>
      <c r="M18" s="14">
        <v>794.0</v>
      </c>
      <c r="N18" s="14">
        <v>6443.0</v>
      </c>
      <c r="O18" s="15" t="s">
        <v>24</v>
      </c>
      <c r="P18" s="16">
        <v>40889.678506944445</v>
      </c>
      <c r="Q18" s="10" t="s">
        <v>224</v>
      </c>
      <c r="R18" s="10" t="s">
        <v>545</v>
      </c>
      <c r="S18" s="11" t="s">
        <v>546</v>
      </c>
      <c r="T18" s="12"/>
      <c r="U18" s="17" t="str">
        <f t="shared" si="3"/>
        <v>View</v>
      </c>
      <c r="V18" s="12"/>
      <c r="W18" s="12"/>
      <c r="X18" s="12"/>
      <c r="Y18" s="12"/>
      <c r="Z18" s="12"/>
    </row>
    <row r="19">
      <c r="A19" s="8">
        <v>44214.86177083333</v>
      </c>
      <c r="B19" s="9" t="str">
        <f t="shared" si="1"/>
        <v>@DeniseDresserG</v>
      </c>
      <c r="C19" s="10" t="s">
        <v>542</v>
      </c>
      <c r="D19" s="10" t="s">
        <v>578</v>
      </c>
      <c r="E19" s="9" t="str">
        <f>HYPERLINK("https://twitter.com/DeniseDresserG/status/1351358957265289220","1351358957265289220")</f>
        <v>1351358957265289220</v>
      </c>
      <c r="F19" s="12"/>
      <c r="G19" s="11" t="s">
        <v>579</v>
      </c>
      <c r="H19" s="12"/>
      <c r="I19" s="13">
        <v>2544.0</v>
      </c>
      <c r="J19" s="13">
        <v>6758.0</v>
      </c>
      <c r="K19" s="9" t="str">
        <f t="shared" si="2"/>
        <v>Twitter for iPhone</v>
      </c>
      <c r="L19" s="14">
        <v>4312150.0</v>
      </c>
      <c r="M19" s="14">
        <v>794.0</v>
      </c>
      <c r="N19" s="14">
        <v>6443.0</v>
      </c>
      <c r="O19" s="15" t="s">
        <v>24</v>
      </c>
      <c r="P19" s="16">
        <v>40889.678506944445</v>
      </c>
      <c r="Q19" s="10" t="s">
        <v>224</v>
      </c>
      <c r="R19" s="10" t="s">
        <v>545</v>
      </c>
      <c r="S19" s="11" t="s">
        <v>546</v>
      </c>
      <c r="T19" s="12"/>
      <c r="U19" s="17" t="str">
        <f t="shared" si="3"/>
        <v>View</v>
      </c>
      <c r="V19" s="12"/>
      <c r="W19" s="12"/>
      <c r="X19" s="12"/>
      <c r="Y19" s="12"/>
      <c r="Z19" s="12"/>
    </row>
    <row r="20">
      <c r="A20" s="8">
        <v>44214.8344212963</v>
      </c>
      <c r="B20" s="9" t="str">
        <f t="shared" si="1"/>
        <v>@DeniseDresserG</v>
      </c>
      <c r="C20" s="10" t="s">
        <v>542</v>
      </c>
      <c r="D20" s="10" t="s">
        <v>580</v>
      </c>
      <c r="E20" s="9" t="str">
        <f>HYPERLINK("https://twitter.com/DeniseDresserG/status/1351349047236427777","1351349047236427777")</f>
        <v>1351349047236427777</v>
      </c>
      <c r="F20" s="11" t="s">
        <v>581</v>
      </c>
      <c r="G20" s="12"/>
      <c r="H20" s="12"/>
      <c r="I20" s="13">
        <v>398.0</v>
      </c>
      <c r="J20" s="13">
        <v>1407.0</v>
      </c>
      <c r="K20" s="9" t="str">
        <f t="shared" si="2"/>
        <v>Twitter for iPhone</v>
      </c>
      <c r="L20" s="14">
        <v>4312150.0</v>
      </c>
      <c r="M20" s="14">
        <v>794.0</v>
      </c>
      <c r="N20" s="14">
        <v>6443.0</v>
      </c>
      <c r="O20" s="15" t="s">
        <v>24</v>
      </c>
      <c r="P20" s="16">
        <v>40889.678506944445</v>
      </c>
      <c r="Q20" s="10" t="s">
        <v>224</v>
      </c>
      <c r="R20" s="10" t="s">
        <v>545</v>
      </c>
      <c r="S20" s="11" t="s">
        <v>546</v>
      </c>
      <c r="T20" s="12"/>
      <c r="U20" s="17" t="str">
        <f t="shared" si="3"/>
        <v>View</v>
      </c>
      <c r="V20" s="12"/>
      <c r="W20" s="12"/>
      <c r="X20" s="12"/>
      <c r="Y20" s="12"/>
      <c r="Z20" s="12"/>
    </row>
    <row r="21">
      <c r="A21" s="8">
        <v>44214.80405092593</v>
      </c>
      <c r="B21" s="9" t="str">
        <f t="shared" si="1"/>
        <v>@DeniseDresserG</v>
      </c>
      <c r="C21" s="10" t="s">
        <v>542</v>
      </c>
      <c r="D21" s="10" t="s">
        <v>551</v>
      </c>
      <c r="E21" s="9" t="str">
        <f>HYPERLINK("https://twitter.com/DeniseDresserG/status/1351338041613365248","1351338041613365248")</f>
        <v>1351338041613365248</v>
      </c>
      <c r="F21" s="12"/>
      <c r="G21" s="11" t="s">
        <v>582</v>
      </c>
      <c r="H21" s="12"/>
      <c r="I21" s="13">
        <v>91.0</v>
      </c>
      <c r="J21" s="13">
        <v>805.0</v>
      </c>
      <c r="K21" s="9" t="str">
        <f t="shared" si="2"/>
        <v>Twitter for iPhone</v>
      </c>
      <c r="L21" s="14">
        <v>4312150.0</v>
      </c>
      <c r="M21" s="14">
        <v>794.0</v>
      </c>
      <c r="N21" s="14">
        <v>6443.0</v>
      </c>
      <c r="O21" s="15" t="s">
        <v>24</v>
      </c>
      <c r="P21" s="16">
        <v>40889.678506944445</v>
      </c>
      <c r="Q21" s="10" t="s">
        <v>224</v>
      </c>
      <c r="R21" s="10" t="s">
        <v>545</v>
      </c>
      <c r="S21" s="11" t="s">
        <v>546</v>
      </c>
      <c r="T21" s="12"/>
      <c r="U21" s="17" t="str">
        <f t="shared" si="3"/>
        <v>View</v>
      </c>
      <c r="V21" s="12"/>
      <c r="W21" s="12"/>
      <c r="X21" s="12"/>
      <c r="Y21" s="12"/>
      <c r="Z21" s="12"/>
    </row>
    <row r="22">
      <c r="A22" s="8">
        <v>44214.80346064815</v>
      </c>
      <c r="B22" s="9" t="str">
        <f t="shared" si="1"/>
        <v>@DeniseDresserG</v>
      </c>
      <c r="C22" s="10" t="s">
        <v>542</v>
      </c>
      <c r="D22" s="10" t="s">
        <v>583</v>
      </c>
      <c r="E22" s="9" t="str">
        <f>HYPERLINK("https://twitter.com/DeniseDresserG/status/1351337828513411078","1351337828513411078")</f>
        <v>1351337828513411078</v>
      </c>
      <c r="F22" s="12"/>
      <c r="G22" s="11" t="s">
        <v>584</v>
      </c>
      <c r="H22" s="12"/>
      <c r="I22" s="13">
        <v>1490.0</v>
      </c>
      <c r="J22" s="13">
        <v>4102.0</v>
      </c>
      <c r="K22" s="9" t="str">
        <f t="shared" si="2"/>
        <v>Twitter for iPhone</v>
      </c>
      <c r="L22" s="14">
        <v>4312150.0</v>
      </c>
      <c r="M22" s="14">
        <v>794.0</v>
      </c>
      <c r="N22" s="14">
        <v>6443.0</v>
      </c>
      <c r="O22" s="15" t="s">
        <v>24</v>
      </c>
      <c r="P22" s="16">
        <v>40889.678506944445</v>
      </c>
      <c r="Q22" s="10" t="s">
        <v>224</v>
      </c>
      <c r="R22" s="10" t="s">
        <v>545</v>
      </c>
      <c r="S22" s="11" t="s">
        <v>546</v>
      </c>
      <c r="T22" s="12"/>
      <c r="U22" s="17" t="str">
        <f t="shared" si="3"/>
        <v>View</v>
      </c>
      <c r="V22" s="12"/>
      <c r="W22" s="12"/>
      <c r="X22" s="12"/>
      <c r="Y22" s="12"/>
      <c r="Z22" s="12"/>
    </row>
    <row r="23">
      <c r="A23" s="18"/>
      <c r="B23" s="12"/>
      <c r="C23" s="12"/>
      <c r="D23" s="12"/>
      <c r="E23" s="12"/>
      <c r="F23" s="12"/>
      <c r="G23" s="12"/>
      <c r="H23" s="12"/>
      <c r="I23" s="12"/>
      <c r="J23" s="12"/>
      <c r="K23" s="12"/>
      <c r="L23" s="19"/>
      <c r="M23" s="19"/>
      <c r="N23" s="19"/>
      <c r="O23" s="19"/>
      <c r="P23" s="19"/>
      <c r="Q23" s="12"/>
      <c r="R23" s="12"/>
      <c r="S23" s="12"/>
      <c r="T23" s="12"/>
      <c r="U23" s="19"/>
      <c r="V23" s="12"/>
      <c r="W23" s="12"/>
      <c r="X23" s="12"/>
      <c r="Y23" s="12"/>
      <c r="Z23" s="12"/>
    </row>
    <row r="24">
      <c r="A24" s="18"/>
      <c r="B24" s="12"/>
      <c r="C24" s="12"/>
      <c r="D24" s="12"/>
      <c r="E24" s="12"/>
      <c r="F24" s="12"/>
      <c r="G24" s="12"/>
      <c r="H24" s="12"/>
      <c r="I24" s="12"/>
      <c r="J24" s="12"/>
      <c r="K24" s="12"/>
      <c r="L24" s="19"/>
      <c r="M24" s="19"/>
      <c r="N24" s="19"/>
      <c r="O24" s="19"/>
      <c r="P24" s="19"/>
      <c r="Q24" s="12"/>
      <c r="R24" s="12"/>
      <c r="S24" s="12"/>
      <c r="T24" s="12"/>
      <c r="U24" s="19"/>
      <c r="V24" s="12"/>
      <c r="W24" s="12"/>
      <c r="X24" s="12"/>
      <c r="Y24" s="12"/>
      <c r="Z24" s="12"/>
    </row>
    <row r="25">
      <c r="A25" s="18"/>
      <c r="B25" s="12"/>
      <c r="C25" s="12"/>
      <c r="D25" s="12"/>
      <c r="E25" s="12"/>
      <c r="F25" s="12"/>
      <c r="G25" s="12"/>
      <c r="H25" s="12"/>
      <c r="I25" s="12"/>
      <c r="J25" s="12"/>
      <c r="K25" s="12"/>
      <c r="L25" s="19"/>
      <c r="M25" s="19"/>
      <c r="N25" s="19"/>
      <c r="O25" s="19"/>
      <c r="P25" s="19"/>
      <c r="Q25" s="12"/>
      <c r="R25" s="12"/>
      <c r="S25" s="12"/>
      <c r="T25" s="12"/>
      <c r="U25" s="19"/>
      <c r="V25" s="12"/>
      <c r="W25" s="12"/>
      <c r="X25" s="12"/>
      <c r="Y25" s="12"/>
      <c r="Z25" s="12"/>
    </row>
    <row r="26">
      <c r="A26" s="18"/>
      <c r="B26" s="12"/>
      <c r="C26" s="12"/>
      <c r="D26" s="12"/>
      <c r="E26" s="12"/>
      <c r="F26" s="12"/>
      <c r="G26" s="12"/>
      <c r="H26" s="12"/>
      <c r="I26" s="12"/>
      <c r="J26" s="12"/>
      <c r="K26" s="12"/>
      <c r="L26" s="19"/>
      <c r="M26" s="19"/>
      <c r="N26" s="19"/>
      <c r="O26" s="19"/>
      <c r="P26" s="19"/>
      <c r="Q26" s="12"/>
      <c r="R26" s="12"/>
      <c r="S26" s="12"/>
      <c r="T26" s="12"/>
      <c r="U26" s="19"/>
      <c r="V26" s="12"/>
      <c r="W26" s="12"/>
      <c r="X26" s="12"/>
      <c r="Y26" s="12"/>
      <c r="Z26" s="12"/>
    </row>
    <row r="27">
      <c r="A27" s="18"/>
      <c r="B27" s="12"/>
      <c r="C27" s="12"/>
      <c r="D27" s="12"/>
      <c r="E27" s="12"/>
      <c r="F27" s="12"/>
      <c r="G27" s="12"/>
      <c r="H27" s="12"/>
      <c r="I27" s="12"/>
      <c r="J27" s="12"/>
      <c r="K27" s="12"/>
      <c r="L27" s="19"/>
      <c r="M27" s="19"/>
      <c r="N27" s="19"/>
      <c r="O27" s="19"/>
      <c r="P27" s="19"/>
      <c r="Q27" s="12"/>
      <c r="R27" s="12"/>
      <c r="S27" s="12"/>
      <c r="T27" s="12"/>
      <c r="U27" s="19"/>
      <c r="V27" s="12"/>
      <c r="W27" s="12"/>
      <c r="X27" s="12"/>
      <c r="Y27" s="12"/>
      <c r="Z27" s="12"/>
    </row>
    <row r="28">
      <c r="A28" s="18"/>
      <c r="B28" s="12"/>
      <c r="C28" s="12"/>
      <c r="D28" s="12"/>
      <c r="E28" s="12"/>
      <c r="F28" s="12"/>
      <c r="G28" s="12"/>
      <c r="H28" s="12"/>
      <c r="I28" s="12"/>
      <c r="J28" s="12"/>
      <c r="K28" s="12"/>
      <c r="L28" s="19"/>
      <c r="M28" s="19"/>
      <c r="N28" s="19"/>
      <c r="O28" s="19"/>
      <c r="P28" s="19"/>
      <c r="Q28" s="12"/>
      <c r="R28" s="12"/>
      <c r="S28" s="12"/>
      <c r="T28" s="12"/>
      <c r="U28" s="19"/>
      <c r="V28" s="12"/>
      <c r="W28" s="12"/>
      <c r="X28" s="12"/>
      <c r="Y28" s="12"/>
      <c r="Z28" s="12"/>
    </row>
    <row r="29">
      <c r="A29" s="18"/>
      <c r="B29" s="12"/>
      <c r="C29" s="12"/>
      <c r="D29" s="12"/>
      <c r="E29" s="12"/>
      <c r="F29" s="12"/>
      <c r="G29" s="12"/>
      <c r="H29" s="12"/>
      <c r="I29" s="12"/>
      <c r="J29" s="12"/>
      <c r="K29" s="12"/>
      <c r="L29" s="19"/>
      <c r="M29" s="19"/>
      <c r="N29" s="19"/>
      <c r="O29" s="19"/>
      <c r="P29" s="19"/>
      <c r="Q29" s="12"/>
      <c r="R29" s="12"/>
      <c r="S29" s="12"/>
      <c r="T29" s="12"/>
      <c r="U29" s="19"/>
      <c r="V29" s="12"/>
      <c r="W29" s="12"/>
      <c r="X29" s="12"/>
      <c r="Y29" s="12"/>
      <c r="Z29" s="12"/>
    </row>
    <row r="30">
      <c r="A30" s="18"/>
      <c r="B30" s="12"/>
      <c r="C30" s="12"/>
      <c r="D30" s="12"/>
      <c r="E30" s="12"/>
      <c r="F30" s="12"/>
      <c r="G30" s="12"/>
      <c r="H30" s="12"/>
      <c r="I30" s="12"/>
      <c r="J30" s="12"/>
      <c r="K30" s="12"/>
      <c r="L30" s="19"/>
      <c r="M30" s="19"/>
      <c r="N30" s="19"/>
      <c r="O30" s="19"/>
      <c r="P30" s="19"/>
      <c r="Q30" s="12"/>
      <c r="R30" s="12"/>
      <c r="S30" s="12"/>
      <c r="T30" s="12"/>
      <c r="U30" s="19"/>
      <c r="V30" s="12"/>
      <c r="W30" s="12"/>
      <c r="X30" s="12"/>
      <c r="Y30" s="12"/>
      <c r="Z30" s="12"/>
    </row>
    <row r="31">
      <c r="A31" s="18"/>
      <c r="B31" s="12"/>
      <c r="C31" s="12"/>
      <c r="D31" s="12"/>
      <c r="E31" s="12"/>
      <c r="F31" s="12"/>
      <c r="G31" s="12"/>
      <c r="H31" s="12"/>
      <c r="I31" s="12"/>
      <c r="J31" s="12"/>
      <c r="K31" s="12"/>
      <c r="L31" s="19"/>
      <c r="M31" s="19"/>
      <c r="N31" s="19"/>
      <c r="O31" s="19"/>
      <c r="P31" s="19"/>
      <c r="Q31" s="12"/>
      <c r="R31" s="12"/>
      <c r="S31" s="12"/>
      <c r="T31" s="12"/>
      <c r="U31" s="19"/>
      <c r="V31" s="12"/>
      <c r="W31" s="12"/>
      <c r="X31" s="12"/>
      <c r="Y31" s="12"/>
      <c r="Z31" s="12"/>
    </row>
    <row r="32">
      <c r="A32" s="18"/>
      <c r="B32" s="12"/>
      <c r="C32" s="12"/>
      <c r="D32" s="12"/>
      <c r="E32" s="12"/>
      <c r="F32" s="12"/>
      <c r="G32" s="12"/>
      <c r="H32" s="12"/>
      <c r="I32" s="12"/>
      <c r="J32" s="12"/>
      <c r="K32" s="12"/>
      <c r="L32" s="19"/>
      <c r="M32" s="19"/>
      <c r="N32" s="19"/>
      <c r="O32" s="19"/>
      <c r="P32" s="19"/>
      <c r="Q32" s="12"/>
      <c r="R32" s="12"/>
      <c r="S32" s="12"/>
      <c r="T32" s="12"/>
      <c r="U32" s="19"/>
      <c r="V32" s="12"/>
      <c r="W32" s="12"/>
      <c r="X32" s="12"/>
      <c r="Y32" s="12"/>
      <c r="Z32" s="12"/>
    </row>
    <row r="33">
      <c r="A33" s="18"/>
      <c r="B33" s="12"/>
      <c r="C33" s="12"/>
      <c r="D33" s="12"/>
      <c r="E33" s="12"/>
      <c r="F33" s="12"/>
      <c r="G33" s="12"/>
      <c r="H33" s="12"/>
      <c r="I33" s="12"/>
      <c r="J33" s="12"/>
      <c r="K33" s="12"/>
      <c r="L33" s="19"/>
      <c r="M33" s="19"/>
      <c r="N33" s="19"/>
      <c r="O33" s="19"/>
      <c r="P33" s="19"/>
      <c r="Q33" s="12"/>
      <c r="R33" s="12"/>
      <c r="S33" s="12"/>
      <c r="T33" s="12"/>
      <c r="U33" s="19"/>
      <c r="V33" s="12"/>
      <c r="W33" s="12"/>
      <c r="X33" s="12"/>
      <c r="Y33" s="12"/>
      <c r="Z33" s="12"/>
    </row>
    <row r="34">
      <c r="A34" s="18"/>
      <c r="B34" s="12"/>
      <c r="C34" s="12"/>
      <c r="D34" s="12"/>
      <c r="E34" s="12"/>
      <c r="F34" s="12"/>
      <c r="G34" s="12"/>
      <c r="H34" s="12"/>
      <c r="I34" s="12"/>
      <c r="J34" s="12"/>
      <c r="K34" s="12"/>
      <c r="L34" s="19"/>
      <c r="M34" s="19"/>
      <c r="N34" s="19"/>
      <c r="O34" s="19"/>
      <c r="P34" s="19"/>
      <c r="Q34" s="12"/>
      <c r="R34" s="12"/>
      <c r="S34" s="12"/>
      <c r="T34" s="12"/>
      <c r="U34" s="19"/>
      <c r="V34" s="12"/>
      <c r="W34" s="12"/>
      <c r="X34" s="12"/>
      <c r="Y34" s="12"/>
      <c r="Z34" s="12"/>
    </row>
    <row r="35">
      <c r="A35" s="18"/>
      <c r="B35" s="12"/>
      <c r="C35" s="12"/>
      <c r="D35" s="12"/>
      <c r="E35" s="12"/>
      <c r="F35" s="12"/>
      <c r="G35" s="12"/>
      <c r="H35" s="12"/>
      <c r="I35" s="12"/>
      <c r="J35" s="12"/>
      <c r="K35" s="12"/>
      <c r="L35" s="19"/>
      <c r="M35" s="19"/>
      <c r="N35" s="19"/>
      <c r="O35" s="19"/>
      <c r="P35" s="19"/>
      <c r="Q35" s="12"/>
      <c r="R35" s="12"/>
      <c r="S35" s="12"/>
      <c r="T35" s="12"/>
      <c r="U35" s="19"/>
      <c r="V35" s="12"/>
      <c r="W35" s="12"/>
      <c r="X35" s="12"/>
      <c r="Y35" s="12"/>
      <c r="Z35" s="12"/>
    </row>
    <row r="36">
      <c r="A36" s="18"/>
      <c r="B36" s="12"/>
      <c r="C36" s="12"/>
      <c r="D36" s="12"/>
      <c r="E36" s="12"/>
      <c r="F36" s="12"/>
      <c r="G36" s="12"/>
      <c r="H36" s="12"/>
      <c r="I36" s="12"/>
      <c r="J36" s="12"/>
      <c r="K36" s="12"/>
      <c r="L36" s="19"/>
      <c r="M36" s="19"/>
      <c r="N36" s="19"/>
      <c r="O36" s="19"/>
      <c r="P36" s="19"/>
      <c r="Q36" s="12"/>
      <c r="R36" s="12"/>
      <c r="S36" s="12"/>
      <c r="T36" s="12"/>
      <c r="U36" s="19"/>
      <c r="V36" s="12"/>
      <c r="W36" s="12"/>
      <c r="X36" s="12"/>
      <c r="Y36" s="12"/>
      <c r="Z36" s="12"/>
    </row>
    <row r="37">
      <c r="A37" s="18"/>
      <c r="B37" s="12"/>
      <c r="C37" s="12"/>
      <c r="D37" s="12"/>
      <c r="E37" s="12"/>
      <c r="F37" s="12"/>
      <c r="G37" s="12"/>
      <c r="H37" s="12"/>
      <c r="I37" s="12"/>
      <c r="J37" s="12"/>
      <c r="K37" s="12"/>
      <c r="L37" s="19"/>
      <c r="M37" s="19"/>
      <c r="N37" s="19"/>
      <c r="O37" s="19"/>
      <c r="P37" s="19"/>
      <c r="Q37" s="12"/>
      <c r="R37" s="12"/>
      <c r="S37" s="12"/>
      <c r="T37" s="12"/>
      <c r="U37" s="19"/>
      <c r="V37" s="12"/>
      <c r="W37" s="12"/>
      <c r="X37" s="12"/>
      <c r="Y37" s="12"/>
      <c r="Z37" s="12"/>
    </row>
    <row r="38">
      <c r="A38" s="18"/>
      <c r="B38" s="12"/>
      <c r="C38" s="12"/>
      <c r="D38" s="12"/>
      <c r="E38" s="12"/>
      <c r="F38" s="12"/>
      <c r="G38" s="12"/>
      <c r="H38" s="12"/>
      <c r="I38" s="12"/>
      <c r="J38" s="12"/>
      <c r="K38" s="12"/>
      <c r="L38" s="19"/>
      <c r="M38" s="19"/>
      <c r="N38" s="19"/>
      <c r="O38" s="19"/>
      <c r="P38" s="19"/>
      <c r="Q38" s="12"/>
      <c r="R38" s="12"/>
      <c r="S38" s="12"/>
      <c r="T38" s="12"/>
      <c r="U38" s="19"/>
      <c r="V38" s="12"/>
      <c r="W38" s="12"/>
      <c r="X38" s="12"/>
      <c r="Y38" s="12"/>
      <c r="Z38" s="12"/>
    </row>
    <row r="39">
      <c r="A39" s="18"/>
      <c r="B39" s="12"/>
      <c r="C39" s="12"/>
      <c r="D39" s="12"/>
      <c r="E39" s="12"/>
      <c r="F39" s="12"/>
      <c r="G39" s="12"/>
      <c r="H39" s="12"/>
      <c r="I39" s="12"/>
      <c r="J39" s="12"/>
      <c r="K39" s="12"/>
      <c r="L39" s="19"/>
      <c r="M39" s="19"/>
      <c r="N39" s="19"/>
      <c r="O39" s="19"/>
      <c r="P39" s="19"/>
      <c r="Q39" s="12"/>
      <c r="R39" s="12"/>
      <c r="S39" s="12"/>
      <c r="T39" s="12"/>
      <c r="U39" s="19"/>
      <c r="V39" s="12"/>
      <c r="W39" s="12"/>
      <c r="X39" s="12"/>
      <c r="Y39" s="12"/>
      <c r="Z39" s="12"/>
    </row>
    <row r="40">
      <c r="A40" s="18"/>
      <c r="B40" s="12"/>
      <c r="C40" s="12"/>
      <c r="D40" s="12"/>
      <c r="E40" s="12"/>
      <c r="F40" s="12"/>
      <c r="G40" s="12"/>
      <c r="H40" s="12"/>
      <c r="I40" s="12"/>
      <c r="J40" s="12"/>
      <c r="K40" s="12"/>
      <c r="L40" s="19"/>
      <c r="M40" s="19"/>
      <c r="N40" s="19"/>
      <c r="O40" s="19"/>
      <c r="P40" s="19"/>
      <c r="Q40" s="12"/>
      <c r="R40" s="12"/>
      <c r="S40" s="12"/>
      <c r="T40" s="12"/>
      <c r="U40" s="19"/>
      <c r="V40" s="12"/>
      <c r="W40" s="12"/>
      <c r="X40" s="12"/>
      <c r="Y40" s="12"/>
      <c r="Z40" s="12"/>
    </row>
    <row r="41">
      <c r="A41" s="18"/>
      <c r="B41" s="12"/>
      <c r="C41" s="12"/>
      <c r="D41" s="12"/>
      <c r="E41" s="12"/>
      <c r="F41" s="12"/>
      <c r="G41" s="12"/>
      <c r="H41" s="12"/>
      <c r="I41" s="12"/>
      <c r="J41" s="12"/>
      <c r="K41" s="12"/>
      <c r="L41" s="19"/>
      <c r="M41" s="19"/>
      <c r="N41" s="19"/>
      <c r="O41" s="19"/>
      <c r="P41" s="19"/>
      <c r="Q41" s="12"/>
      <c r="R41" s="12"/>
      <c r="S41" s="12"/>
      <c r="T41" s="12"/>
      <c r="U41" s="19"/>
      <c r="V41" s="12"/>
      <c r="W41" s="12"/>
      <c r="X41" s="12"/>
      <c r="Y41" s="12"/>
      <c r="Z41" s="12"/>
    </row>
    <row r="42">
      <c r="A42" s="18"/>
      <c r="B42" s="12"/>
      <c r="C42" s="12"/>
      <c r="D42" s="12"/>
      <c r="E42" s="12"/>
      <c r="F42" s="12"/>
      <c r="G42" s="12"/>
      <c r="H42" s="12"/>
      <c r="I42" s="12"/>
      <c r="J42" s="12"/>
      <c r="K42" s="12"/>
      <c r="L42" s="19"/>
      <c r="M42" s="19"/>
      <c r="N42" s="19"/>
      <c r="O42" s="19"/>
      <c r="P42" s="19"/>
      <c r="Q42" s="12"/>
      <c r="R42" s="12"/>
      <c r="S42" s="12"/>
      <c r="T42" s="12"/>
      <c r="U42" s="19"/>
      <c r="V42" s="12"/>
      <c r="W42" s="12"/>
      <c r="X42" s="12"/>
      <c r="Y42" s="12"/>
      <c r="Z42" s="12"/>
    </row>
    <row r="43">
      <c r="A43" s="18"/>
      <c r="B43" s="12"/>
      <c r="C43" s="12"/>
      <c r="D43" s="12"/>
      <c r="E43" s="12"/>
      <c r="F43" s="12"/>
      <c r="G43" s="12"/>
      <c r="H43" s="12"/>
      <c r="I43" s="12"/>
      <c r="J43" s="12"/>
      <c r="K43" s="12"/>
      <c r="L43" s="19"/>
      <c r="M43" s="19"/>
      <c r="N43" s="19"/>
      <c r="O43" s="19"/>
      <c r="P43" s="19"/>
      <c r="Q43" s="12"/>
      <c r="R43" s="12"/>
      <c r="S43" s="12"/>
      <c r="T43" s="12"/>
      <c r="U43" s="19"/>
      <c r="V43" s="12"/>
      <c r="W43" s="12"/>
      <c r="X43" s="12"/>
      <c r="Y43" s="12"/>
      <c r="Z43" s="12"/>
    </row>
    <row r="44">
      <c r="A44" s="18"/>
      <c r="B44" s="12"/>
      <c r="C44" s="12"/>
      <c r="D44" s="12"/>
      <c r="E44" s="12"/>
      <c r="F44" s="12"/>
      <c r="G44" s="12"/>
      <c r="H44" s="12"/>
      <c r="I44" s="12"/>
      <c r="J44" s="12"/>
      <c r="K44" s="12"/>
      <c r="L44" s="19"/>
      <c r="M44" s="19"/>
      <c r="N44" s="19"/>
      <c r="O44" s="19"/>
      <c r="P44" s="19"/>
      <c r="Q44" s="12"/>
      <c r="R44" s="12"/>
      <c r="S44" s="12"/>
      <c r="T44" s="12"/>
      <c r="U44" s="19"/>
      <c r="V44" s="12"/>
      <c r="W44" s="12"/>
      <c r="X44" s="12"/>
      <c r="Y44" s="12"/>
      <c r="Z44" s="12"/>
    </row>
    <row r="45">
      <c r="A45" s="18"/>
      <c r="B45" s="12"/>
      <c r="C45" s="12"/>
      <c r="D45" s="12"/>
      <c r="E45" s="12"/>
      <c r="F45" s="12"/>
      <c r="G45" s="12"/>
      <c r="H45" s="12"/>
      <c r="I45" s="12"/>
      <c r="J45" s="12"/>
      <c r="K45" s="12"/>
      <c r="L45" s="19"/>
      <c r="M45" s="19"/>
      <c r="N45" s="19"/>
      <c r="O45" s="19"/>
      <c r="P45" s="19"/>
      <c r="Q45" s="12"/>
      <c r="R45" s="12"/>
      <c r="S45" s="12"/>
      <c r="T45" s="12"/>
      <c r="U45" s="19"/>
      <c r="V45" s="12"/>
      <c r="W45" s="12"/>
      <c r="X45" s="12"/>
      <c r="Y45" s="12"/>
      <c r="Z45" s="12"/>
    </row>
    <row r="46">
      <c r="A46" s="18"/>
      <c r="B46" s="12"/>
      <c r="C46" s="12"/>
      <c r="D46" s="12"/>
      <c r="E46" s="12"/>
      <c r="F46" s="12"/>
      <c r="G46" s="12"/>
      <c r="H46" s="12"/>
      <c r="I46" s="12"/>
      <c r="J46" s="12"/>
      <c r="K46" s="12"/>
      <c r="L46" s="19"/>
      <c r="M46" s="19"/>
      <c r="N46" s="19"/>
      <c r="O46" s="19"/>
      <c r="P46" s="19"/>
      <c r="Q46" s="12"/>
      <c r="R46" s="12"/>
      <c r="S46" s="12"/>
      <c r="T46" s="12"/>
      <c r="U46" s="19"/>
      <c r="V46" s="12"/>
      <c r="W46" s="12"/>
      <c r="X46" s="12"/>
      <c r="Y46" s="12"/>
      <c r="Z46" s="12"/>
    </row>
    <row r="47">
      <c r="A47" s="18"/>
      <c r="B47" s="12"/>
      <c r="C47" s="12"/>
      <c r="D47" s="12"/>
      <c r="E47" s="12"/>
      <c r="F47" s="12"/>
      <c r="G47" s="12"/>
      <c r="H47" s="12"/>
      <c r="I47" s="12"/>
      <c r="J47" s="12"/>
      <c r="K47" s="12"/>
      <c r="L47" s="19"/>
      <c r="M47" s="19"/>
      <c r="N47" s="19"/>
      <c r="O47" s="19"/>
      <c r="P47" s="19"/>
      <c r="Q47" s="12"/>
      <c r="R47" s="12"/>
      <c r="S47" s="12"/>
      <c r="T47" s="12"/>
      <c r="U47" s="19"/>
      <c r="V47" s="12"/>
      <c r="W47" s="12"/>
      <c r="X47" s="12"/>
      <c r="Y47" s="12"/>
      <c r="Z47" s="12"/>
    </row>
    <row r="48">
      <c r="A48" s="18"/>
      <c r="B48" s="12"/>
      <c r="C48" s="12"/>
      <c r="D48" s="12"/>
      <c r="E48" s="12"/>
      <c r="F48" s="12"/>
      <c r="G48" s="12"/>
      <c r="H48" s="12"/>
      <c r="I48" s="12"/>
      <c r="J48" s="12"/>
      <c r="K48" s="12"/>
      <c r="L48" s="19"/>
      <c r="M48" s="19"/>
      <c r="N48" s="19"/>
      <c r="O48" s="19"/>
      <c r="P48" s="19"/>
      <c r="Q48" s="12"/>
      <c r="R48" s="12"/>
      <c r="S48" s="12"/>
      <c r="T48" s="12"/>
      <c r="U48" s="19"/>
      <c r="V48" s="12"/>
      <c r="W48" s="12"/>
      <c r="X48" s="12"/>
      <c r="Y48" s="12"/>
      <c r="Z48" s="12"/>
    </row>
    <row r="49">
      <c r="A49" s="18"/>
      <c r="B49" s="12"/>
      <c r="C49" s="12"/>
      <c r="D49" s="12"/>
      <c r="E49" s="12"/>
      <c r="F49" s="12"/>
      <c r="G49" s="12"/>
      <c r="H49" s="12"/>
      <c r="I49" s="12"/>
      <c r="J49" s="12"/>
      <c r="K49" s="12"/>
      <c r="L49" s="19"/>
      <c r="M49" s="19"/>
      <c r="N49" s="19"/>
      <c r="O49" s="19"/>
      <c r="P49" s="19"/>
      <c r="Q49" s="12"/>
      <c r="R49" s="12"/>
      <c r="S49" s="12"/>
      <c r="T49" s="12"/>
      <c r="U49" s="19"/>
      <c r="V49" s="12"/>
      <c r="W49" s="12"/>
      <c r="X49" s="12"/>
      <c r="Y49" s="12"/>
      <c r="Z49" s="12"/>
    </row>
    <row r="50">
      <c r="A50" s="18"/>
      <c r="B50" s="12"/>
      <c r="C50" s="12"/>
      <c r="D50" s="12"/>
      <c r="E50" s="12"/>
      <c r="F50" s="12"/>
      <c r="G50" s="12"/>
      <c r="H50" s="12"/>
      <c r="I50" s="12"/>
      <c r="J50" s="12"/>
      <c r="K50" s="12"/>
      <c r="L50" s="19"/>
      <c r="M50" s="19"/>
      <c r="N50" s="19"/>
      <c r="O50" s="19"/>
      <c r="P50" s="19"/>
      <c r="Q50" s="12"/>
      <c r="R50" s="12"/>
      <c r="S50" s="12"/>
      <c r="T50" s="12"/>
      <c r="U50" s="19"/>
      <c r="V50" s="12"/>
      <c r="W50" s="12"/>
      <c r="X50" s="12"/>
      <c r="Y50" s="12"/>
      <c r="Z50" s="12"/>
    </row>
    <row r="51">
      <c r="A51" s="18"/>
      <c r="B51" s="12"/>
      <c r="C51" s="12"/>
      <c r="D51" s="12"/>
      <c r="E51" s="12"/>
      <c r="F51" s="12"/>
      <c r="G51" s="12"/>
      <c r="H51" s="12"/>
      <c r="I51" s="12"/>
      <c r="J51" s="12"/>
      <c r="K51" s="12"/>
      <c r="L51" s="19"/>
      <c r="M51" s="19"/>
      <c r="N51" s="19"/>
      <c r="O51" s="19"/>
      <c r="P51" s="19"/>
      <c r="Q51" s="12"/>
      <c r="R51" s="12"/>
      <c r="S51" s="12"/>
      <c r="T51" s="12"/>
      <c r="U51" s="19"/>
      <c r="V51" s="12"/>
      <c r="W51" s="12"/>
      <c r="X51" s="12"/>
      <c r="Y51" s="12"/>
      <c r="Z51" s="12"/>
    </row>
    <row r="52">
      <c r="A52" s="18"/>
      <c r="B52" s="12"/>
      <c r="C52" s="12"/>
      <c r="D52" s="12"/>
      <c r="E52" s="12"/>
      <c r="F52" s="12"/>
      <c r="G52" s="12"/>
      <c r="H52" s="12"/>
      <c r="I52" s="12"/>
      <c r="J52" s="12"/>
      <c r="K52" s="12"/>
      <c r="L52" s="19"/>
      <c r="M52" s="19"/>
      <c r="N52" s="19"/>
      <c r="O52" s="19"/>
      <c r="P52" s="19"/>
      <c r="Q52" s="12"/>
      <c r="R52" s="12"/>
      <c r="S52" s="12"/>
      <c r="T52" s="12"/>
      <c r="U52" s="19"/>
      <c r="V52" s="12"/>
      <c r="W52" s="12"/>
      <c r="X52" s="12"/>
      <c r="Y52" s="12"/>
      <c r="Z52" s="12"/>
    </row>
    <row r="53">
      <c r="A53" s="18"/>
      <c r="B53" s="12"/>
      <c r="C53" s="12"/>
      <c r="D53" s="12"/>
      <c r="E53" s="12"/>
      <c r="F53" s="12"/>
      <c r="G53" s="12"/>
      <c r="H53" s="12"/>
      <c r="I53" s="12"/>
      <c r="J53" s="12"/>
      <c r="K53" s="12"/>
      <c r="L53" s="19"/>
      <c r="M53" s="19"/>
      <c r="N53" s="19"/>
      <c r="O53" s="19"/>
      <c r="P53" s="19"/>
      <c r="Q53" s="12"/>
      <c r="R53" s="12"/>
      <c r="S53" s="12"/>
      <c r="T53" s="12"/>
      <c r="U53" s="19"/>
      <c r="V53" s="12"/>
      <c r="W53" s="12"/>
      <c r="X53" s="12"/>
      <c r="Y53" s="12"/>
      <c r="Z53" s="12"/>
    </row>
    <row r="54">
      <c r="A54" s="18"/>
      <c r="B54" s="12"/>
      <c r="C54" s="12"/>
      <c r="D54" s="12"/>
      <c r="E54" s="12"/>
      <c r="F54" s="12"/>
      <c r="G54" s="12"/>
      <c r="H54" s="12"/>
      <c r="I54" s="12"/>
      <c r="J54" s="12"/>
      <c r="K54" s="12"/>
      <c r="L54" s="19"/>
      <c r="M54" s="19"/>
      <c r="N54" s="19"/>
      <c r="O54" s="19"/>
      <c r="P54" s="19"/>
      <c r="Q54" s="12"/>
      <c r="R54" s="12"/>
      <c r="S54" s="12"/>
      <c r="T54" s="12"/>
      <c r="U54" s="19"/>
      <c r="V54" s="12"/>
      <c r="W54" s="12"/>
      <c r="X54" s="12"/>
      <c r="Y54" s="12"/>
      <c r="Z54" s="12"/>
    </row>
    <row r="55">
      <c r="A55" s="18"/>
      <c r="B55" s="12"/>
      <c r="C55" s="12"/>
      <c r="D55" s="12"/>
      <c r="E55" s="12"/>
      <c r="F55" s="12"/>
      <c r="G55" s="12"/>
      <c r="H55" s="12"/>
      <c r="I55" s="12"/>
      <c r="J55" s="12"/>
      <c r="K55" s="12"/>
      <c r="L55" s="19"/>
      <c r="M55" s="19"/>
      <c r="N55" s="19"/>
      <c r="O55" s="19"/>
      <c r="P55" s="19"/>
      <c r="Q55" s="12"/>
      <c r="R55" s="12"/>
      <c r="S55" s="12"/>
      <c r="T55" s="12"/>
      <c r="U55" s="19"/>
      <c r="V55" s="12"/>
      <c r="W55" s="12"/>
      <c r="X55" s="12"/>
      <c r="Y55" s="12"/>
      <c r="Z55" s="12"/>
    </row>
    <row r="56">
      <c r="A56" s="18"/>
      <c r="B56" s="12"/>
      <c r="C56" s="12"/>
      <c r="D56" s="12"/>
      <c r="E56" s="12"/>
      <c r="F56" s="12"/>
      <c r="G56" s="12"/>
      <c r="H56" s="12"/>
      <c r="I56" s="12"/>
      <c r="J56" s="12"/>
      <c r="K56" s="12"/>
      <c r="L56" s="19"/>
      <c r="M56" s="19"/>
      <c r="N56" s="19"/>
      <c r="O56" s="19"/>
      <c r="P56" s="19"/>
      <c r="Q56" s="12"/>
      <c r="R56" s="12"/>
      <c r="S56" s="12"/>
      <c r="T56" s="12"/>
      <c r="U56" s="19"/>
      <c r="V56" s="12"/>
      <c r="W56" s="12"/>
      <c r="X56" s="12"/>
      <c r="Y56" s="12"/>
      <c r="Z56" s="12"/>
    </row>
    <row r="57">
      <c r="A57" s="18"/>
      <c r="B57" s="12"/>
      <c r="C57" s="12"/>
      <c r="D57" s="12"/>
      <c r="E57" s="12"/>
      <c r="F57" s="12"/>
      <c r="G57" s="12"/>
      <c r="H57" s="12"/>
      <c r="I57" s="12"/>
      <c r="J57" s="12"/>
      <c r="K57" s="12"/>
      <c r="L57" s="19"/>
      <c r="M57" s="19"/>
      <c r="N57" s="19"/>
      <c r="O57" s="19"/>
      <c r="P57" s="19"/>
      <c r="Q57" s="12"/>
      <c r="R57" s="12"/>
      <c r="S57" s="12"/>
      <c r="T57" s="12"/>
      <c r="U57" s="19"/>
      <c r="V57" s="12"/>
      <c r="W57" s="12"/>
      <c r="X57" s="12"/>
      <c r="Y57" s="12"/>
      <c r="Z57" s="12"/>
    </row>
    <row r="58">
      <c r="A58" s="18"/>
      <c r="B58" s="12"/>
      <c r="C58" s="12"/>
      <c r="D58" s="12"/>
      <c r="E58" s="12"/>
      <c r="F58" s="12"/>
      <c r="G58" s="12"/>
      <c r="H58" s="12"/>
      <c r="I58" s="12"/>
      <c r="J58" s="12"/>
      <c r="K58" s="12"/>
      <c r="L58" s="19"/>
      <c r="M58" s="19"/>
      <c r="N58" s="19"/>
      <c r="O58" s="19"/>
      <c r="P58" s="19"/>
      <c r="Q58" s="12"/>
      <c r="R58" s="12"/>
      <c r="S58" s="12"/>
      <c r="T58" s="12"/>
      <c r="U58" s="19"/>
      <c r="V58" s="12"/>
      <c r="W58" s="12"/>
      <c r="X58" s="12"/>
      <c r="Y58" s="12"/>
      <c r="Z58" s="12"/>
    </row>
    <row r="59">
      <c r="A59" s="18"/>
      <c r="B59" s="12"/>
      <c r="C59" s="12"/>
      <c r="D59" s="12"/>
      <c r="E59" s="12"/>
      <c r="F59" s="12"/>
      <c r="G59" s="12"/>
      <c r="H59" s="12"/>
      <c r="I59" s="12"/>
      <c r="J59" s="12"/>
      <c r="K59" s="12"/>
      <c r="L59" s="19"/>
      <c r="M59" s="19"/>
      <c r="N59" s="19"/>
      <c r="O59" s="19"/>
      <c r="P59" s="19"/>
      <c r="Q59" s="12"/>
      <c r="R59" s="12"/>
      <c r="S59" s="12"/>
      <c r="T59" s="12"/>
      <c r="U59" s="19"/>
      <c r="V59" s="12"/>
      <c r="W59" s="12"/>
      <c r="X59" s="12"/>
      <c r="Y59" s="12"/>
      <c r="Z59" s="12"/>
    </row>
    <row r="60">
      <c r="A60" s="18"/>
      <c r="B60" s="12"/>
      <c r="C60" s="12"/>
      <c r="D60" s="12"/>
      <c r="E60" s="12"/>
      <c r="F60" s="12"/>
      <c r="G60" s="12"/>
      <c r="H60" s="12"/>
      <c r="I60" s="12"/>
      <c r="J60" s="12"/>
      <c r="K60" s="12"/>
      <c r="L60" s="19"/>
      <c r="M60" s="19"/>
      <c r="N60" s="19"/>
      <c r="O60" s="19"/>
      <c r="P60" s="19"/>
      <c r="Q60" s="12"/>
      <c r="R60" s="12"/>
      <c r="S60" s="12"/>
      <c r="T60" s="12"/>
      <c r="U60" s="19"/>
      <c r="V60" s="12"/>
      <c r="W60" s="12"/>
      <c r="X60" s="12"/>
      <c r="Y60" s="12"/>
      <c r="Z60" s="12"/>
    </row>
    <row r="61">
      <c r="A61" s="18"/>
      <c r="B61" s="12"/>
      <c r="C61" s="12"/>
      <c r="D61" s="12"/>
      <c r="E61" s="12"/>
      <c r="F61" s="12"/>
      <c r="G61" s="12"/>
      <c r="H61" s="12"/>
      <c r="I61" s="12"/>
      <c r="J61" s="12"/>
      <c r="K61" s="12"/>
      <c r="L61" s="19"/>
      <c r="M61" s="19"/>
      <c r="N61" s="19"/>
      <c r="O61" s="19"/>
      <c r="P61" s="19"/>
      <c r="Q61" s="12"/>
      <c r="R61" s="12"/>
      <c r="S61" s="12"/>
      <c r="T61" s="12"/>
      <c r="U61" s="19"/>
      <c r="V61" s="12"/>
      <c r="W61" s="12"/>
      <c r="X61" s="12"/>
      <c r="Y61" s="12"/>
      <c r="Z61" s="12"/>
    </row>
    <row r="62">
      <c r="A62" s="18"/>
      <c r="B62" s="12"/>
      <c r="C62" s="12"/>
      <c r="D62" s="12"/>
      <c r="E62" s="12"/>
      <c r="F62" s="12"/>
      <c r="G62" s="12"/>
      <c r="H62" s="12"/>
      <c r="I62" s="12"/>
      <c r="J62" s="12"/>
      <c r="K62" s="12"/>
      <c r="L62" s="19"/>
      <c r="M62" s="19"/>
      <c r="N62" s="19"/>
      <c r="O62" s="19"/>
      <c r="P62" s="19"/>
      <c r="Q62" s="12"/>
      <c r="R62" s="12"/>
      <c r="S62" s="12"/>
      <c r="T62" s="12"/>
      <c r="U62" s="19"/>
      <c r="V62" s="12"/>
      <c r="W62" s="12"/>
      <c r="X62" s="12"/>
      <c r="Y62" s="12"/>
      <c r="Z62" s="12"/>
    </row>
    <row r="63">
      <c r="A63" s="18"/>
      <c r="B63" s="12"/>
      <c r="C63" s="12"/>
      <c r="D63" s="12"/>
      <c r="E63" s="12"/>
      <c r="F63" s="12"/>
      <c r="G63" s="12"/>
      <c r="H63" s="12"/>
      <c r="I63" s="12"/>
      <c r="J63" s="12"/>
      <c r="K63" s="12"/>
      <c r="L63" s="19"/>
      <c r="M63" s="19"/>
      <c r="N63" s="19"/>
      <c r="O63" s="19"/>
      <c r="P63" s="19"/>
      <c r="Q63" s="12"/>
      <c r="R63" s="12"/>
      <c r="S63" s="12"/>
      <c r="T63" s="12"/>
      <c r="U63" s="19"/>
      <c r="V63" s="12"/>
      <c r="W63" s="12"/>
      <c r="X63" s="12"/>
      <c r="Y63" s="12"/>
      <c r="Z63" s="12"/>
    </row>
    <row r="64">
      <c r="A64" s="18"/>
      <c r="B64" s="12"/>
      <c r="C64" s="12"/>
      <c r="D64" s="12"/>
      <c r="E64" s="12"/>
      <c r="F64" s="12"/>
      <c r="G64" s="12"/>
      <c r="H64" s="12"/>
      <c r="I64" s="12"/>
      <c r="J64" s="12"/>
      <c r="K64" s="12"/>
      <c r="L64" s="19"/>
      <c r="M64" s="19"/>
      <c r="N64" s="19"/>
      <c r="O64" s="19"/>
      <c r="P64" s="19"/>
      <c r="Q64" s="12"/>
      <c r="R64" s="12"/>
      <c r="S64" s="12"/>
      <c r="T64" s="12"/>
      <c r="U64" s="19"/>
      <c r="V64" s="12"/>
      <c r="W64" s="12"/>
      <c r="X64" s="12"/>
      <c r="Y64" s="12"/>
      <c r="Z64" s="12"/>
    </row>
    <row r="65">
      <c r="A65" s="18"/>
      <c r="B65" s="12"/>
      <c r="C65" s="12"/>
      <c r="D65" s="12"/>
      <c r="E65" s="12"/>
      <c r="F65" s="12"/>
      <c r="G65" s="12"/>
      <c r="H65" s="12"/>
      <c r="I65" s="12"/>
      <c r="J65" s="12"/>
      <c r="K65" s="12"/>
      <c r="L65" s="19"/>
      <c r="M65" s="19"/>
      <c r="N65" s="19"/>
      <c r="O65" s="19"/>
      <c r="P65" s="19"/>
      <c r="Q65" s="12"/>
      <c r="R65" s="12"/>
      <c r="S65" s="12"/>
      <c r="T65" s="12"/>
      <c r="U65" s="19"/>
      <c r="V65" s="12"/>
      <c r="W65" s="12"/>
      <c r="X65" s="12"/>
      <c r="Y65" s="12"/>
      <c r="Z65" s="12"/>
    </row>
    <row r="66">
      <c r="A66" s="18"/>
      <c r="B66" s="12"/>
      <c r="C66" s="12"/>
      <c r="D66" s="12"/>
      <c r="E66" s="12"/>
      <c r="F66" s="12"/>
      <c r="G66" s="12"/>
      <c r="H66" s="12"/>
      <c r="I66" s="12"/>
      <c r="J66" s="12"/>
      <c r="K66" s="12"/>
      <c r="L66" s="19"/>
      <c r="M66" s="19"/>
      <c r="N66" s="19"/>
      <c r="O66" s="19"/>
      <c r="P66" s="19"/>
      <c r="Q66" s="12"/>
      <c r="R66" s="12"/>
      <c r="S66" s="12"/>
      <c r="T66" s="12"/>
      <c r="U66" s="19"/>
      <c r="V66" s="12"/>
      <c r="W66" s="12"/>
      <c r="X66" s="12"/>
      <c r="Y66" s="12"/>
      <c r="Z66" s="12"/>
    </row>
    <row r="67">
      <c r="A67" s="18"/>
      <c r="B67" s="12"/>
      <c r="C67" s="12"/>
      <c r="D67" s="12"/>
      <c r="E67" s="12"/>
      <c r="F67" s="12"/>
      <c r="G67" s="12"/>
      <c r="H67" s="12"/>
      <c r="I67" s="12"/>
      <c r="J67" s="12"/>
      <c r="K67" s="12"/>
      <c r="L67" s="19"/>
      <c r="M67" s="19"/>
      <c r="N67" s="19"/>
      <c r="O67" s="19"/>
      <c r="P67" s="19"/>
      <c r="Q67" s="12"/>
      <c r="R67" s="12"/>
      <c r="S67" s="12"/>
      <c r="T67" s="12"/>
      <c r="U67" s="19"/>
      <c r="V67" s="12"/>
      <c r="W67" s="12"/>
      <c r="X67" s="12"/>
      <c r="Y67" s="12"/>
      <c r="Z67" s="12"/>
    </row>
    <row r="68">
      <c r="A68" s="18"/>
      <c r="B68" s="12"/>
      <c r="C68" s="12"/>
      <c r="D68" s="12"/>
      <c r="E68" s="12"/>
      <c r="F68" s="12"/>
      <c r="G68" s="12"/>
      <c r="H68" s="12"/>
      <c r="I68" s="12"/>
      <c r="J68" s="12"/>
      <c r="K68" s="12"/>
      <c r="L68" s="19"/>
      <c r="M68" s="19"/>
      <c r="N68" s="19"/>
      <c r="O68" s="19"/>
      <c r="P68" s="19"/>
      <c r="Q68" s="12"/>
      <c r="R68" s="12"/>
      <c r="S68" s="12"/>
      <c r="T68" s="12"/>
      <c r="U68" s="19"/>
      <c r="V68" s="12"/>
      <c r="W68" s="12"/>
      <c r="X68" s="12"/>
      <c r="Y68" s="12"/>
      <c r="Z68" s="12"/>
    </row>
    <row r="69">
      <c r="A69" s="18"/>
      <c r="B69" s="12"/>
      <c r="C69" s="12"/>
      <c r="D69" s="12"/>
      <c r="E69" s="12"/>
      <c r="F69" s="12"/>
      <c r="G69" s="12"/>
      <c r="H69" s="12"/>
      <c r="I69" s="12"/>
      <c r="J69" s="12"/>
      <c r="K69" s="12"/>
      <c r="L69" s="19"/>
      <c r="M69" s="19"/>
      <c r="N69" s="19"/>
      <c r="O69" s="19"/>
      <c r="P69" s="19"/>
      <c r="Q69" s="12"/>
      <c r="R69" s="12"/>
      <c r="S69" s="12"/>
      <c r="T69" s="12"/>
      <c r="U69" s="19"/>
      <c r="V69" s="12"/>
      <c r="W69" s="12"/>
      <c r="X69" s="12"/>
      <c r="Y69" s="12"/>
      <c r="Z69" s="12"/>
    </row>
    <row r="70">
      <c r="A70" s="18"/>
      <c r="B70" s="12"/>
      <c r="C70" s="12"/>
      <c r="D70" s="12"/>
      <c r="E70" s="12"/>
      <c r="F70" s="12"/>
      <c r="G70" s="12"/>
      <c r="H70" s="12"/>
      <c r="I70" s="12"/>
      <c r="J70" s="12"/>
      <c r="K70" s="12"/>
      <c r="L70" s="19"/>
      <c r="M70" s="19"/>
      <c r="N70" s="19"/>
      <c r="O70" s="19"/>
      <c r="P70" s="19"/>
      <c r="Q70" s="12"/>
      <c r="R70" s="12"/>
      <c r="S70" s="12"/>
      <c r="T70" s="12"/>
      <c r="U70" s="19"/>
      <c r="V70" s="12"/>
      <c r="W70" s="12"/>
      <c r="X70" s="12"/>
      <c r="Y70" s="12"/>
      <c r="Z70" s="12"/>
    </row>
    <row r="71">
      <c r="A71" s="18"/>
      <c r="B71" s="12"/>
      <c r="C71" s="12"/>
      <c r="D71" s="12"/>
      <c r="E71" s="12"/>
      <c r="F71" s="12"/>
      <c r="G71" s="12"/>
      <c r="H71" s="12"/>
      <c r="I71" s="12"/>
      <c r="J71" s="12"/>
      <c r="K71" s="12"/>
      <c r="L71" s="19"/>
      <c r="M71" s="19"/>
      <c r="N71" s="19"/>
      <c r="O71" s="19"/>
      <c r="P71" s="19"/>
      <c r="Q71" s="12"/>
      <c r="R71" s="12"/>
      <c r="S71" s="12"/>
      <c r="T71" s="12"/>
      <c r="U71" s="19"/>
      <c r="V71" s="12"/>
      <c r="W71" s="12"/>
      <c r="X71" s="12"/>
      <c r="Y71" s="12"/>
      <c r="Z71" s="12"/>
    </row>
    <row r="72">
      <c r="A72" s="18"/>
      <c r="B72" s="12"/>
      <c r="C72" s="12"/>
      <c r="D72" s="12"/>
      <c r="E72" s="12"/>
      <c r="F72" s="12"/>
      <c r="G72" s="12"/>
      <c r="H72" s="12"/>
      <c r="I72" s="12"/>
      <c r="J72" s="12"/>
      <c r="K72" s="12"/>
      <c r="L72" s="19"/>
      <c r="M72" s="19"/>
      <c r="N72" s="19"/>
      <c r="O72" s="19"/>
      <c r="P72" s="19"/>
      <c r="Q72" s="12"/>
      <c r="R72" s="12"/>
      <c r="S72" s="12"/>
      <c r="T72" s="12"/>
      <c r="U72" s="19"/>
      <c r="V72" s="12"/>
      <c r="W72" s="12"/>
      <c r="X72" s="12"/>
      <c r="Y72" s="12"/>
      <c r="Z72" s="12"/>
    </row>
    <row r="73">
      <c r="A73" s="18"/>
      <c r="B73" s="12"/>
      <c r="C73" s="12"/>
      <c r="D73" s="12"/>
      <c r="E73" s="12"/>
      <c r="F73" s="12"/>
      <c r="G73" s="12"/>
      <c r="H73" s="12"/>
      <c r="I73" s="12"/>
      <c r="J73" s="12"/>
      <c r="K73" s="12"/>
      <c r="L73" s="19"/>
      <c r="M73" s="19"/>
      <c r="N73" s="19"/>
      <c r="O73" s="19"/>
      <c r="P73" s="19"/>
      <c r="Q73" s="12"/>
      <c r="R73" s="12"/>
      <c r="S73" s="12"/>
      <c r="T73" s="12"/>
      <c r="U73" s="19"/>
      <c r="V73" s="12"/>
      <c r="W73" s="12"/>
      <c r="X73" s="12"/>
      <c r="Y73" s="12"/>
      <c r="Z73" s="12"/>
    </row>
    <row r="74">
      <c r="A74" s="18"/>
      <c r="B74" s="12"/>
      <c r="C74" s="12"/>
      <c r="D74" s="12"/>
      <c r="E74" s="12"/>
      <c r="F74" s="12"/>
      <c r="G74" s="12"/>
      <c r="H74" s="12"/>
      <c r="I74" s="12"/>
      <c r="J74" s="12"/>
      <c r="K74" s="12"/>
      <c r="L74" s="19"/>
      <c r="M74" s="19"/>
      <c r="N74" s="19"/>
      <c r="O74" s="19"/>
      <c r="P74" s="19"/>
      <c r="Q74" s="12"/>
      <c r="R74" s="12"/>
      <c r="S74" s="12"/>
      <c r="T74" s="12"/>
      <c r="U74" s="19"/>
      <c r="V74" s="12"/>
      <c r="W74" s="12"/>
      <c r="X74" s="12"/>
      <c r="Y74" s="12"/>
      <c r="Z74" s="12"/>
    </row>
    <row r="75">
      <c r="A75" s="18"/>
      <c r="B75" s="12"/>
      <c r="C75" s="12"/>
      <c r="D75" s="12"/>
      <c r="E75" s="12"/>
      <c r="F75" s="12"/>
      <c r="G75" s="12"/>
      <c r="H75" s="12"/>
      <c r="I75" s="12"/>
      <c r="J75" s="12"/>
      <c r="K75" s="12"/>
      <c r="L75" s="19"/>
      <c r="M75" s="19"/>
      <c r="N75" s="19"/>
      <c r="O75" s="19"/>
      <c r="P75" s="19"/>
      <c r="Q75" s="12"/>
      <c r="R75" s="12"/>
      <c r="S75" s="12"/>
      <c r="T75" s="12"/>
      <c r="U75" s="19"/>
      <c r="V75" s="12"/>
      <c r="W75" s="12"/>
      <c r="X75" s="12"/>
      <c r="Y75" s="12"/>
      <c r="Z75" s="12"/>
    </row>
    <row r="76">
      <c r="A76" s="18"/>
      <c r="B76" s="12"/>
      <c r="C76" s="12"/>
      <c r="D76" s="12"/>
      <c r="E76" s="12"/>
      <c r="F76" s="12"/>
      <c r="G76" s="12"/>
      <c r="H76" s="12"/>
      <c r="I76" s="12"/>
      <c r="J76" s="12"/>
      <c r="K76" s="12"/>
      <c r="L76" s="19"/>
      <c r="M76" s="19"/>
      <c r="N76" s="19"/>
      <c r="O76" s="19"/>
      <c r="P76" s="19"/>
      <c r="Q76" s="12"/>
      <c r="R76" s="12"/>
      <c r="S76" s="12"/>
      <c r="T76" s="12"/>
      <c r="U76" s="19"/>
      <c r="V76" s="12"/>
      <c r="W76" s="12"/>
      <c r="X76" s="12"/>
      <c r="Y76" s="12"/>
      <c r="Z76" s="12"/>
    </row>
    <row r="77">
      <c r="A77" s="18"/>
      <c r="B77" s="12"/>
      <c r="C77" s="12"/>
      <c r="D77" s="12"/>
      <c r="E77" s="12"/>
      <c r="F77" s="12"/>
      <c r="G77" s="12"/>
      <c r="H77" s="12"/>
      <c r="I77" s="12"/>
      <c r="J77" s="12"/>
      <c r="K77" s="12"/>
      <c r="L77" s="19"/>
      <c r="M77" s="19"/>
      <c r="N77" s="19"/>
      <c r="O77" s="19"/>
      <c r="P77" s="19"/>
      <c r="Q77" s="12"/>
      <c r="R77" s="12"/>
      <c r="S77" s="12"/>
      <c r="T77" s="12"/>
      <c r="U77" s="19"/>
      <c r="V77" s="12"/>
      <c r="W77" s="12"/>
      <c r="X77" s="12"/>
      <c r="Y77" s="12"/>
      <c r="Z77" s="12"/>
    </row>
    <row r="78">
      <c r="A78" s="18"/>
      <c r="B78" s="12"/>
      <c r="C78" s="12"/>
      <c r="D78" s="12"/>
      <c r="E78" s="12"/>
      <c r="F78" s="12"/>
      <c r="G78" s="12"/>
      <c r="H78" s="12"/>
      <c r="I78" s="12"/>
      <c r="J78" s="12"/>
      <c r="K78" s="12"/>
      <c r="L78" s="19"/>
      <c r="M78" s="19"/>
      <c r="N78" s="19"/>
      <c r="O78" s="19"/>
      <c r="P78" s="19"/>
      <c r="Q78" s="12"/>
      <c r="R78" s="12"/>
      <c r="S78" s="12"/>
      <c r="T78" s="12"/>
      <c r="U78" s="19"/>
      <c r="V78" s="12"/>
      <c r="W78" s="12"/>
      <c r="X78" s="12"/>
      <c r="Y78" s="12"/>
      <c r="Z78" s="12"/>
    </row>
    <row r="79">
      <c r="A79" s="18"/>
      <c r="B79" s="12"/>
      <c r="C79" s="12"/>
      <c r="D79" s="12"/>
      <c r="E79" s="12"/>
      <c r="F79" s="12"/>
      <c r="G79" s="12"/>
      <c r="H79" s="12"/>
      <c r="I79" s="12"/>
      <c r="J79" s="12"/>
      <c r="K79" s="12"/>
      <c r="L79" s="19"/>
      <c r="M79" s="19"/>
      <c r="N79" s="19"/>
      <c r="O79" s="19"/>
      <c r="P79" s="19"/>
      <c r="Q79" s="12"/>
      <c r="R79" s="12"/>
      <c r="S79" s="12"/>
      <c r="T79" s="12"/>
      <c r="U79" s="19"/>
      <c r="V79" s="12"/>
      <c r="W79" s="12"/>
      <c r="X79" s="12"/>
      <c r="Y79" s="12"/>
      <c r="Z79" s="12"/>
    </row>
    <row r="80">
      <c r="A80" s="18"/>
      <c r="B80" s="12"/>
      <c r="C80" s="12"/>
      <c r="D80" s="12"/>
      <c r="E80" s="12"/>
      <c r="F80" s="12"/>
      <c r="G80" s="12"/>
      <c r="H80" s="12"/>
      <c r="I80" s="12"/>
      <c r="J80" s="12"/>
      <c r="K80" s="12"/>
      <c r="L80" s="19"/>
      <c r="M80" s="19"/>
      <c r="N80" s="19"/>
      <c r="O80" s="19"/>
      <c r="P80" s="19"/>
      <c r="Q80" s="12"/>
      <c r="R80" s="12"/>
      <c r="S80" s="12"/>
      <c r="T80" s="12"/>
      <c r="U80" s="19"/>
      <c r="V80" s="12"/>
      <c r="W80" s="12"/>
      <c r="X80" s="12"/>
      <c r="Y80" s="12"/>
      <c r="Z80" s="12"/>
    </row>
    <row r="81">
      <c r="A81" s="18"/>
      <c r="B81" s="12"/>
      <c r="C81" s="12"/>
      <c r="D81" s="12"/>
      <c r="E81" s="12"/>
      <c r="F81" s="12"/>
      <c r="G81" s="12"/>
      <c r="H81" s="12"/>
      <c r="I81" s="12"/>
      <c r="J81" s="12"/>
      <c r="K81" s="12"/>
      <c r="L81" s="19"/>
      <c r="M81" s="19"/>
      <c r="N81" s="19"/>
      <c r="O81" s="19"/>
      <c r="P81" s="19"/>
      <c r="Q81" s="12"/>
      <c r="R81" s="12"/>
      <c r="S81" s="12"/>
      <c r="T81" s="12"/>
      <c r="U81" s="19"/>
      <c r="V81" s="12"/>
      <c r="W81" s="12"/>
      <c r="X81" s="12"/>
      <c r="Y81" s="12"/>
      <c r="Z81" s="12"/>
    </row>
    <row r="82">
      <c r="A82" s="18"/>
      <c r="B82" s="12"/>
      <c r="C82" s="12"/>
      <c r="D82" s="12"/>
      <c r="E82" s="12"/>
      <c r="F82" s="12"/>
      <c r="G82" s="12"/>
      <c r="H82" s="12"/>
      <c r="I82" s="12"/>
      <c r="J82" s="12"/>
      <c r="K82" s="12"/>
      <c r="L82" s="19"/>
      <c r="M82" s="19"/>
      <c r="N82" s="19"/>
      <c r="O82" s="19"/>
      <c r="P82" s="19"/>
      <c r="Q82" s="12"/>
      <c r="R82" s="12"/>
      <c r="S82" s="12"/>
      <c r="T82" s="12"/>
      <c r="U82" s="19"/>
      <c r="V82" s="12"/>
      <c r="W82" s="12"/>
      <c r="X82" s="12"/>
      <c r="Y82" s="12"/>
      <c r="Z82" s="12"/>
    </row>
    <row r="83">
      <c r="A83" s="18"/>
      <c r="B83" s="12"/>
      <c r="C83" s="12"/>
      <c r="D83" s="12"/>
      <c r="E83" s="12"/>
      <c r="F83" s="12"/>
      <c r="G83" s="12"/>
      <c r="H83" s="12"/>
      <c r="I83" s="12"/>
      <c r="J83" s="12"/>
      <c r="K83" s="12"/>
      <c r="L83" s="19"/>
      <c r="M83" s="19"/>
      <c r="N83" s="19"/>
      <c r="O83" s="19"/>
      <c r="P83" s="19"/>
      <c r="Q83" s="12"/>
      <c r="R83" s="12"/>
      <c r="S83" s="12"/>
      <c r="T83" s="12"/>
      <c r="U83" s="19"/>
      <c r="V83" s="12"/>
      <c r="W83" s="12"/>
      <c r="X83" s="12"/>
      <c r="Y83" s="12"/>
      <c r="Z83" s="12"/>
    </row>
    <row r="84">
      <c r="A84" s="18"/>
      <c r="B84" s="12"/>
      <c r="C84" s="12"/>
      <c r="D84" s="12"/>
      <c r="E84" s="12"/>
      <c r="F84" s="12"/>
      <c r="G84" s="12"/>
      <c r="H84" s="12"/>
      <c r="I84" s="12"/>
      <c r="J84" s="12"/>
      <c r="K84" s="12"/>
      <c r="L84" s="19"/>
      <c r="M84" s="19"/>
      <c r="N84" s="19"/>
      <c r="O84" s="19"/>
      <c r="P84" s="19"/>
      <c r="Q84" s="12"/>
      <c r="R84" s="12"/>
      <c r="S84" s="12"/>
      <c r="T84" s="12"/>
      <c r="U84" s="19"/>
      <c r="V84" s="12"/>
      <c r="W84" s="12"/>
      <c r="X84" s="12"/>
      <c r="Y84" s="12"/>
      <c r="Z84" s="12"/>
    </row>
    <row r="85">
      <c r="A85" s="18"/>
      <c r="B85" s="12"/>
      <c r="C85" s="12"/>
      <c r="D85" s="12"/>
      <c r="E85" s="12"/>
      <c r="F85" s="12"/>
      <c r="G85" s="12"/>
      <c r="H85" s="12"/>
      <c r="I85" s="12"/>
      <c r="J85" s="12"/>
      <c r="K85" s="12"/>
      <c r="L85" s="19"/>
      <c r="M85" s="19"/>
      <c r="N85" s="19"/>
      <c r="O85" s="19"/>
      <c r="P85" s="19"/>
      <c r="Q85" s="12"/>
      <c r="R85" s="12"/>
      <c r="S85" s="12"/>
      <c r="T85" s="12"/>
      <c r="U85" s="19"/>
      <c r="V85" s="12"/>
      <c r="W85" s="12"/>
      <c r="X85" s="12"/>
      <c r="Y85" s="12"/>
      <c r="Z85" s="12"/>
    </row>
    <row r="86">
      <c r="A86" s="18"/>
      <c r="B86" s="12"/>
      <c r="C86" s="12"/>
      <c r="D86" s="12"/>
      <c r="E86" s="12"/>
      <c r="F86" s="12"/>
      <c r="G86" s="12"/>
      <c r="H86" s="12"/>
      <c r="I86" s="12"/>
      <c r="J86" s="12"/>
      <c r="K86" s="12"/>
      <c r="L86" s="19"/>
      <c r="M86" s="19"/>
      <c r="N86" s="19"/>
      <c r="O86" s="19"/>
      <c r="P86" s="19"/>
      <c r="Q86" s="12"/>
      <c r="R86" s="12"/>
      <c r="S86" s="12"/>
      <c r="T86" s="12"/>
      <c r="U86" s="19"/>
      <c r="V86" s="12"/>
      <c r="W86" s="12"/>
      <c r="X86" s="12"/>
      <c r="Y86" s="12"/>
      <c r="Z86" s="12"/>
    </row>
    <row r="87">
      <c r="A87" s="18"/>
      <c r="B87" s="12"/>
      <c r="C87" s="12"/>
      <c r="D87" s="12"/>
      <c r="E87" s="12"/>
      <c r="F87" s="12"/>
      <c r="G87" s="12"/>
      <c r="H87" s="12"/>
      <c r="I87" s="12"/>
      <c r="J87" s="12"/>
      <c r="K87" s="12"/>
      <c r="L87" s="19"/>
      <c r="M87" s="19"/>
      <c r="N87" s="19"/>
      <c r="O87" s="19"/>
      <c r="P87" s="19"/>
      <c r="Q87" s="12"/>
      <c r="R87" s="12"/>
      <c r="S87" s="12"/>
      <c r="T87" s="12"/>
      <c r="U87" s="19"/>
      <c r="V87" s="12"/>
      <c r="W87" s="12"/>
      <c r="X87" s="12"/>
      <c r="Y87" s="12"/>
      <c r="Z87" s="12"/>
    </row>
    <row r="88">
      <c r="A88" s="18"/>
      <c r="B88" s="12"/>
      <c r="C88" s="12"/>
      <c r="D88" s="12"/>
      <c r="E88" s="12"/>
      <c r="F88" s="12"/>
      <c r="G88" s="12"/>
      <c r="H88" s="12"/>
      <c r="I88" s="12"/>
      <c r="J88" s="12"/>
      <c r="K88" s="12"/>
      <c r="L88" s="19"/>
      <c r="M88" s="19"/>
      <c r="N88" s="19"/>
      <c r="O88" s="19"/>
      <c r="P88" s="19"/>
      <c r="Q88" s="12"/>
      <c r="R88" s="12"/>
      <c r="S88" s="12"/>
      <c r="T88" s="12"/>
      <c r="U88" s="19"/>
      <c r="V88" s="12"/>
      <c r="W88" s="12"/>
      <c r="X88" s="12"/>
      <c r="Y88" s="12"/>
      <c r="Z88" s="12"/>
    </row>
    <row r="89">
      <c r="A89" s="18"/>
      <c r="B89" s="12"/>
      <c r="C89" s="12"/>
      <c r="D89" s="12"/>
      <c r="E89" s="12"/>
      <c r="F89" s="12"/>
      <c r="G89" s="12"/>
      <c r="H89" s="12"/>
      <c r="I89" s="12"/>
      <c r="J89" s="12"/>
      <c r="K89" s="12"/>
      <c r="L89" s="19"/>
      <c r="M89" s="19"/>
      <c r="N89" s="19"/>
      <c r="O89" s="19"/>
      <c r="P89" s="19"/>
      <c r="Q89" s="12"/>
      <c r="R89" s="12"/>
      <c r="S89" s="12"/>
      <c r="T89" s="12"/>
      <c r="U89" s="19"/>
      <c r="V89" s="12"/>
      <c r="W89" s="12"/>
      <c r="X89" s="12"/>
      <c r="Y89" s="12"/>
      <c r="Z89" s="12"/>
    </row>
    <row r="90">
      <c r="A90" s="18"/>
      <c r="B90" s="12"/>
      <c r="C90" s="12"/>
      <c r="D90" s="12"/>
      <c r="E90" s="12"/>
      <c r="F90" s="12"/>
      <c r="G90" s="12"/>
      <c r="H90" s="12"/>
      <c r="I90" s="12"/>
      <c r="J90" s="12"/>
      <c r="K90" s="12"/>
      <c r="L90" s="19"/>
      <c r="M90" s="19"/>
      <c r="N90" s="19"/>
      <c r="O90" s="19"/>
      <c r="P90" s="19"/>
      <c r="Q90" s="12"/>
      <c r="R90" s="12"/>
      <c r="S90" s="12"/>
      <c r="T90" s="12"/>
      <c r="U90" s="19"/>
      <c r="V90" s="12"/>
      <c r="W90" s="12"/>
      <c r="X90" s="12"/>
      <c r="Y90" s="12"/>
      <c r="Z90" s="12"/>
    </row>
    <row r="91">
      <c r="A91" s="18"/>
      <c r="B91" s="12"/>
      <c r="C91" s="12"/>
      <c r="D91" s="12"/>
      <c r="E91" s="12"/>
      <c r="F91" s="12"/>
      <c r="G91" s="12"/>
      <c r="H91" s="12"/>
      <c r="I91" s="12"/>
      <c r="J91" s="12"/>
      <c r="K91" s="12"/>
      <c r="L91" s="19"/>
      <c r="M91" s="19"/>
      <c r="N91" s="19"/>
      <c r="O91" s="19"/>
      <c r="P91" s="19"/>
      <c r="Q91" s="12"/>
      <c r="R91" s="12"/>
      <c r="S91" s="12"/>
      <c r="T91" s="12"/>
      <c r="U91" s="19"/>
      <c r="V91" s="12"/>
      <c r="W91" s="12"/>
      <c r="X91" s="12"/>
      <c r="Y91" s="12"/>
      <c r="Z91" s="12"/>
    </row>
    <row r="92">
      <c r="A92" s="18"/>
      <c r="B92" s="12"/>
      <c r="C92" s="12"/>
      <c r="D92" s="12"/>
      <c r="E92" s="12"/>
      <c r="F92" s="12"/>
      <c r="G92" s="12"/>
      <c r="H92" s="12"/>
      <c r="I92" s="12"/>
      <c r="J92" s="12"/>
      <c r="K92" s="12"/>
      <c r="L92" s="19"/>
      <c r="M92" s="19"/>
      <c r="N92" s="19"/>
      <c r="O92" s="19"/>
      <c r="P92" s="19"/>
      <c r="Q92" s="12"/>
      <c r="R92" s="12"/>
      <c r="S92" s="12"/>
      <c r="T92" s="12"/>
      <c r="U92" s="19"/>
      <c r="V92" s="12"/>
      <c r="W92" s="12"/>
      <c r="X92" s="12"/>
      <c r="Y92" s="12"/>
      <c r="Z92" s="12"/>
    </row>
    <row r="93">
      <c r="A93" s="18"/>
      <c r="B93" s="12"/>
      <c r="C93" s="12"/>
      <c r="D93" s="12"/>
      <c r="E93" s="12"/>
      <c r="F93" s="12"/>
      <c r="G93" s="12"/>
      <c r="H93" s="12"/>
      <c r="I93" s="12"/>
      <c r="J93" s="12"/>
      <c r="K93" s="12"/>
      <c r="L93" s="19"/>
      <c r="M93" s="19"/>
      <c r="N93" s="19"/>
      <c r="O93" s="19"/>
      <c r="P93" s="19"/>
      <c r="Q93" s="12"/>
      <c r="R93" s="12"/>
      <c r="S93" s="12"/>
      <c r="T93" s="12"/>
      <c r="U93" s="19"/>
      <c r="V93" s="12"/>
      <c r="W93" s="12"/>
      <c r="X93" s="12"/>
      <c r="Y93" s="12"/>
      <c r="Z93" s="12"/>
    </row>
    <row r="94">
      <c r="A94" s="18"/>
      <c r="B94" s="12"/>
      <c r="C94" s="12"/>
      <c r="D94" s="12"/>
      <c r="E94" s="12"/>
      <c r="F94" s="12"/>
      <c r="G94" s="12"/>
      <c r="H94" s="12"/>
      <c r="I94" s="12"/>
      <c r="J94" s="12"/>
      <c r="K94" s="12"/>
      <c r="L94" s="19"/>
      <c r="M94" s="19"/>
      <c r="N94" s="19"/>
      <c r="O94" s="19"/>
      <c r="P94" s="19"/>
      <c r="Q94" s="12"/>
      <c r="R94" s="12"/>
      <c r="S94" s="12"/>
      <c r="T94" s="12"/>
      <c r="U94" s="19"/>
      <c r="V94" s="12"/>
      <c r="W94" s="12"/>
      <c r="X94" s="12"/>
      <c r="Y94" s="12"/>
      <c r="Z94" s="12"/>
    </row>
    <row r="95">
      <c r="A95" s="18"/>
      <c r="B95" s="12"/>
      <c r="C95" s="12"/>
      <c r="D95" s="12"/>
      <c r="E95" s="12"/>
      <c r="F95" s="12"/>
      <c r="G95" s="12"/>
      <c r="H95" s="12"/>
      <c r="I95" s="12"/>
      <c r="J95" s="12"/>
      <c r="K95" s="12"/>
      <c r="L95" s="19"/>
      <c r="M95" s="19"/>
      <c r="N95" s="19"/>
      <c r="O95" s="19"/>
      <c r="P95" s="19"/>
      <c r="Q95" s="12"/>
      <c r="R95" s="12"/>
      <c r="S95" s="12"/>
      <c r="T95" s="12"/>
      <c r="U95" s="19"/>
      <c r="V95" s="12"/>
      <c r="W95" s="12"/>
      <c r="X95" s="12"/>
      <c r="Y95" s="12"/>
      <c r="Z95" s="12"/>
    </row>
    <row r="96">
      <c r="A96" s="18"/>
      <c r="B96" s="12"/>
      <c r="C96" s="12"/>
      <c r="D96" s="12"/>
      <c r="E96" s="12"/>
      <c r="F96" s="12"/>
      <c r="G96" s="12"/>
      <c r="H96" s="12"/>
      <c r="I96" s="12"/>
      <c r="J96" s="12"/>
      <c r="K96" s="12"/>
      <c r="L96" s="19"/>
      <c r="M96" s="19"/>
      <c r="N96" s="19"/>
      <c r="O96" s="19"/>
      <c r="P96" s="19"/>
      <c r="Q96" s="12"/>
      <c r="R96" s="12"/>
      <c r="S96" s="12"/>
      <c r="T96" s="12"/>
      <c r="U96" s="19"/>
      <c r="V96" s="12"/>
      <c r="W96" s="12"/>
      <c r="X96" s="12"/>
      <c r="Y96" s="12"/>
      <c r="Z96" s="12"/>
    </row>
    <row r="97">
      <c r="A97" s="18"/>
      <c r="B97" s="12"/>
      <c r="C97" s="12"/>
      <c r="D97" s="12"/>
      <c r="E97" s="12"/>
      <c r="F97" s="12"/>
      <c r="G97" s="12"/>
      <c r="H97" s="12"/>
      <c r="I97" s="12"/>
      <c r="J97" s="12"/>
      <c r="K97" s="12"/>
      <c r="L97" s="19"/>
      <c r="M97" s="19"/>
      <c r="N97" s="19"/>
      <c r="O97" s="19"/>
      <c r="P97" s="19"/>
      <c r="Q97" s="12"/>
      <c r="R97" s="12"/>
      <c r="S97" s="12"/>
      <c r="T97" s="12"/>
      <c r="U97" s="19"/>
      <c r="V97" s="12"/>
      <c r="W97" s="12"/>
      <c r="X97" s="12"/>
      <c r="Y97" s="12"/>
      <c r="Z97" s="12"/>
    </row>
    <row r="98">
      <c r="A98" s="18"/>
      <c r="B98" s="12"/>
      <c r="C98" s="12"/>
      <c r="D98" s="12"/>
      <c r="E98" s="12"/>
      <c r="F98" s="12"/>
      <c r="G98" s="12"/>
      <c r="H98" s="12"/>
      <c r="I98" s="12"/>
      <c r="J98" s="12"/>
      <c r="K98" s="12"/>
      <c r="L98" s="19"/>
      <c r="M98" s="19"/>
      <c r="N98" s="19"/>
      <c r="O98" s="19"/>
      <c r="P98" s="19"/>
      <c r="Q98" s="12"/>
      <c r="R98" s="12"/>
      <c r="S98" s="12"/>
      <c r="T98" s="12"/>
      <c r="U98" s="19"/>
      <c r="V98" s="12"/>
      <c r="W98" s="12"/>
      <c r="X98" s="12"/>
      <c r="Y98" s="12"/>
      <c r="Z98" s="12"/>
    </row>
    <row r="99">
      <c r="A99" s="18"/>
      <c r="B99" s="12"/>
      <c r="C99" s="12"/>
      <c r="D99" s="12"/>
      <c r="E99" s="12"/>
      <c r="F99" s="12"/>
      <c r="G99" s="12"/>
      <c r="H99" s="12"/>
      <c r="I99" s="12"/>
      <c r="J99" s="12"/>
      <c r="K99" s="12"/>
      <c r="L99" s="19"/>
      <c r="M99" s="19"/>
      <c r="N99" s="19"/>
      <c r="O99" s="19"/>
      <c r="P99" s="19"/>
      <c r="Q99" s="12"/>
      <c r="R99" s="12"/>
      <c r="S99" s="12"/>
      <c r="T99" s="12"/>
      <c r="U99" s="19"/>
      <c r="V99" s="12"/>
      <c r="W99" s="12"/>
      <c r="X99" s="12"/>
      <c r="Y99" s="12"/>
      <c r="Z99" s="12"/>
    </row>
    <row r="100">
      <c r="A100" s="18"/>
      <c r="B100" s="12"/>
      <c r="C100" s="12"/>
      <c r="D100" s="12"/>
      <c r="E100" s="12"/>
      <c r="F100" s="12"/>
      <c r="G100" s="12"/>
      <c r="H100" s="12"/>
      <c r="I100" s="12"/>
      <c r="J100" s="12"/>
      <c r="K100" s="12"/>
      <c r="L100" s="19"/>
      <c r="M100" s="19"/>
      <c r="N100" s="19"/>
      <c r="O100" s="19"/>
      <c r="P100" s="19"/>
      <c r="Q100" s="12"/>
      <c r="R100" s="12"/>
      <c r="S100" s="12"/>
      <c r="T100" s="12"/>
      <c r="U100" s="19"/>
      <c r="V100" s="12"/>
      <c r="W100" s="12"/>
      <c r="X100" s="12"/>
      <c r="Y100" s="12"/>
      <c r="Z100" s="12"/>
    </row>
    <row r="101">
      <c r="A101" s="18"/>
      <c r="B101" s="12"/>
      <c r="C101" s="12"/>
      <c r="D101" s="12"/>
      <c r="E101" s="12"/>
      <c r="F101" s="12"/>
      <c r="G101" s="12"/>
      <c r="H101" s="12"/>
      <c r="I101" s="12"/>
      <c r="J101" s="12"/>
      <c r="K101" s="12"/>
      <c r="L101" s="19"/>
      <c r="M101" s="19"/>
      <c r="N101" s="19"/>
      <c r="O101" s="19"/>
      <c r="P101" s="19"/>
      <c r="Q101" s="12"/>
      <c r="R101" s="12"/>
      <c r="S101" s="12"/>
      <c r="T101" s="12"/>
      <c r="U101" s="19"/>
      <c r="V101" s="12"/>
      <c r="W101" s="12"/>
      <c r="X101" s="12"/>
      <c r="Y101" s="12"/>
      <c r="Z101" s="12"/>
    </row>
    <row r="102">
      <c r="A102" s="18"/>
      <c r="B102" s="12"/>
      <c r="C102" s="12"/>
      <c r="D102" s="12"/>
      <c r="E102" s="12"/>
      <c r="F102" s="12"/>
      <c r="G102" s="12"/>
      <c r="H102" s="12"/>
      <c r="I102" s="12"/>
      <c r="J102" s="12"/>
      <c r="K102" s="12"/>
      <c r="L102" s="19"/>
      <c r="M102" s="19"/>
      <c r="N102" s="19"/>
      <c r="O102" s="19"/>
      <c r="P102" s="19"/>
      <c r="Q102" s="12"/>
      <c r="R102" s="12"/>
      <c r="S102" s="12"/>
      <c r="T102" s="12"/>
      <c r="U102" s="19"/>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sheetData>
  <hyperlinks>
    <hyperlink r:id="rId1" ref="S3"/>
    <hyperlink r:id="rId2" ref="G4"/>
    <hyperlink r:id="rId3" ref="S4"/>
    <hyperlink r:id="rId4" ref="G5"/>
    <hyperlink r:id="rId5" ref="S5"/>
    <hyperlink r:id="rId6" ref="G6"/>
    <hyperlink r:id="rId7" ref="S6"/>
    <hyperlink r:id="rId8" ref="G7"/>
    <hyperlink r:id="rId9" ref="S7"/>
    <hyperlink r:id="rId10" ref="S8"/>
    <hyperlink r:id="rId11" ref="G9"/>
    <hyperlink r:id="rId12" ref="S9"/>
    <hyperlink r:id="rId13" ref="G10"/>
    <hyperlink r:id="rId14" ref="S10"/>
    <hyperlink r:id="rId15" ref="S11"/>
    <hyperlink r:id="rId16" ref="G12"/>
    <hyperlink r:id="rId17" ref="S12"/>
    <hyperlink r:id="rId18" ref="G13"/>
    <hyperlink r:id="rId19" ref="S13"/>
    <hyperlink r:id="rId20" ref="G14"/>
    <hyperlink r:id="rId21" ref="S14"/>
    <hyperlink r:id="rId22" ref="G15"/>
    <hyperlink r:id="rId23" ref="S15"/>
    <hyperlink r:id="rId24" ref="G16"/>
    <hyperlink r:id="rId25" ref="S16"/>
    <hyperlink r:id="rId26" ref="G17"/>
    <hyperlink r:id="rId27" ref="S17"/>
    <hyperlink r:id="rId28" ref="S18"/>
    <hyperlink r:id="rId29" ref="G19"/>
    <hyperlink r:id="rId30" ref="S19"/>
    <hyperlink r:id="rId31" ref="F20"/>
    <hyperlink r:id="rId32" ref="S20"/>
    <hyperlink r:id="rId33" ref="G21"/>
    <hyperlink r:id="rId34" ref="S21"/>
    <hyperlink r:id="rId35" ref="G22"/>
    <hyperlink r:id="rId36" ref="S22"/>
  </hyperlinks>
  <drawing r:id="rId37"/>
  <tableParts count="1">
    <tablePart r:id="rId39"/>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585</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44222.61796296296</v>
      </c>
      <c r="B3" s="9" t="str">
        <f>HYPERLINK("https://twitter.com/LeonelGL27","@LeonelGL27")</f>
        <v>@LeonelGL27</v>
      </c>
      <c r="C3" s="10" t="s">
        <v>586</v>
      </c>
      <c r="D3" s="10" t="s">
        <v>587</v>
      </c>
      <c r="E3" s="9" t="str">
        <f>HYPERLINK("https://twitter.com/LeonelGL27/status/1354169708769996800","1354169708769996800")</f>
        <v>1354169708769996800</v>
      </c>
      <c r="F3" s="11" t="s">
        <v>588</v>
      </c>
      <c r="G3" s="11" t="s">
        <v>589</v>
      </c>
      <c r="H3" s="12"/>
      <c r="I3" s="13">
        <v>0.0</v>
      </c>
      <c r="J3" s="13">
        <v>0.0</v>
      </c>
      <c r="K3" s="9" t="str">
        <f>HYPERLINK("http://twitter.com/download/iphone","Twitter for iPhone")</f>
        <v>Twitter for iPhone</v>
      </c>
      <c r="L3" s="14">
        <v>91.0</v>
      </c>
      <c r="M3" s="14">
        <v>698.0</v>
      </c>
      <c r="N3" s="14">
        <v>1.0</v>
      </c>
      <c r="O3" s="19"/>
      <c r="P3" s="16">
        <v>42046.95344907408</v>
      </c>
      <c r="Q3" s="10" t="s">
        <v>325</v>
      </c>
      <c r="R3" s="12"/>
      <c r="S3" s="12"/>
      <c r="T3" s="12"/>
      <c r="U3" s="17" t="str">
        <f>HYPERLINK("https://pbs.twimg.com/profile_images/838499048193724416/kAj2aJOo.jpg","View")</f>
        <v>View</v>
      </c>
      <c r="V3" s="12"/>
      <c r="W3" s="12"/>
      <c r="X3" s="12"/>
      <c r="Y3" s="12"/>
      <c r="Z3" s="12"/>
    </row>
    <row r="4">
      <c r="A4" s="8">
        <v>44222.59988425926</v>
      </c>
      <c r="B4" s="9" t="str">
        <f>HYPERLINK("https://twitter.com/german_quezada","@german_quezada")</f>
        <v>@german_quezada</v>
      </c>
      <c r="C4" s="10" t="s">
        <v>231</v>
      </c>
      <c r="D4" s="10" t="s">
        <v>232</v>
      </c>
      <c r="E4" s="9" t="str">
        <f>HYPERLINK("https://twitter.com/german_quezada/status/1354163158613594112","1354163158613594112")</f>
        <v>1354163158613594112</v>
      </c>
      <c r="F4" s="11" t="s">
        <v>233</v>
      </c>
      <c r="G4" s="11" t="s">
        <v>234</v>
      </c>
      <c r="H4" s="12"/>
      <c r="I4" s="13">
        <v>0.0</v>
      </c>
      <c r="J4" s="13">
        <v>0.0</v>
      </c>
      <c r="K4" s="9" t="str">
        <f t="shared" ref="K4:K6" si="1">HYPERLINK("http://twitter.com/download/android","Twitter for Android")</f>
        <v>Twitter for Android</v>
      </c>
      <c r="L4" s="14">
        <v>54.0</v>
      </c>
      <c r="M4" s="14">
        <v>345.0</v>
      </c>
      <c r="N4" s="14">
        <v>0.0</v>
      </c>
      <c r="O4" s="19"/>
      <c r="P4" s="16">
        <v>40758.96784722222</v>
      </c>
      <c r="Q4" s="12"/>
      <c r="R4" s="12"/>
      <c r="S4" s="12"/>
      <c r="T4" s="12"/>
      <c r="U4" s="17" t="str">
        <f>HYPERLINK("https://pbs.twimg.com/profile_images/2675699941/91eccbdd20ac49dd1317048780a1dea6.jpeg","View")</f>
        <v>View</v>
      </c>
      <c r="V4" s="12"/>
      <c r="W4" s="12"/>
      <c r="X4" s="12"/>
      <c r="Y4" s="12"/>
      <c r="Z4" s="12"/>
    </row>
    <row r="5">
      <c r="A5" s="8">
        <v>44222.598657407405</v>
      </c>
      <c r="B5" s="9" t="str">
        <f>HYPERLINK("https://twitter.com/MoraYaxkin","@MoraYaxkin")</f>
        <v>@MoraYaxkin</v>
      </c>
      <c r="C5" s="10" t="s">
        <v>590</v>
      </c>
      <c r="D5" s="10" t="s">
        <v>591</v>
      </c>
      <c r="E5" s="9" t="str">
        <f>HYPERLINK("https://twitter.com/MoraYaxkin/status/1354162713728053250","1354162713728053250")</f>
        <v>1354162713728053250</v>
      </c>
      <c r="F5" s="11" t="s">
        <v>592</v>
      </c>
      <c r="G5" s="12"/>
      <c r="H5" s="12"/>
      <c r="I5" s="13">
        <v>0.0</v>
      </c>
      <c r="J5" s="13">
        <v>0.0</v>
      </c>
      <c r="K5" s="9" t="str">
        <f t="shared" si="1"/>
        <v>Twitter for Android</v>
      </c>
      <c r="L5" s="14">
        <v>1073.0</v>
      </c>
      <c r="M5" s="14">
        <v>1592.0</v>
      </c>
      <c r="N5" s="14">
        <v>1.0</v>
      </c>
      <c r="O5" s="19"/>
      <c r="P5" s="16">
        <v>43503.041712962964</v>
      </c>
      <c r="Q5" s="10" t="s">
        <v>593</v>
      </c>
      <c r="R5" s="10" t="s">
        <v>594</v>
      </c>
      <c r="S5" s="12"/>
      <c r="T5" s="12"/>
      <c r="U5" s="17" t="str">
        <f>HYPERLINK("https://pbs.twimg.com/profile_images/1344894678236327936/6qvRqi9d.jpg","View")</f>
        <v>View</v>
      </c>
      <c r="V5" s="12"/>
      <c r="W5" s="12"/>
      <c r="X5" s="12"/>
      <c r="Y5" s="12"/>
      <c r="Z5" s="12"/>
    </row>
    <row r="6">
      <c r="A6" s="8">
        <v>44222.53527777777</v>
      </c>
      <c r="B6" s="9" t="str">
        <f>HYPERLINK("https://twitter.com/AprendizRius","@AprendizRius")</f>
        <v>@AprendizRius</v>
      </c>
      <c r="C6" s="10" t="s">
        <v>595</v>
      </c>
      <c r="D6" s="10" t="s">
        <v>596</v>
      </c>
      <c r="E6" s="9" t="str">
        <f>HYPERLINK("https://twitter.com/AprendizRius/status/1354139745467719683","1354139745467719683")</f>
        <v>1354139745467719683</v>
      </c>
      <c r="F6" s="11" t="s">
        <v>597</v>
      </c>
      <c r="G6" s="11" t="s">
        <v>598</v>
      </c>
      <c r="H6" s="12"/>
      <c r="I6" s="13">
        <v>0.0</v>
      </c>
      <c r="J6" s="13">
        <v>0.0</v>
      </c>
      <c r="K6" s="9" t="str">
        <f t="shared" si="1"/>
        <v>Twitter for Android</v>
      </c>
      <c r="L6" s="14">
        <v>818.0</v>
      </c>
      <c r="M6" s="14">
        <v>1167.0</v>
      </c>
      <c r="N6" s="14">
        <v>0.0</v>
      </c>
      <c r="O6" s="19"/>
      <c r="P6" s="16">
        <v>43552.79760416667</v>
      </c>
      <c r="Q6" s="12"/>
      <c r="R6" s="10" t="s">
        <v>599</v>
      </c>
      <c r="S6" s="12"/>
      <c r="T6" s="12"/>
      <c r="U6" s="17" t="str">
        <f>HYPERLINK("https://pbs.twimg.com/profile_images/1176299796061151233/aX4Jv6Am.jpg","View")</f>
        <v>View</v>
      </c>
      <c r="V6" s="12"/>
      <c r="W6" s="12"/>
      <c r="X6" s="12"/>
      <c r="Y6" s="12"/>
      <c r="Z6" s="12"/>
    </row>
    <row r="7">
      <c r="A7" s="8">
        <v>44222.533055555556</v>
      </c>
      <c r="B7" s="9" t="str">
        <f>HYPERLINK("https://twitter.com/SOLQR","@SOLQR")</f>
        <v>@SOLQR</v>
      </c>
      <c r="C7" s="10" t="s">
        <v>600</v>
      </c>
      <c r="D7" s="10" t="s">
        <v>601</v>
      </c>
      <c r="E7" s="9" t="str">
        <f>HYPERLINK("https://twitter.com/SOLQR/status/1354138938571689984","1354138938571689984")</f>
        <v>1354138938571689984</v>
      </c>
      <c r="F7" s="11" t="s">
        <v>602</v>
      </c>
      <c r="G7" s="12"/>
      <c r="H7" s="12"/>
      <c r="I7" s="13">
        <v>0.0</v>
      </c>
      <c r="J7" s="13">
        <v>0.0</v>
      </c>
      <c r="K7" s="9" t="str">
        <f>HYPERLINK("https://mobile.twitter.com","Twitter Web App")</f>
        <v>Twitter Web App</v>
      </c>
      <c r="L7" s="14">
        <v>1095.0</v>
      </c>
      <c r="M7" s="14">
        <v>322.0</v>
      </c>
      <c r="N7" s="14">
        <v>24.0</v>
      </c>
      <c r="O7" s="19"/>
      <c r="P7" s="16">
        <v>40337.52915509259</v>
      </c>
      <c r="Q7" s="10" t="s">
        <v>603</v>
      </c>
      <c r="R7" s="10" t="s">
        <v>604</v>
      </c>
      <c r="S7" s="11" t="s">
        <v>605</v>
      </c>
      <c r="T7" s="12"/>
      <c r="U7" s="17" t="str">
        <f>HYPERLINK("https://pbs.twimg.com/profile_images/1328876879647006723/JwcN8Y-O.jpg","View")</f>
        <v>View</v>
      </c>
      <c r="V7" s="12"/>
      <c r="W7" s="12"/>
      <c r="X7" s="12"/>
      <c r="Y7" s="12"/>
      <c r="Z7" s="12"/>
    </row>
    <row r="8">
      <c r="A8" s="8">
        <v>44222.52664351852</v>
      </c>
      <c r="B8" s="9" t="str">
        <f>HYPERLINK("https://twitter.com/123LeoLopez1","@123LeoLopez1")</f>
        <v>@123LeoLopez1</v>
      </c>
      <c r="C8" s="10" t="s">
        <v>606</v>
      </c>
      <c r="D8" s="10" t="s">
        <v>607</v>
      </c>
      <c r="E8" s="9" t="str">
        <f>HYPERLINK("https://twitter.com/123LeoLopez1/status/1354136613761257472","1354136613761257472")</f>
        <v>1354136613761257472</v>
      </c>
      <c r="F8" s="11" t="s">
        <v>608</v>
      </c>
      <c r="G8" s="11" t="s">
        <v>609</v>
      </c>
      <c r="H8" s="12"/>
      <c r="I8" s="13">
        <v>0.0</v>
      </c>
      <c r="J8" s="13">
        <v>0.0</v>
      </c>
      <c r="K8" s="9" t="str">
        <f t="shared" ref="K8:K10" si="2">HYPERLINK("http://twitter.com/download/iphone","Twitter for iPhone")</f>
        <v>Twitter for iPhone</v>
      </c>
      <c r="L8" s="14">
        <v>633.0</v>
      </c>
      <c r="M8" s="14">
        <v>1325.0</v>
      </c>
      <c r="N8" s="14">
        <v>0.0</v>
      </c>
      <c r="O8" s="19"/>
      <c r="P8" s="16">
        <v>43980.54210648148</v>
      </c>
      <c r="Q8" s="12"/>
      <c r="R8" s="10" t="s">
        <v>610</v>
      </c>
      <c r="S8" s="12"/>
      <c r="T8" s="12"/>
      <c r="U8" s="17" t="str">
        <f>HYPERLINK("https://pbs.twimg.com/profile_images/1354093186197680130/YDLDjqoI.jpg","View")</f>
        <v>View</v>
      </c>
      <c r="V8" s="12"/>
      <c r="W8" s="12"/>
      <c r="X8" s="12"/>
      <c r="Y8" s="12"/>
      <c r="Z8" s="12"/>
    </row>
    <row r="9">
      <c r="A9" s="8">
        <v>44222.51984953704</v>
      </c>
      <c r="B9" s="9" t="str">
        <f>HYPERLINK("https://twitter.com/vlots8","@vlots8")</f>
        <v>@vlots8</v>
      </c>
      <c r="C9" s="10" t="s">
        <v>611</v>
      </c>
      <c r="D9" s="10" t="s">
        <v>612</v>
      </c>
      <c r="E9" s="9" t="str">
        <f>HYPERLINK("https://twitter.com/vlots8/status/1354134153663369216","1354134153663369216")</f>
        <v>1354134153663369216</v>
      </c>
      <c r="F9" s="10" t="s">
        <v>613</v>
      </c>
      <c r="G9" s="12"/>
      <c r="H9" s="12"/>
      <c r="I9" s="13">
        <v>0.0</v>
      </c>
      <c r="J9" s="13">
        <v>0.0</v>
      </c>
      <c r="K9" s="9" t="str">
        <f t="shared" si="2"/>
        <v>Twitter for iPhone</v>
      </c>
      <c r="L9" s="14">
        <v>155.0</v>
      </c>
      <c r="M9" s="14">
        <v>1418.0</v>
      </c>
      <c r="N9" s="14">
        <v>0.0</v>
      </c>
      <c r="O9" s="19"/>
      <c r="P9" s="16">
        <v>40652.55587962963</v>
      </c>
      <c r="Q9" s="12"/>
      <c r="R9" s="10" t="s">
        <v>614</v>
      </c>
      <c r="S9" s="12"/>
      <c r="T9" s="12"/>
      <c r="U9" s="17" t="str">
        <f>HYPERLINK("https://pbs.twimg.com/profile_images/1325763410903003137/mIiYvDf1.jpg","View")</f>
        <v>View</v>
      </c>
      <c r="V9" s="12"/>
      <c r="W9" s="12"/>
      <c r="X9" s="12"/>
      <c r="Y9" s="12"/>
      <c r="Z9" s="12"/>
    </row>
    <row r="10">
      <c r="A10" s="8">
        <v>44222.46865740741</v>
      </c>
      <c r="B10" s="9" t="str">
        <f>HYPERLINK("https://twitter.com/jeremiahgroover","@jeremiahgroover")</f>
        <v>@jeremiahgroover</v>
      </c>
      <c r="C10" s="10" t="s">
        <v>615</v>
      </c>
      <c r="D10" s="10" t="s">
        <v>616</v>
      </c>
      <c r="E10" s="9" t="str">
        <f>HYPERLINK("https://twitter.com/jeremiahgroover/status/1354115601296465921","1354115601296465921")</f>
        <v>1354115601296465921</v>
      </c>
      <c r="F10" s="12"/>
      <c r="G10" s="12"/>
      <c r="H10" s="12"/>
      <c r="I10" s="13">
        <v>0.0</v>
      </c>
      <c r="J10" s="13">
        <v>0.0</v>
      </c>
      <c r="K10" s="9" t="str">
        <f t="shared" si="2"/>
        <v>Twitter for iPhone</v>
      </c>
      <c r="L10" s="14">
        <v>296.0</v>
      </c>
      <c r="M10" s="14">
        <v>598.0</v>
      </c>
      <c r="N10" s="14">
        <v>1.0</v>
      </c>
      <c r="O10" s="19"/>
      <c r="P10" s="16">
        <v>40278.61619212963</v>
      </c>
      <c r="Q10" s="10" t="s">
        <v>617</v>
      </c>
      <c r="R10" s="10" t="s">
        <v>618</v>
      </c>
      <c r="S10" s="12"/>
      <c r="T10" s="12"/>
      <c r="U10" s="17" t="str">
        <f>HYPERLINK("https://pbs.twimg.com/profile_images/1300276799650312192/J-0BZs5s.jpg","View")</f>
        <v>View</v>
      </c>
      <c r="V10" s="12"/>
      <c r="W10" s="12"/>
      <c r="X10" s="12"/>
      <c r="Y10" s="12"/>
      <c r="Z10" s="12"/>
    </row>
    <row r="11">
      <c r="A11" s="8">
        <v>44222.45799768518</v>
      </c>
      <c r="B11" s="9" t="str">
        <f>HYPERLINK("https://twitter.com/a_flashes","@a_flashes")</f>
        <v>@a_flashes</v>
      </c>
      <c r="C11" s="10" t="s">
        <v>619</v>
      </c>
      <c r="D11" s="10" t="s">
        <v>620</v>
      </c>
      <c r="E11" s="9" t="str">
        <f>HYPERLINK("https://twitter.com/a_flashes/status/1354111738333945856","1354111738333945856")</f>
        <v>1354111738333945856</v>
      </c>
      <c r="F11" s="10" t="s">
        <v>621</v>
      </c>
      <c r="G11" s="12"/>
      <c r="H11" s="12"/>
      <c r="I11" s="13">
        <v>0.0</v>
      </c>
      <c r="J11" s="13">
        <v>0.0</v>
      </c>
      <c r="K11" s="9" t="str">
        <f t="shared" ref="K11:K12" si="3">HYPERLINK("https://mobile.twitter.com","Twitter Web App")</f>
        <v>Twitter Web App</v>
      </c>
      <c r="L11" s="14">
        <v>42.0</v>
      </c>
      <c r="M11" s="14">
        <v>139.0</v>
      </c>
      <c r="N11" s="14">
        <v>0.0</v>
      </c>
      <c r="O11" s="19"/>
      <c r="P11" s="16">
        <v>40325.87609953704</v>
      </c>
      <c r="Q11" s="10" t="s">
        <v>325</v>
      </c>
      <c r="R11" s="10" t="s">
        <v>622</v>
      </c>
      <c r="S11" s="12"/>
      <c r="T11" s="12"/>
      <c r="U11" s="17" t="str">
        <f>HYPERLINK("https://pbs.twimg.com/profile_images/1268964254327037952/UX8ybhXB.jpg","View")</f>
        <v>View</v>
      </c>
      <c r="V11" s="12"/>
      <c r="W11" s="12"/>
      <c r="X11" s="12"/>
      <c r="Y11" s="12"/>
      <c r="Z11" s="12"/>
    </row>
    <row r="12">
      <c r="A12" s="8">
        <v>44222.44736111111</v>
      </c>
      <c r="B12" s="9" t="str">
        <f>HYPERLINK("https://twitter.com/Oscarfp69","@Oscarfp69")</f>
        <v>@Oscarfp69</v>
      </c>
      <c r="C12" s="10" t="s">
        <v>623</v>
      </c>
      <c r="D12" s="10" t="s">
        <v>624</v>
      </c>
      <c r="E12" s="9" t="str">
        <f>HYPERLINK("https://twitter.com/Oscarfp69/status/1354107884020363271","1354107884020363271")</f>
        <v>1354107884020363271</v>
      </c>
      <c r="F12" s="11" t="s">
        <v>625</v>
      </c>
      <c r="G12" s="12"/>
      <c r="H12" s="12"/>
      <c r="I12" s="13">
        <v>0.0</v>
      </c>
      <c r="J12" s="13">
        <v>0.0</v>
      </c>
      <c r="K12" s="9" t="str">
        <f t="shared" si="3"/>
        <v>Twitter Web App</v>
      </c>
      <c r="L12" s="14">
        <v>771.0</v>
      </c>
      <c r="M12" s="14">
        <v>768.0</v>
      </c>
      <c r="N12" s="14">
        <v>2.0</v>
      </c>
      <c r="O12" s="19"/>
      <c r="P12" s="16">
        <v>40186.035474537035</v>
      </c>
      <c r="Q12" s="10" t="s">
        <v>626</v>
      </c>
      <c r="R12" s="10" t="s">
        <v>627</v>
      </c>
      <c r="S12" s="11" t="s">
        <v>628</v>
      </c>
      <c r="T12" s="12"/>
      <c r="U12" s="17" t="str">
        <f>HYPERLINK("https://pbs.twimg.com/profile_images/1237833855597457414/Ray05rO3.jpg","View")</f>
        <v>View</v>
      </c>
      <c r="V12" s="12"/>
      <c r="W12" s="12"/>
      <c r="X12" s="12"/>
      <c r="Y12" s="12"/>
      <c r="Z12" s="12"/>
    </row>
    <row r="13">
      <c r="A13" s="8">
        <v>44222.429606481484</v>
      </c>
      <c r="B13" s="9" t="str">
        <f>HYPERLINK("https://twitter.com/marcelino_77","@marcelino_77")</f>
        <v>@marcelino_77</v>
      </c>
      <c r="C13" s="10" t="s">
        <v>319</v>
      </c>
      <c r="D13" s="10" t="s">
        <v>328</v>
      </c>
      <c r="E13" s="9" t="str">
        <f>HYPERLINK("https://twitter.com/marcelino_77/status/1354101449844645889","1354101449844645889")</f>
        <v>1354101449844645889</v>
      </c>
      <c r="F13" s="11" t="s">
        <v>316</v>
      </c>
      <c r="G13" s="11" t="s">
        <v>317</v>
      </c>
      <c r="H13" s="12"/>
      <c r="I13" s="13">
        <v>0.0</v>
      </c>
      <c r="J13" s="13">
        <v>2.0</v>
      </c>
      <c r="K13" s="9" t="str">
        <f>HYPERLINK("http://twitter.com/download/android","Twitter for Android")</f>
        <v>Twitter for Android</v>
      </c>
      <c r="L13" s="14">
        <v>1050.0</v>
      </c>
      <c r="M13" s="14">
        <v>1862.0</v>
      </c>
      <c r="N13" s="14">
        <v>2.0</v>
      </c>
      <c r="O13" s="19"/>
      <c r="P13" s="16">
        <v>40825.87563657407</v>
      </c>
      <c r="Q13" s="12"/>
      <c r="R13" s="10" t="s">
        <v>323</v>
      </c>
      <c r="S13" s="12"/>
      <c r="T13" s="12"/>
      <c r="U13" s="17" t="str">
        <f>HYPERLINK("https://pbs.twimg.com/profile_images/1338694529856151554/5YQfB46X.jpg","View")</f>
        <v>View</v>
      </c>
      <c r="V13" s="12"/>
      <c r="W13" s="12"/>
      <c r="X13" s="12"/>
      <c r="Y13" s="12"/>
      <c r="Z13" s="12"/>
    </row>
    <row r="14">
      <c r="A14" s="8">
        <v>44222.412268518514</v>
      </c>
      <c r="B14" s="9" t="str">
        <f>HYPERLINK("https://twitter.com/noroestemx","@noroestemx")</f>
        <v>@noroestemx</v>
      </c>
      <c r="C14" s="10" t="s">
        <v>629</v>
      </c>
      <c r="D14" s="10" t="s">
        <v>630</v>
      </c>
      <c r="E14" s="9" t="str">
        <f>HYPERLINK("https://twitter.com/noroestemx/status/1354095166592864257","1354095166592864257")</f>
        <v>1354095166592864257</v>
      </c>
      <c r="F14" s="11" t="s">
        <v>631</v>
      </c>
      <c r="G14" s="11" t="s">
        <v>632</v>
      </c>
      <c r="H14" s="12"/>
      <c r="I14" s="13">
        <v>0.0</v>
      </c>
      <c r="J14" s="13">
        <v>2.0</v>
      </c>
      <c r="K14" s="9" t="str">
        <f>HYPERLINK("https://about.twitter.com/products/tweetdeck","TweetDeck")</f>
        <v>TweetDeck</v>
      </c>
      <c r="L14" s="14">
        <v>129683.0</v>
      </c>
      <c r="M14" s="14">
        <v>463.0</v>
      </c>
      <c r="N14" s="14">
        <v>645.0</v>
      </c>
      <c r="O14" s="19"/>
      <c r="P14" s="16">
        <v>40014.714479166665</v>
      </c>
      <c r="Q14" s="10" t="s">
        <v>633</v>
      </c>
      <c r="R14" s="10" t="s">
        <v>634</v>
      </c>
      <c r="S14" s="11" t="s">
        <v>635</v>
      </c>
      <c r="T14" s="12"/>
      <c r="U14" s="17" t="str">
        <f>HYPERLINK("https://pbs.twimg.com/profile_images/1303433784117862400/n1Hd_tYT.jpg","View")</f>
        <v>View</v>
      </c>
      <c r="V14" s="12"/>
      <c r="W14" s="12"/>
      <c r="X14" s="12"/>
      <c r="Y14" s="12"/>
      <c r="Z14" s="12"/>
    </row>
    <row r="15">
      <c r="A15" s="8">
        <v>44222.41096064815</v>
      </c>
      <c r="B15" s="9" t="str">
        <f>HYPERLINK("https://twitter.com/marcelino_77","@marcelino_77")</f>
        <v>@marcelino_77</v>
      </c>
      <c r="C15" s="10" t="s">
        <v>319</v>
      </c>
      <c r="D15" s="10" t="s">
        <v>334</v>
      </c>
      <c r="E15" s="9" t="str">
        <f>HYPERLINK("https://twitter.com/marcelino_77/status/1354094694276317184","1354094694276317184")</f>
        <v>1354094694276317184</v>
      </c>
      <c r="F15" s="11" t="s">
        <v>335</v>
      </c>
      <c r="G15" s="11" t="s">
        <v>336</v>
      </c>
      <c r="H15" s="12"/>
      <c r="I15" s="13">
        <v>0.0</v>
      </c>
      <c r="J15" s="13">
        <v>0.0</v>
      </c>
      <c r="K15" s="9" t="str">
        <f>HYPERLINK("http://twitter.com/download/android","Twitter for Android")</f>
        <v>Twitter for Android</v>
      </c>
      <c r="L15" s="14">
        <v>1050.0</v>
      </c>
      <c r="M15" s="14">
        <v>1862.0</v>
      </c>
      <c r="N15" s="14">
        <v>2.0</v>
      </c>
      <c r="O15" s="19"/>
      <c r="P15" s="16">
        <v>40825.87563657407</v>
      </c>
      <c r="Q15" s="12"/>
      <c r="R15" s="10" t="s">
        <v>323</v>
      </c>
      <c r="S15" s="12"/>
      <c r="T15" s="12"/>
      <c r="U15" s="17" t="str">
        <f>HYPERLINK("https://pbs.twimg.com/profile_images/1338694529856151554/5YQfB46X.jpg","View")</f>
        <v>View</v>
      </c>
      <c r="V15" s="12"/>
      <c r="W15" s="12"/>
      <c r="X15" s="12"/>
      <c r="Y15" s="12"/>
      <c r="Z15" s="12"/>
    </row>
    <row r="16">
      <c r="A16" s="8">
        <v>44222.39398148148</v>
      </c>
      <c r="B16" s="9" t="str">
        <f>HYPERLINK("https://twitter.com/MaraC16","@MaraC16")</f>
        <v>@MaraC16</v>
      </c>
      <c r="C16" s="10" t="s">
        <v>636</v>
      </c>
      <c r="D16" s="10" t="s">
        <v>637</v>
      </c>
      <c r="E16" s="9" t="str">
        <f>HYPERLINK("https://twitter.com/MaraC16/status/1354088540523659265","1354088540523659265")</f>
        <v>1354088540523659265</v>
      </c>
      <c r="F16" s="12"/>
      <c r="G16" s="12"/>
      <c r="H16" s="12"/>
      <c r="I16" s="13">
        <v>0.0</v>
      </c>
      <c r="J16" s="13">
        <v>0.0</v>
      </c>
      <c r="K16" s="9" t="str">
        <f>HYPERLINK("http://twitter.com/#!/download/ipad","Twitter for iPad")</f>
        <v>Twitter for iPad</v>
      </c>
      <c r="L16" s="14">
        <v>620.0</v>
      </c>
      <c r="M16" s="14">
        <v>339.0</v>
      </c>
      <c r="N16" s="14">
        <v>4.0</v>
      </c>
      <c r="O16" s="19"/>
      <c r="P16" s="16">
        <v>40891.401030092595</v>
      </c>
      <c r="Q16" s="10" t="s">
        <v>638</v>
      </c>
      <c r="R16" s="10" t="s">
        <v>639</v>
      </c>
      <c r="S16" s="12"/>
      <c r="T16" s="12"/>
      <c r="U16" s="17" t="str">
        <f>HYPERLINK("https://pbs.twimg.com/profile_images/1202197842942668802/aF6ATPaw.jpg","View")</f>
        <v>View</v>
      </c>
      <c r="V16" s="12"/>
      <c r="W16" s="12"/>
      <c r="X16" s="12"/>
      <c r="Y16" s="12"/>
      <c r="Z16" s="12"/>
    </row>
    <row r="17">
      <c r="A17" s="8">
        <v>44222.369363425925</v>
      </c>
      <c r="B17" s="9" t="str">
        <f>HYPERLINK("https://twitter.com/SOLQR","@SOLQR")</f>
        <v>@SOLQR</v>
      </c>
      <c r="C17" s="10" t="s">
        <v>600</v>
      </c>
      <c r="D17" s="10" t="s">
        <v>640</v>
      </c>
      <c r="E17" s="9" t="str">
        <f>HYPERLINK("https://twitter.com/SOLQR/status/1354079620837076993","1354079620837076993")</f>
        <v>1354079620837076993</v>
      </c>
      <c r="F17" s="12"/>
      <c r="G17" s="11" t="s">
        <v>641</v>
      </c>
      <c r="H17" s="12"/>
      <c r="I17" s="13">
        <v>0.0</v>
      </c>
      <c r="J17" s="13">
        <v>0.0</v>
      </c>
      <c r="K17" s="9" t="str">
        <f>HYPERLINK("https://mobile.twitter.com","Twitter Web App")</f>
        <v>Twitter Web App</v>
      </c>
      <c r="L17" s="14">
        <v>1095.0</v>
      </c>
      <c r="M17" s="14">
        <v>322.0</v>
      </c>
      <c r="N17" s="14">
        <v>24.0</v>
      </c>
      <c r="O17" s="19"/>
      <c r="P17" s="16">
        <v>40337.52915509259</v>
      </c>
      <c r="Q17" s="10" t="s">
        <v>603</v>
      </c>
      <c r="R17" s="10" t="s">
        <v>604</v>
      </c>
      <c r="S17" s="11" t="s">
        <v>605</v>
      </c>
      <c r="T17" s="12"/>
      <c r="U17" s="17" t="str">
        <f>HYPERLINK("https://pbs.twimg.com/profile_images/1328876879647006723/JwcN8Y-O.jpg","View")</f>
        <v>View</v>
      </c>
      <c r="V17" s="12"/>
      <c r="W17" s="12"/>
      <c r="X17" s="12"/>
      <c r="Y17" s="12"/>
      <c r="Z17" s="12"/>
    </row>
    <row r="18">
      <c r="A18" s="8">
        <v>44222.36435185185</v>
      </c>
      <c r="B18" s="9" t="str">
        <f t="shared" ref="B18:B19" si="4">HYPERLINK("https://twitter.com/Ghost_R_U2","@Ghost_R_U2")</f>
        <v>@Ghost_R_U2</v>
      </c>
      <c r="C18" s="10" t="s">
        <v>642</v>
      </c>
      <c r="D18" s="10" t="s">
        <v>643</v>
      </c>
      <c r="E18" s="9" t="str">
        <f>HYPERLINK("https://twitter.com/Ghost_R_U2/status/1354077804468559875","1354077804468559875")</f>
        <v>1354077804468559875</v>
      </c>
      <c r="F18" s="11" t="s">
        <v>644</v>
      </c>
      <c r="G18" s="11" t="s">
        <v>645</v>
      </c>
      <c r="H18" s="12"/>
      <c r="I18" s="13">
        <v>0.0</v>
      </c>
      <c r="J18" s="13">
        <v>0.0</v>
      </c>
      <c r="K18" s="9" t="str">
        <f t="shared" ref="K18:K21" si="5">HYPERLINK("http://twitter.com/download/android","Twitter for Android")</f>
        <v>Twitter for Android</v>
      </c>
      <c r="L18" s="14">
        <v>622.0</v>
      </c>
      <c r="M18" s="14">
        <v>2008.0</v>
      </c>
      <c r="N18" s="14">
        <v>0.0</v>
      </c>
      <c r="O18" s="19"/>
      <c r="P18" s="16">
        <v>42934.8100925926</v>
      </c>
      <c r="Q18" s="12"/>
      <c r="R18" s="10" t="s">
        <v>646</v>
      </c>
      <c r="S18" s="12"/>
      <c r="T18" s="12"/>
      <c r="U18" s="17" t="str">
        <f t="shared" ref="U18:U19" si="6">HYPERLINK("https://pbs.twimg.com/profile_images/1047490517272080384/TXIA6js7.jpg","View")</f>
        <v>View</v>
      </c>
      <c r="V18" s="12"/>
      <c r="W18" s="12"/>
      <c r="X18" s="12"/>
      <c r="Y18" s="12"/>
      <c r="Z18" s="12"/>
    </row>
    <row r="19">
      <c r="A19" s="8">
        <v>44222.35969907408</v>
      </c>
      <c r="B19" s="9" t="str">
        <f t="shared" si="4"/>
        <v>@Ghost_R_U2</v>
      </c>
      <c r="C19" s="10" t="s">
        <v>642</v>
      </c>
      <c r="D19" s="10" t="s">
        <v>647</v>
      </c>
      <c r="E19" s="9" t="str">
        <f>HYPERLINK("https://twitter.com/Ghost_R_U2/status/1354076118157062146","1354076118157062146")</f>
        <v>1354076118157062146</v>
      </c>
      <c r="F19" s="11" t="s">
        <v>648</v>
      </c>
      <c r="G19" s="12"/>
      <c r="H19" s="12"/>
      <c r="I19" s="13">
        <v>0.0</v>
      </c>
      <c r="J19" s="13">
        <v>0.0</v>
      </c>
      <c r="K19" s="9" t="str">
        <f t="shared" si="5"/>
        <v>Twitter for Android</v>
      </c>
      <c r="L19" s="14">
        <v>622.0</v>
      </c>
      <c r="M19" s="14">
        <v>2008.0</v>
      </c>
      <c r="N19" s="14">
        <v>0.0</v>
      </c>
      <c r="O19" s="19"/>
      <c r="P19" s="16">
        <v>42934.8100925926</v>
      </c>
      <c r="Q19" s="12"/>
      <c r="R19" s="10" t="s">
        <v>646</v>
      </c>
      <c r="S19" s="12"/>
      <c r="T19" s="12"/>
      <c r="U19" s="17" t="str">
        <f t="shared" si="6"/>
        <v>View</v>
      </c>
      <c r="V19" s="12"/>
      <c r="W19" s="12"/>
      <c r="X19" s="12"/>
      <c r="Y19" s="12"/>
      <c r="Z19" s="12"/>
    </row>
    <row r="20">
      <c r="A20" s="8">
        <v>44222.35958333334</v>
      </c>
      <c r="B20" s="9" t="str">
        <f>HYPERLINK("https://twitter.com/lalohdeza","@lalohdeza")</f>
        <v>@lalohdeza</v>
      </c>
      <c r="C20" s="10" t="s">
        <v>649</v>
      </c>
      <c r="D20" s="10" t="s">
        <v>650</v>
      </c>
      <c r="E20" s="9" t="str">
        <f>HYPERLINK("https://twitter.com/lalohdeza/status/1354076076801208321","1354076076801208321")</f>
        <v>1354076076801208321</v>
      </c>
      <c r="F20" s="12"/>
      <c r="G20" s="12"/>
      <c r="H20" s="12"/>
      <c r="I20" s="13">
        <v>0.0</v>
      </c>
      <c r="J20" s="13">
        <v>0.0</v>
      </c>
      <c r="K20" s="9" t="str">
        <f t="shared" si="5"/>
        <v>Twitter for Android</v>
      </c>
      <c r="L20" s="14">
        <v>3283.0</v>
      </c>
      <c r="M20" s="14">
        <v>3398.0</v>
      </c>
      <c r="N20" s="14">
        <v>94.0</v>
      </c>
      <c r="O20" s="19"/>
      <c r="P20" s="16">
        <v>40574.88528935185</v>
      </c>
      <c r="Q20" s="10" t="s">
        <v>651</v>
      </c>
      <c r="R20" s="10" t="s">
        <v>652</v>
      </c>
      <c r="S20" s="12"/>
      <c r="T20" s="12"/>
      <c r="U20" s="17" t="str">
        <f>HYPERLINK("https://pbs.twimg.com/profile_images/1349395379910021122/qZJgsXMg.jpg","View")</f>
        <v>View</v>
      </c>
      <c r="V20" s="12"/>
      <c r="W20" s="12"/>
      <c r="X20" s="12"/>
      <c r="Y20" s="12"/>
      <c r="Z20" s="12"/>
    </row>
    <row r="21">
      <c r="A21" s="8">
        <v>44222.339050925926</v>
      </c>
      <c r="B21" s="9" t="str">
        <f>HYPERLINK("https://twitter.com/La_4ta_T","@La_4ta_T")</f>
        <v>@La_4ta_T</v>
      </c>
      <c r="C21" s="10" t="s">
        <v>653</v>
      </c>
      <c r="D21" s="10" t="s">
        <v>654</v>
      </c>
      <c r="E21" s="9" t="str">
        <f>HYPERLINK("https://twitter.com/La_4ta_T/status/1354068633987805186","1354068633987805186")</f>
        <v>1354068633987805186</v>
      </c>
      <c r="F21" s="11" t="s">
        <v>655</v>
      </c>
      <c r="G21" s="12"/>
      <c r="H21" s="12"/>
      <c r="I21" s="13">
        <v>0.0</v>
      </c>
      <c r="J21" s="13">
        <v>0.0</v>
      </c>
      <c r="K21" s="9" t="str">
        <f t="shared" si="5"/>
        <v>Twitter for Android</v>
      </c>
      <c r="L21" s="14">
        <v>661.0</v>
      </c>
      <c r="M21" s="14">
        <v>777.0</v>
      </c>
      <c r="N21" s="14">
        <v>4.0</v>
      </c>
      <c r="O21" s="19"/>
      <c r="P21" s="16">
        <v>41168.540810185186</v>
      </c>
      <c r="Q21" s="12"/>
      <c r="R21" s="10" t="s">
        <v>656</v>
      </c>
      <c r="S21" s="12"/>
      <c r="T21" s="12"/>
      <c r="U21" s="17" t="str">
        <f>HYPERLINK("https://pbs.twimg.com/profile_images/1087228875246108672/uU_tDnl6.jpg","View")</f>
        <v>View</v>
      </c>
      <c r="V21" s="12"/>
      <c r="W21" s="12"/>
      <c r="X21" s="12"/>
      <c r="Y21" s="12"/>
      <c r="Z21" s="12"/>
    </row>
    <row r="22">
      <c r="A22" s="8">
        <v>44222.325057870374</v>
      </c>
      <c r="B22" s="9" t="str">
        <f>HYPERLINK("https://twitter.com/SOLQR","@SOLQR")</f>
        <v>@SOLQR</v>
      </c>
      <c r="C22" s="10" t="s">
        <v>600</v>
      </c>
      <c r="D22" s="10" t="s">
        <v>657</v>
      </c>
      <c r="E22" s="9" t="str">
        <f>HYPERLINK("https://twitter.com/SOLQR/status/1354063561505574912","1354063561505574912")</f>
        <v>1354063561505574912</v>
      </c>
      <c r="F22" s="11" t="s">
        <v>658</v>
      </c>
      <c r="G22" s="12"/>
      <c r="H22" s="12"/>
      <c r="I22" s="13">
        <v>0.0</v>
      </c>
      <c r="J22" s="13">
        <v>0.0</v>
      </c>
      <c r="K22" s="9" t="str">
        <f>HYPERLINK("https://mobile.twitter.com","Twitter Web App")</f>
        <v>Twitter Web App</v>
      </c>
      <c r="L22" s="14">
        <v>1095.0</v>
      </c>
      <c r="M22" s="14">
        <v>322.0</v>
      </c>
      <c r="N22" s="14">
        <v>24.0</v>
      </c>
      <c r="O22" s="19"/>
      <c r="P22" s="16">
        <v>40337.52915509259</v>
      </c>
      <c r="Q22" s="10" t="s">
        <v>603</v>
      </c>
      <c r="R22" s="10" t="s">
        <v>604</v>
      </c>
      <c r="S22" s="11" t="s">
        <v>605</v>
      </c>
      <c r="T22" s="12"/>
      <c r="U22" s="17" t="str">
        <f>HYPERLINK("https://pbs.twimg.com/profile_images/1328876879647006723/JwcN8Y-O.jpg","View")</f>
        <v>View</v>
      </c>
      <c r="V22" s="12"/>
      <c r="W22" s="12"/>
      <c r="X22" s="12"/>
      <c r="Y22" s="12"/>
      <c r="Z22" s="12"/>
    </row>
    <row r="23">
      <c r="A23" s="8">
        <v>44222.283541666664</v>
      </c>
      <c r="B23" s="9" t="str">
        <f>HYPERLINK("https://twitter.com/Maximino351","@Maximino351")</f>
        <v>@Maximino351</v>
      </c>
      <c r="C23" s="10" t="s">
        <v>659</v>
      </c>
      <c r="D23" s="10" t="s">
        <v>660</v>
      </c>
      <c r="E23" s="9" t="str">
        <f>HYPERLINK("https://twitter.com/Maximino351/status/1354048516650397696","1354048516650397696")</f>
        <v>1354048516650397696</v>
      </c>
      <c r="F23" s="12"/>
      <c r="G23" s="11" t="s">
        <v>661</v>
      </c>
      <c r="H23" s="12"/>
      <c r="I23" s="13">
        <v>0.0</v>
      </c>
      <c r="J23" s="13">
        <v>4.0</v>
      </c>
      <c r="K23" s="9" t="str">
        <f>HYPERLINK("http://twitter.com/download/android","Twitter for Android")</f>
        <v>Twitter for Android</v>
      </c>
      <c r="L23" s="14">
        <v>1996.0</v>
      </c>
      <c r="M23" s="14">
        <v>2577.0</v>
      </c>
      <c r="N23" s="14">
        <v>4.0</v>
      </c>
      <c r="O23" s="19"/>
      <c r="P23" s="16">
        <v>44014.39648148148</v>
      </c>
      <c r="Q23" s="10" t="s">
        <v>662</v>
      </c>
      <c r="R23" s="10" t="s">
        <v>663</v>
      </c>
      <c r="S23" s="12"/>
      <c r="T23" s="12"/>
      <c r="U23" s="17" t="str">
        <f>HYPERLINK("https://pbs.twimg.com/profile_images/1312849797171367942/XayQ7U3Q.jpg","View")</f>
        <v>View</v>
      </c>
      <c r="V23" s="12"/>
      <c r="W23" s="12"/>
      <c r="X23" s="12"/>
      <c r="Y23" s="12"/>
      <c r="Z23" s="12"/>
    </row>
    <row r="24">
      <c r="A24" s="8">
        <v>44222.28094907408</v>
      </c>
      <c r="B24" s="9" t="str">
        <f>HYPERLINK("https://twitter.com/CSaizar","@CSaizar")</f>
        <v>@CSaizar</v>
      </c>
      <c r="C24" s="10" t="s">
        <v>664</v>
      </c>
      <c r="D24" s="10" t="s">
        <v>665</v>
      </c>
      <c r="E24" s="9" t="str">
        <f>HYPERLINK("https://twitter.com/CSaizar/status/1354047578229379072","1354047578229379072")</f>
        <v>1354047578229379072</v>
      </c>
      <c r="F24" s="12"/>
      <c r="G24" s="11" t="s">
        <v>666</v>
      </c>
      <c r="H24" s="12"/>
      <c r="I24" s="13">
        <v>2.0</v>
      </c>
      <c r="J24" s="13">
        <v>49.0</v>
      </c>
      <c r="K24" s="9" t="str">
        <f t="shared" ref="K24:K26" si="7">HYPERLINK("http://twitter.com/download/iphone","Twitter for iPhone")</f>
        <v>Twitter for iPhone</v>
      </c>
      <c r="L24" s="14">
        <v>62121.0</v>
      </c>
      <c r="M24" s="14">
        <v>1478.0</v>
      </c>
      <c r="N24" s="14">
        <v>653.0</v>
      </c>
      <c r="O24" s="19"/>
      <c r="P24" s="16">
        <v>40390.856099537035</v>
      </c>
      <c r="Q24" s="10" t="s">
        <v>667</v>
      </c>
      <c r="R24" s="10" t="s">
        <v>668</v>
      </c>
      <c r="S24" s="12"/>
      <c r="T24" s="12"/>
      <c r="U24" s="17" t="str">
        <f>HYPERLINK("https://pbs.twimg.com/profile_images/1346047050992021506/6XaXBXDA.jpg","View")</f>
        <v>View</v>
      </c>
      <c r="V24" s="12"/>
      <c r="W24" s="12"/>
      <c r="X24" s="12"/>
      <c r="Y24" s="12"/>
      <c r="Z24" s="12"/>
    </row>
    <row r="25">
      <c r="A25" s="8">
        <v>44222.27390046296</v>
      </c>
      <c r="B25" s="9" t="str">
        <f>HYPERLINK("https://twitter.com/123LeoLopez1","@123LeoLopez1")</f>
        <v>@123LeoLopez1</v>
      </c>
      <c r="C25" s="10" t="s">
        <v>606</v>
      </c>
      <c r="D25" s="10" t="s">
        <v>669</v>
      </c>
      <c r="E25" s="9" t="str">
        <f>HYPERLINK("https://twitter.com/123LeoLopez1/status/1354045025894748160","1354045025894748160")</f>
        <v>1354045025894748160</v>
      </c>
      <c r="F25" s="11" t="s">
        <v>670</v>
      </c>
      <c r="G25" s="12"/>
      <c r="H25" s="12"/>
      <c r="I25" s="13">
        <v>0.0</v>
      </c>
      <c r="J25" s="13">
        <v>1.0</v>
      </c>
      <c r="K25" s="9" t="str">
        <f t="shared" si="7"/>
        <v>Twitter for iPhone</v>
      </c>
      <c r="L25" s="14">
        <v>633.0</v>
      </c>
      <c r="M25" s="14">
        <v>1325.0</v>
      </c>
      <c r="N25" s="14">
        <v>0.0</v>
      </c>
      <c r="O25" s="19"/>
      <c r="P25" s="16">
        <v>43980.54210648148</v>
      </c>
      <c r="Q25" s="12"/>
      <c r="R25" s="10" t="s">
        <v>610</v>
      </c>
      <c r="S25" s="12"/>
      <c r="T25" s="12"/>
      <c r="U25" s="17" t="str">
        <f>HYPERLINK("https://pbs.twimg.com/profile_images/1354093186197680130/YDLDjqoI.jpg","View")</f>
        <v>View</v>
      </c>
      <c r="V25" s="12"/>
      <c r="W25" s="12"/>
      <c r="X25" s="12"/>
      <c r="Y25" s="12"/>
      <c r="Z25" s="12"/>
    </row>
    <row r="26">
      <c r="A26" s="8">
        <v>44222.26306712963</v>
      </c>
      <c r="B26" s="9" t="str">
        <f>HYPERLINK("https://twitter.com/AXS695S","@AXS695S")</f>
        <v>@AXS695S</v>
      </c>
      <c r="C26" s="10" t="s">
        <v>671</v>
      </c>
      <c r="D26" s="10" t="s">
        <v>672</v>
      </c>
      <c r="E26" s="9" t="str">
        <f>HYPERLINK("https://twitter.com/AXS695S/status/1354041098730168325","1354041098730168325")</f>
        <v>1354041098730168325</v>
      </c>
      <c r="F26" s="11" t="s">
        <v>673</v>
      </c>
      <c r="G26" s="10" t="s">
        <v>674</v>
      </c>
      <c r="H26" s="12"/>
      <c r="I26" s="13">
        <v>0.0</v>
      </c>
      <c r="J26" s="13">
        <v>0.0</v>
      </c>
      <c r="K26" s="9" t="str">
        <f t="shared" si="7"/>
        <v>Twitter for iPhone</v>
      </c>
      <c r="L26" s="14">
        <v>40.0</v>
      </c>
      <c r="M26" s="14">
        <v>64.0</v>
      </c>
      <c r="N26" s="14">
        <v>0.0</v>
      </c>
      <c r="O26" s="19"/>
      <c r="P26" s="16">
        <v>44187.343506944446</v>
      </c>
      <c r="Q26" s="10" t="s">
        <v>675</v>
      </c>
      <c r="R26" s="10" t="s">
        <v>676</v>
      </c>
      <c r="S26" s="12"/>
      <c r="T26" s="12"/>
      <c r="U26" s="17" t="str">
        <f>HYPERLINK("https://pbs.twimg.com/profile_images/1342102422118948865/D3gqUUfo.jpg","View")</f>
        <v>View</v>
      </c>
      <c r="V26" s="12"/>
      <c r="W26" s="12"/>
      <c r="X26" s="12"/>
      <c r="Y26" s="12"/>
      <c r="Z26" s="12"/>
    </row>
    <row r="27">
      <c r="A27" s="8">
        <v>44222.26041666667</v>
      </c>
      <c r="B27" s="9" t="str">
        <f>HYPERLINK("https://twitter.com/EstadisticasGob","@EstadisticasGob")</f>
        <v>@EstadisticasGob</v>
      </c>
      <c r="C27" s="10" t="s">
        <v>677</v>
      </c>
      <c r="D27" s="10" t="s">
        <v>678</v>
      </c>
      <c r="E27" s="9" t="str">
        <f>HYPERLINK("https://twitter.com/EstadisticasGob/status/1354040137433288705","1354040137433288705")</f>
        <v>1354040137433288705</v>
      </c>
      <c r="F27" s="12"/>
      <c r="G27" s="11" t="s">
        <v>679</v>
      </c>
      <c r="H27" s="12"/>
      <c r="I27" s="13">
        <v>1.0</v>
      </c>
      <c r="J27" s="13">
        <v>0.0</v>
      </c>
      <c r="K27" s="9" t="str">
        <f>HYPERLINK("https://about.twitter.com/products/tweetdeck","TweetDeck")</f>
        <v>TweetDeck</v>
      </c>
      <c r="L27" s="14">
        <v>4170.0</v>
      </c>
      <c r="M27" s="14">
        <v>2994.0</v>
      </c>
      <c r="N27" s="14">
        <v>47.0</v>
      </c>
      <c r="O27" s="19"/>
      <c r="P27" s="16">
        <v>42129.42857638889</v>
      </c>
      <c r="Q27" s="12"/>
      <c r="R27" s="10" t="s">
        <v>680</v>
      </c>
      <c r="S27" s="12"/>
      <c r="T27" s="12"/>
      <c r="U27" s="17" t="str">
        <f>HYPERLINK("https://pbs.twimg.com/profile_images/1347216616719851522/jfaaEh6d.jpg","View")</f>
        <v>View</v>
      </c>
      <c r="V27" s="12"/>
      <c r="W27" s="12"/>
      <c r="X27" s="12"/>
      <c r="Y27" s="12"/>
      <c r="Z27" s="12"/>
    </row>
    <row r="28">
      <c r="A28" s="8">
        <v>44222.25880787037</v>
      </c>
      <c r="B28" s="9" t="str">
        <f>HYPERLINK("https://twitter.com/VictorParraTab","@VictorParraTab")</f>
        <v>@VictorParraTab</v>
      </c>
      <c r="C28" s="10" t="s">
        <v>681</v>
      </c>
      <c r="D28" s="10" t="s">
        <v>682</v>
      </c>
      <c r="E28" s="9" t="str">
        <f>HYPERLINK("https://twitter.com/VictorParraTab/status/1354039554068664320","1354039554068664320")</f>
        <v>1354039554068664320</v>
      </c>
      <c r="F28" s="12"/>
      <c r="G28" s="11" t="s">
        <v>683</v>
      </c>
      <c r="H28" s="12"/>
      <c r="I28" s="13">
        <v>1.0</v>
      </c>
      <c r="J28" s="13">
        <v>4.0</v>
      </c>
      <c r="K28" s="9" t="str">
        <f>HYPERLINK("https://mobile.twitter.com","Twitter Web App")</f>
        <v>Twitter Web App</v>
      </c>
      <c r="L28" s="14">
        <v>385.0</v>
      </c>
      <c r="M28" s="14">
        <v>194.0</v>
      </c>
      <c r="N28" s="14">
        <v>2.0</v>
      </c>
      <c r="O28" s="19"/>
      <c r="P28" s="16">
        <v>41362.55583333333</v>
      </c>
      <c r="Q28" s="12"/>
      <c r="R28" s="10" t="s">
        <v>684</v>
      </c>
      <c r="S28" s="11" t="s">
        <v>685</v>
      </c>
      <c r="T28" s="12"/>
      <c r="U28" s="17" t="str">
        <f>HYPERLINK("https://pbs.twimg.com/profile_images/565694059583250432/EbvPw9qY.jpeg","View")</f>
        <v>View</v>
      </c>
      <c r="V28" s="12"/>
      <c r="W28" s="12"/>
      <c r="X28" s="12"/>
      <c r="Y28" s="12"/>
      <c r="Z28" s="12"/>
    </row>
    <row r="29">
      <c r="A29" s="8">
        <v>44222.14630787037</v>
      </c>
      <c r="B29" s="9" t="str">
        <f>HYPERLINK("https://twitter.com/AcusoydenucioC","@AcusoydenucioC")</f>
        <v>@AcusoydenucioC</v>
      </c>
      <c r="C29" s="10" t="s">
        <v>686</v>
      </c>
      <c r="D29" s="10" t="s">
        <v>687</v>
      </c>
      <c r="E29" s="9" t="str">
        <f>HYPERLINK("https://twitter.com/AcusoydenucioC/status/1353998785396035586","1353998785396035586")</f>
        <v>1353998785396035586</v>
      </c>
      <c r="F29" s="12"/>
      <c r="G29" s="11" t="s">
        <v>688</v>
      </c>
      <c r="H29" s="12"/>
      <c r="I29" s="13">
        <v>1.0</v>
      </c>
      <c r="J29" s="13">
        <v>1.0</v>
      </c>
      <c r="K29" s="9" t="str">
        <f>HYPERLINK("http://twitter.com/#!/download/ipad","Twitter for iPad")</f>
        <v>Twitter for iPad</v>
      </c>
      <c r="L29" s="14">
        <v>820.0</v>
      </c>
      <c r="M29" s="14">
        <v>2520.0</v>
      </c>
      <c r="N29" s="14">
        <v>4.0</v>
      </c>
      <c r="O29" s="19"/>
      <c r="P29" s="16">
        <v>41593.447962962964</v>
      </c>
      <c r="Q29" s="10" t="s">
        <v>689</v>
      </c>
      <c r="R29" s="10" t="s">
        <v>690</v>
      </c>
      <c r="S29" s="12"/>
      <c r="T29" s="12"/>
      <c r="U29" s="17" t="str">
        <f>HYPERLINK("https://pbs.twimg.com/profile_images/1340871692730716166/uJ-K9jXO.jpg","View")</f>
        <v>View</v>
      </c>
      <c r="V29" s="12"/>
      <c r="W29" s="12"/>
      <c r="X29" s="12"/>
      <c r="Y29" s="12"/>
      <c r="Z29" s="12"/>
    </row>
    <row r="30">
      <c r="A30" s="8">
        <v>44222.10314814815</v>
      </c>
      <c r="B30" s="9" t="str">
        <f t="shared" ref="B30:B34" si="8">HYPERLINK("https://twitter.com/LauraRo66056141","@LauraRo66056141")</f>
        <v>@LauraRo66056141</v>
      </c>
      <c r="C30" s="10" t="s">
        <v>691</v>
      </c>
      <c r="D30" s="10" t="s">
        <v>692</v>
      </c>
      <c r="E30" s="9" t="str">
        <f>HYPERLINK("https://twitter.com/LauraRo66056141/status/1353983147285700608","1353983147285700608")</f>
        <v>1353983147285700608</v>
      </c>
      <c r="F30" s="10" t="s">
        <v>693</v>
      </c>
      <c r="G30" s="11" t="s">
        <v>694</v>
      </c>
      <c r="H30" s="12"/>
      <c r="I30" s="13">
        <v>0.0</v>
      </c>
      <c r="J30" s="13">
        <v>0.0</v>
      </c>
      <c r="K30" s="9" t="str">
        <f t="shared" ref="K30:K34" si="9">HYPERLINK("https://mobile.twitter.com","Twitter Web App")</f>
        <v>Twitter Web App</v>
      </c>
      <c r="L30" s="14">
        <v>71.0</v>
      </c>
      <c r="M30" s="14">
        <v>165.0</v>
      </c>
      <c r="N30" s="14">
        <v>1.0</v>
      </c>
      <c r="O30" s="19"/>
      <c r="P30" s="16">
        <v>43640.88015046297</v>
      </c>
      <c r="Q30" s="10" t="s">
        <v>695</v>
      </c>
      <c r="R30" s="10" t="s">
        <v>696</v>
      </c>
      <c r="S30" s="12"/>
      <c r="T30" s="12"/>
      <c r="U30" s="17" t="str">
        <f t="shared" ref="U30:U34" si="10">HYPERLINK("https://pbs.twimg.com/profile_images/1346360185422401541/Hf6NVnv4.jpg","View")</f>
        <v>View</v>
      </c>
      <c r="V30" s="12"/>
      <c r="W30" s="12"/>
      <c r="X30" s="12"/>
      <c r="Y30" s="12"/>
      <c r="Z30" s="12"/>
    </row>
    <row r="31">
      <c r="A31" s="8">
        <v>44222.100740740745</v>
      </c>
      <c r="B31" s="9" t="str">
        <f t="shared" si="8"/>
        <v>@LauraRo66056141</v>
      </c>
      <c r="C31" s="10" t="s">
        <v>691</v>
      </c>
      <c r="D31" s="10" t="s">
        <v>697</v>
      </c>
      <c r="E31" s="9" t="str">
        <f>HYPERLINK("https://twitter.com/LauraRo66056141/status/1353982274249711619","1353982274249711619")</f>
        <v>1353982274249711619</v>
      </c>
      <c r="F31" s="10" t="s">
        <v>698</v>
      </c>
      <c r="G31" s="11" t="s">
        <v>699</v>
      </c>
      <c r="H31" s="12"/>
      <c r="I31" s="13">
        <v>0.0</v>
      </c>
      <c r="J31" s="13">
        <v>0.0</v>
      </c>
      <c r="K31" s="9" t="str">
        <f t="shared" si="9"/>
        <v>Twitter Web App</v>
      </c>
      <c r="L31" s="14">
        <v>71.0</v>
      </c>
      <c r="M31" s="14">
        <v>165.0</v>
      </c>
      <c r="N31" s="14">
        <v>1.0</v>
      </c>
      <c r="O31" s="19"/>
      <c r="P31" s="16">
        <v>43640.88015046297</v>
      </c>
      <c r="Q31" s="10" t="s">
        <v>695</v>
      </c>
      <c r="R31" s="10" t="s">
        <v>696</v>
      </c>
      <c r="S31" s="12"/>
      <c r="T31" s="12"/>
      <c r="U31" s="17" t="str">
        <f t="shared" si="10"/>
        <v>View</v>
      </c>
      <c r="V31" s="12"/>
      <c r="W31" s="12"/>
      <c r="X31" s="12"/>
      <c r="Y31" s="12"/>
      <c r="Z31" s="12"/>
    </row>
    <row r="32">
      <c r="A32" s="8">
        <v>44222.09921296296</v>
      </c>
      <c r="B32" s="9" t="str">
        <f t="shared" si="8"/>
        <v>@LauraRo66056141</v>
      </c>
      <c r="C32" s="10" t="s">
        <v>691</v>
      </c>
      <c r="D32" s="10" t="s">
        <v>700</v>
      </c>
      <c r="E32" s="9" t="str">
        <f>HYPERLINK("https://twitter.com/LauraRo66056141/status/1353981720903573504","1353981720903573504")</f>
        <v>1353981720903573504</v>
      </c>
      <c r="F32" s="11" t="s">
        <v>701</v>
      </c>
      <c r="G32" s="11" t="s">
        <v>702</v>
      </c>
      <c r="H32" s="12"/>
      <c r="I32" s="13">
        <v>0.0</v>
      </c>
      <c r="J32" s="13">
        <v>0.0</v>
      </c>
      <c r="K32" s="9" t="str">
        <f t="shared" si="9"/>
        <v>Twitter Web App</v>
      </c>
      <c r="L32" s="14">
        <v>71.0</v>
      </c>
      <c r="M32" s="14">
        <v>165.0</v>
      </c>
      <c r="N32" s="14">
        <v>1.0</v>
      </c>
      <c r="O32" s="19"/>
      <c r="P32" s="16">
        <v>43640.88015046297</v>
      </c>
      <c r="Q32" s="10" t="s">
        <v>695</v>
      </c>
      <c r="R32" s="10" t="s">
        <v>696</v>
      </c>
      <c r="S32" s="12"/>
      <c r="T32" s="12"/>
      <c r="U32" s="17" t="str">
        <f t="shared" si="10"/>
        <v>View</v>
      </c>
      <c r="V32" s="12"/>
      <c r="W32" s="12"/>
      <c r="X32" s="12"/>
      <c r="Y32" s="12"/>
      <c r="Z32" s="12"/>
    </row>
    <row r="33">
      <c r="A33" s="8">
        <v>44222.0628125</v>
      </c>
      <c r="B33" s="9" t="str">
        <f t="shared" si="8"/>
        <v>@LauraRo66056141</v>
      </c>
      <c r="C33" s="10" t="s">
        <v>691</v>
      </c>
      <c r="D33" s="10" t="s">
        <v>703</v>
      </c>
      <c r="E33" s="9" t="str">
        <f>HYPERLINK("https://twitter.com/LauraRo66056141/status/1353968528961855488","1353968528961855488")</f>
        <v>1353968528961855488</v>
      </c>
      <c r="F33" s="10" t="s">
        <v>704</v>
      </c>
      <c r="G33" s="11" t="s">
        <v>705</v>
      </c>
      <c r="H33" s="12"/>
      <c r="I33" s="13">
        <v>0.0</v>
      </c>
      <c r="J33" s="13">
        <v>0.0</v>
      </c>
      <c r="K33" s="9" t="str">
        <f t="shared" si="9"/>
        <v>Twitter Web App</v>
      </c>
      <c r="L33" s="14">
        <v>71.0</v>
      </c>
      <c r="M33" s="14">
        <v>165.0</v>
      </c>
      <c r="N33" s="14">
        <v>1.0</v>
      </c>
      <c r="O33" s="19"/>
      <c r="P33" s="16">
        <v>43640.88015046297</v>
      </c>
      <c r="Q33" s="10" t="s">
        <v>695</v>
      </c>
      <c r="R33" s="10" t="s">
        <v>696</v>
      </c>
      <c r="S33" s="12"/>
      <c r="T33" s="12"/>
      <c r="U33" s="17" t="str">
        <f t="shared" si="10"/>
        <v>View</v>
      </c>
      <c r="V33" s="12"/>
      <c r="W33" s="12"/>
      <c r="X33" s="12"/>
      <c r="Y33" s="12"/>
      <c r="Z33" s="12"/>
    </row>
    <row r="34">
      <c r="A34" s="8">
        <v>44222.061377314814</v>
      </c>
      <c r="B34" s="9" t="str">
        <f t="shared" si="8"/>
        <v>@LauraRo66056141</v>
      </c>
      <c r="C34" s="10" t="s">
        <v>691</v>
      </c>
      <c r="D34" s="10" t="s">
        <v>706</v>
      </c>
      <c r="E34" s="9" t="str">
        <f>HYPERLINK("https://twitter.com/LauraRo66056141/status/1353968007064633346","1353968007064633346")</f>
        <v>1353968007064633346</v>
      </c>
      <c r="F34" s="11" t="s">
        <v>707</v>
      </c>
      <c r="G34" s="11" t="s">
        <v>708</v>
      </c>
      <c r="H34" s="12"/>
      <c r="I34" s="13">
        <v>0.0</v>
      </c>
      <c r="J34" s="13">
        <v>0.0</v>
      </c>
      <c r="K34" s="9" t="str">
        <f t="shared" si="9"/>
        <v>Twitter Web App</v>
      </c>
      <c r="L34" s="14">
        <v>71.0</v>
      </c>
      <c r="M34" s="14">
        <v>165.0</v>
      </c>
      <c r="N34" s="14">
        <v>1.0</v>
      </c>
      <c r="O34" s="19"/>
      <c r="P34" s="16">
        <v>43640.88015046297</v>
      </c>
      <c r="Q34" s="10" t="s">
        <v>695</v>
      </c>
      <c r="R34" s="10" t="s">
        <v>696</v>
      </c>
      <c r="S34" s="12"/>
      <c r="T34" s="12"/>
      <c r="U34" s="17" t="str">
        <f t="shared" si="10"/>
        <v>View</v>
      </c>
      <c r="V34" s="12"/>
      <c r="W34" s="12"/>
      <c r="X34" s="12"/>
      <c r="Y34" s="12"/>
      <c r="Z34" s="12"/>
    </row>
    <row r="35">
      <c r="A35" s="8">
        <v>44222.03163194444</v>
      </c>
      <c r="B35" s="9" t="str">
        <f>HYPERLINK("https://twitter.com/ElEdgarG","@ElEdgarG")</f>
        <v>@ElEdgarG</v>
      </c>
      <c r="C35" s="10" t="s">
        <v>709</v>
      </c>
      <c r="D35" s="10" t="s">
        <v>710</v>
      </c>
      <c r="E35" s="9" t="str">
        <f>HYPERLINK("https://twitter.com/ElEdgarG/status/1353957227799998465","1353957227799998465")</f>
        <v>1353957227799998465</v>
      </c>
      <c r="F35" s="12"/>
      <c r="G35" s="12"/>
      <c r="H35" s="12"/>
      <c r="I35" s="13">
        <v>0.0</v>
      </c>
      <c r="J35" s="13">
        <v>0.0</v>
      </c>
      <c r="K35" s="9" t="str">
        <f t="shared" ref="K35:K37" si="11">HYPERLINK("http://twitter.com/download/iphone","Twitter for iPhone")</f>
        <v>Twitter for iPhone</v>
      </c>
      <c r="L35" s="14">
        <v>302.0</v>
      </c>
      <c r="M35" s="14">
        <v>1298.0</v>
      </c>
      <c r="N35" s="14">
        <v>1.0</v>
      </c>
      <c r="O35" s="19"/>
      <c r="P35" s="16">
        <v>40558.51081018519</v>
      </c>
      <c r="Q35" s="10" t="s">
        <v>224</v>
      </c>
      <c r="R35" s="10" t="s">
        <v>711</v>
      </c>
      <c r="S35" s="12"/>
      <c r="T35" s="12"/>
      <c r="U35" s="17" t="str">
        <f>HYPERLINK("https://pbs.twimg.com/profile_images/1349819894448197632/h-7T7Vz7.jpg","View")</f>
        <v>View</v>
      </c>
      <c r="V35" s="12"/>
      <c r="W35" s="12"/>
      <c r="X35" s="12"/>
      <c r="Y35" s="12"/>
      <c r="Z35" s="12"/>
    </row>
    <row r="36">
      <c r="A36" s="8">
        <v>44222.002789351856</v>
      </c>
      <c r="B36" s="9" t="str">
        <f t="shared" ref="B36:B37" si="12">HYPERLINK("https://twitter.com/MomisGL","@MomisGL")</f>
        <v>@MomisGL</v>
      </c>
      <c r="C36" s="10" t="s">
        <v>712</v>
      </c>
      <c r="D36" s="10" t="s">
        <v>713</v>
      </c>
      <c r="E36" s="9" t="str">
        <f>HYPERLINK("https://twitter.com/MomisGL/status/1353946776986910720","1353946776986910720")</f>
        <v>1353946776986910720</v>
      </c>
      <c r="F36" s="12"/>
      <c r="G36" s="12"/>
      <c r="H36" s="12"/>
      <c r="I36" s="13">
        <v>0.0</v>
      </c>
      <c r="J36" s="13">
        <v>0.0</v>
      </c>
      <c r="K36" s="9" t="str">
        <f t="shared" si="11"/>
        <v>Twitter for iPhone</v>
      </c>
      <c r="L36" s="14">
        <v>687.0</v>
      </c>
      <c r="M36" s="14">
        <v>638.0</v>
      </c>
      <c r="N36" s="14">
        <v>11.0</v>
      </c>
      <c r="O36" s="19"/>
      <c r="P36" s="16">
        <v>40172.88966435185</v>
      </c>
      <c r="Q36" s="10" t="s">
        <v>714</v>
      </c>
      <c r="R36" s="10" t="s">
        <v>715</v>
      </c>
      <c r="S36" s="11" t="s">
        <v>716</v>
      </c>
      <c r="T36" s="12"/>
      <c r="U36" s="17" t="str">
        <f t="shared" ref="U36:U37" si="13">HYPERLINK("https://pbs.twimg.com/profile_images/1335778490185093120/80KnH_3N.jpg","View")</f>
        <v>View</v>
      </c>
      <c r="V36" s="12"/>
      <c r="W36" s="12"/>
      <c r="X36" s="12"/>
      <c r="Y36" s="12"/>
      <c r="Z36" s="12"/>
    </row>
    <row r="37">
      <c r="A37" s="8">
        <v>44221.998877314814</v>
      </c>
      <c r="B37" s="9" t="str">
        <f t="shared" si="12"/>
        <v>@MomisGL</v>
      </c>
      <c r="C37" s="10" t="s">
        <v>712</v>
      </c>
      <c r="D37" s="10" t="s">
        <v>717</v>
      </c>
      <c r="E37" s="9" t="str">
        <f>HYPERLINK("https://twitter.com/MomisGL/status/1353945361610661888","1353945361610661888")</f>
        <v>1353945361610661888</v>
      </c>
      <c r="F37" s="12"/>
      <c r="G37" s="12"/>
      <c r="H37" s="12"/>
      <c r="I37" s="13">
        <v>0.0</v>
      </c>
      <c r="J37" s="13">
        <v>0.0</v>
      </c>
      <c r="K37" s="9" t="str">
        <f t="shared" si="11"/>
        <v>Twitter for iPhone</v>
      </c>
      <c r="L37" s="14">
        <v>687.0</v>
      </c>
      <c r="M37" s="14">
        <v>638.0</v>
      </c>
      <c r="N37" s="14">
        <v>11.0</v>
      </c>
      <c r="O37" s="19"/>
      <c r="P37" s="16">
        <v>40172.88966435185</v>
      </c>
      <c r="Q37" s="10" t="s">
        <v>714</v>
      </c>
      <c r="R37" s="10" t="s">
        <v>715</v>
      </c>
      <c r="S37" s="11" t="s">
        <v>716</v>
      </c>
      <c r="T37" s="12"/>
      <c r="U37" s="17" t="str">
        <f t="shared" si="13"/>
        <v>View</v>
      </c>
      <c r="V37" s="12"/>
      <c r="W37" s="12"/>
      <c r="X37" s="12"/>
      <c r="Y37" s="12"/>
      <c r="Z37" s="12"/>
    </row>
    <row r="38">
      <c r="A38" s="8">
        <v>44221.993263888886</v>
      </c>
      <c r="B38" s="9" t="str">
        <f>HYPERLINK("https://twitter.com/Buen_Chris16","@Buen_Chris16")</f>
        <v>@Buen_Chris16</v>
      </c>
      <c r="C38" s="10" t="s">
        <v>718</v>
      </c>
      <c r="D38" s="10" t="s">
        <v>719</v>
      </c>
      <c r="E38" s="9" t="str">
        <f>HYPERLINK("https://twitter.com/Buen_Chris16/status/1353943325162704898","1353943325162704898")</f>
        <v>1353943325162704898</v>
      </c>
      <c r="F38" s="10" t="s">
        <v>720</v>
      </c>
      <c r="G38" s="12"/>
      <c r="H38" s="12"/>
      <c r="I38" s="13">
        <v>0.0</v>
      </c>
      <c r="J38" s="13">
        <v>0.0</v>
      </c>
      <c r="K38" s="9" t="str">
        <f>HYPERLINK("http://twitter.com/download/android","Twitter for Android")</f>
        <v>Twitter for Android</v>
      </c>
      <c r="L38" s="14">
        <v>68.0</v>
      </c>
      <c r="M38" s="14">
        <v>371.0</v>
      </c>
      <c r="N38" s="14">
        <v>0.0</v>
      </c>
      <c r="O38" s="19"/>
      <c r="P38" s="16">
        <v>43961.85628472222</v>
      </c>
      <c r="Q38" s="10" t="s">
        <v>721</v>
      </c>
      <c r="R38" s="10" t="s">
        <v>722</v>
      </c>
      <c r="S38" s="12"/>
      <c r="T38" s="12"/>
      <c r="U38" s="17" t="str">
        <f>HYPERLINK("https://pbs.twimg.com/profile_images/1324452225221971968/_2Ox7Rtt.jpg","View")</f>
        <v>View</v>
      </c>
      <c r="V38" s="12"/>
      <c r="W38" s="12"/>
      <c r="X38" s="12"/>
      <c r="Y38" s="12"/>
      <c r="Z38" s="12"/>
    </row>
    <row r="39">
      <c r="A39" s="8">
        <v>44221.989178240736</v>
      </c>
      <c r="B39" s="9" t="str">
        <f>HYPERLINK("https://twitter.com/LeonelGL27","@LeonelGL27")</f>
        <v>@LeonelGL27</v>
      </c>
      <c r="C39" s="10" t="s">
        <v>586</v>
      </c>
      <c r="D39" s="10" t="s">
        <v>723</v>
      </c>
      <c r="E39" s="9" t="str">
        <f>HYPERLINK("https://twitter.com/LeonelGL27/status/1353941844896468992","1353941844896468992")</f>
        <v>1353941844896468992</v>
      </c>
      <c r="F39" s="11" t="s">
        <v>724</v>
      </c>
      <c r="G39" s="11" t="s">
        <v>725</v>
      </c>
      <c r="H39" s="12"/>
      <c r="I39" s="13">
        <v>0.0</v>
      </c>
      <c r="J39" s="13">
        <v>1.0</v>
      </c>
      <c r="K39" s="9" t="str">
        <f>HYPERLINK("http://twitter.com/download/iphone","Twitter for iPhone")</f>
        <v>Twitter for iPhone</v>
      </c>
      <c r="L39" s="14">
        <v>91.0</v>
      </c>
      <c r="M39" s="14">
        <v>698.0</v>
      </c>
      <c r="N39" s="14">
        <v>1.0</v>
      </c>
      <c r="O39" s="19"/>
      <c r="P39" s="16">
        <v>42046.95344907408</v>
      </c>
      <c r="Q39" s="10" t="s">
        <v>325</v>
      </c>
      <c r="R39" s="12"/>
      <c r="S39" s="12"/>
      <c r="T39" s="12"/>
      <c r="U39" s="17" t="str">
        <f>HYPERLINK("https://pbs.twimg.com/profile_images/838499048193724416/kAj2aJOo.jpg","View")</f>
        <v>View</v>
      </c>
      <c r="V39" s="12"/>
      <c r="W39" s="12"/>
      <c r="X39" s="12"/>
      <c r="Y39" s="12"/>
      <c r="Z39" s="12"/>
    </row>
    <row r="40">
      <c r="A40" s="8">
        <v>44221.98734953704</v>
      </c>
      <c r="B40" s="9" t="str">
        <f>HYPERLINK("https://twitter.com/hugobar21","@hugobar21")</f>
        <v>@hugobar21</v>
      </c>
      <c r="C40" s="10" t="s">
        <v>726</v>
      </c>
      <c r="D40" s="10" t="s">
        <v>727</v>
      </c>
      <c r="E40" s="9" t="str">
        <f>HYPERLINK("https://twitter.com/hugobar21/status/1353941181802008576","1353941181802008576")</f>
        <v>1353941181802008576</v>
      </c>
      <c r="F40" s="11" t="s">
        <v>728</v>
      </c>
      <c r="G40" s="12"/>
      <c r="H40" s="12"/>
      <c r="I40" s="13">
        <v>0.0</v>
      </c>
      <c r="J40" s="13">
        <v>0.0</v>
      </c>
      <c r="K40" s="9" t="str">
        <f t="shared" ref="K40:K41" si="14">HYPERLINK("http://twitter.com/download/android","Twitter for Android")</f>
        <v>Twitter for Android</v>
      </c>
      <c r="L40" s="14">
        <v>398.0</v>
      </c>
      <c r="M40" s="14">
        <v>746.0</v>
      </c>
      <c r="N40" s="14">
        <v>0.0</v>
      </c>
      <c r="O40" s="19"/>
      <c r="P40" s="16">
        <v>40799.89158564815</v>
      </c>
      <c r="Q40" s="10" t="s">
        <v>729</v>
      </c>
      <c r="R40" s="10" t="s">
        <v>730</v>
      </c>
      <c r="S40" s="12"/>
      <c r="T40" s="12"/>
      <c r="U40" s="17" t="str">
        <f>HYPERLINK("https://pbs.twimg.com/profile_images/1274764047716503552/uoxh7de1.jpg","View")</f>
        <v>View</v>
      </c>
      <c r="V40" s="12"/>
      <c r="W40" s="12"/>
      <c r="X40" s="12"/>
      <c r="Y40" s="12"/>
      <c r="Z40" s="12"/>
    </row>
    <row r="41">
      <c r="A41" s="8">
        <v>44221.974756944444</v>
      </c>
      <c r="B41" s="9" t="str">
        <f>HYPERLINK("https://twitter.com/EleazarVictor","@EleazarVictor")</f>
        <v>@EleazarVictor</v>
      </c>
      <c r="C41" s="10" t="s">
        <v>731</v>
      </c>
      <c r="D41" s="10" t="s">
        <v>732</v>
      </c>
      <c r="E41" s="9" t="str">
        <f>HYPERLINK("https://twitter.com/EleazarVictor/status/1353936618550390784","1353936618550390784")</f>
        <v>1353936618550390784</v>
      </c>
      <c r="F41" s="11" t="s">
        <v>733</v>
      </c>
      <c r="G41" s="12"/>
      <c r="H41" s="12"/>
      <c r="I41" s="13">
        <v>0.0</v>
      </c>
      <c r="J41" s="13">
        <v>1.0</v>
      </c>
      <c r="K41" s="9" t="str">
        <f t="shared" si="14"/>
        <v>Twitter for Android</v>
      </c>
      <c r="L41" s="14">
        <v>210.0</v>
      </c>
      <c r="M41" s="14">
        <v>356.0</v>
      </c>
      <c r="N41" s="14">
        <v>1.0</v>
      </c>
      <c r="O41" s="19"/>
      <c r="P41" s="16">
        <v>40631.73299768518</v>
      </c>
      <c r="Q41" s="10" t="s">
        <v>325</v>
      </c>
      <c r="R41" s="10" t="s">
        <v>734</v>
      </c>
      <c r="S41" s="12"/>
      <c r="T41" s="12"/>
      <c r="U41" s="17" t="str">
        <f>HYPERLINK("https://pbs.twimg.com/profile_images/1263538004506877954/vYDtZzhj.jpg","View")</f>
        <v>View</v>
      </c>
      <c r="V41" s="12"/>
      <c r="W41" s="12"/>
      <c r="X41" s="12"/>
      <c r="Y41" s="12"/>
      <c r="Z41" s="12"/>
    </row>
    <row r="42">
      <c r="A42" s="8">
        <v>44221.956979166665</v>
      </c>
      <c r="B42" s="9" t="str">
        <f>HYPERLINK("https://twitter.com/LauraRo66056141","@LauraRo66056141")</f>
        <v>@LauraRo66056141</v>
      </c>
      <c r="C42" s="10" t="s">
        <v>691</v>
      </c>
      <c r="D42" s="10" t="s">
        <v>735</v>
      </c>
      <c r="E42" s="9" t="str">
        <f>HYPERLINK("https://twitter.com/LauraRo66056141/status/1353930174308392960","1353930174308392960")</f>
        <v>1353930174308392960</v>
      </c>
      <c r="F42" s="11" t="s">
        <v>736</v>
      </c>
      <c r="G42" s="11" t="s">
        <v>737</v>
      </c>
      <c r="H42" s="12"/>
      <c r="I42" s="13">
        <v>0.0</v>
      </c>
      <c r="J42" s="13">
        <v>0.0</v>
      </c>
      <c r="K42" s="9" t="str">
        <f>HYPERLINK("https://mobile.twitter.com","Twitter Web App")</f>
        <v>Twitter Web App</v>
      </c>
      <c r="L42" s="14">
        <v>71.0</v>
      </c>
      <c r="M42" s="14">
        <v>165.0</v>
      </c>
      <c r="N42" s="14">
        <v>1.0</v>
      </c>
      <c r="O42" s="19"/>
      <c r="P42" s="16">
        <v>43640.88015046297</v>
      </c>
      <c r="Q42" s="10" t="s">
        <v>695</v>
      </c>
      <c r="R42" s="10" t="s">
        <v>696</v>
      </c>
      <c r="S42" s="12"/>
      <c r="T42" s="12"/>
      <c r="U42" s="17" t="str">
        <f>HYPERLINK("https://pbs.twimg.com/profile_images/1346360185422401541/Hf6NVnv4.jpg","View")</f>
        <v>View</v>
      </c>
      <c r="V42" s="12"/>
      <c r="W42" s="12"/>
      <c r="X42" s="12"/>
      <c r="Y42" s="12"/>
      <c r="Z42" s="12"/>
    </row>
    <row r="43">
      <c r="A43" s="8">
        <v>44221.92769675926</v>
      </c>
      <c r="B43" s="9" t="str">
        <f>HYPERLINK("https://twitter.com/laosamenta","@laosamenta")</f>
        <v>@laosamenta</v>
      </c>
      <c r="C43" s="10" t="s">
        <v>738</v>
      </c>
      <c r="D43" s="10" t="s">
        <v>739</v>
      </c>
      <c r="E43" s="9" t="str">
        <f>HYPERLINK("https://twitter.com/laosamenta/status/1353919563621142528","1353919563621142528")</f>
        <v>1353919563621142528</v>
      </c>
      <c r="F43" s="11" t="s">
        <v>740</v>
      </c>
      <c r="G43" s="12"/>
      <c r="H43" s="12"/>
      <c r="I43" s="13">
        <v>0.0</v>
      </c>
      <c r="J43" s="13">
        <v>0.0</v>
      </c>
      <c r="K43" s="9" t="str">
        <f t="shared" ref="K43:K44" si="15">HYPERLINK("http://twitter.com/download/android","Twitter for Android")</f>
        <v>Twitter for Android</v>
      </c>
      <c r="L43" s="14">
        <v>122.0</v>
      </c>
      <c r="M43" s="14">
        <v>482.0</v>
      </c>
      <c r="N43" s="14">
        <v>1.0</v>
      </c>
      <c r="O43" s="19"/>
      <c r="P43" s="16">
        <v>40332.59318287037</v>
      </c>
      <c r="Q43" s="12"/>
      <c r="R43" s="10" t="s">
        <v>741</v>
      </c>
      <c r="S43" s="12"/>
      <c r="T43" s="12"/>
      <c r="U43" s="17" t="str">
        <f>HYPERLINK("https://pbs.twimg.com/profile_images/1016523726630932480/6UH51lVx.jpg","View")</f>
        <v>View</v>
      </c>
      <c r="V43" s="12"/>
      <c r="W43" s="12"/>
      <c r="X43" s="12"/>
      <c r="Y43" s="12"/>
      <c r="Z43" s="12"/>
    </row>
    <row r="44">
      <c r="A44" s="8">
        <v>44221.88501157408</v>
      </c>
      <c r="B44" s="9" t="str">
        <f>HYPERLINK("https://twitter.com/MoszarM","@MoszarM")</f>
        <v>@MoszarM</v>
      </c>
      <c r="C44" s="10" t="s">
        <v>742</v>
      </c>
      <c r="D44" s="10" t="s">
        <v>743</v>
      </c>
      <c r="E44" s="9" t="str">
        <f>HYPERLINK("https://twitter.com/MoszarM/status/1353904094176395264","1353904094176395264")</f>
        <v>1353904094176395264</v>
      </c>
      <c r="F44" s="12"/>
      <c r="G44" s="12"/>
      <c r="H44" s="12"/>
      <c r="I44" s="13">
        <v>2.0</v>
      </c>
      <c r="J44" s="13">
        <v>2.0</v>
      </c>
      <c r="K44" s="9" t="str">
        <f t="shared" si="15"/>
        <v>Twitter for Android</v>
      </c>
      <c r="L44" s="14">
        <v>1483.0</v>
      </c>
      <c r="M44" s="14">
        <v>4998.0</v>
      </c>
      <c r="N44" s="14">
        <v>14.0</v>
      </c>
      <c r="O44" s="19"/>
      <c r="P44" s="16">
        <v>40939.90361111111</v>
      </c>
      <c r="Q44" s="12"/>
      <c r="R44" s="10" t="s">
        <v>744</v>
      </c>
      <c r="S44" s="12"/>
      <c r="T44" s="12"/>
      <c r="U44" s="17" t="str">
        <f>HYPERLINK("https://pbs.twimg.com/profile_images/378800000711510805/1beb2b04a1c53728146edc43dda1444a.jpeg","View")</f>
        <v>View</v>
      </c>
      <c r="V44" s="12"/>
      <c r="W44" s="12"/>
      <c r="X44" s="12"/>
      <c r="Y44" s="12"/>
      <c r="Z44" s="12"/>
    </row>
    <row r="45">
      <c r="A45" s="8">
        <v>44221.87446759259</v>
      </c>
      <c r="B45" s="9" t="str">
        <f>HYPERLINK("https://twitter.com/LauraRo66056141","@LauraRo66056141")</f>
        <v>@LauraRo66056141</v>
      </c>
      <c r="C45" s="10" t="s">
        <v>691</v>
      </c>
      <c r="D45" s="10" t="s">
        <v>745</v>
      </c>
      <c r="E45" s="9" t="str">
        <f>HYPERLINK("https://twitter.com/LauraRo66056141/status/1353900276223078402","1353900276223078402")</f>
        <v>1353900276223078402</v>
      </c>
      <c r="F45" s="11" t="s">
        <v>746</v>
      </c>
      <c r="G45" s="11" t="s">
        <v>747</v>
      </c>
      <c r="H45" s="12"/>
      <c r="I45" s="13">
        <v>0.0</v>
      </c>
      <c r="J45" s="13">
        <v>0.0</v>
      </c>
      <c r="K45" s="9" t="str">
        <f>HYPERLINK("https://mobile.twitter.com","Twitter Web App")</f>
        <v>Twitter Web App</v>
      </c>
      <c r="L45" s="14">
        <v>71.0</v>
      </c>
      <c r="M45" s="14">
        <v>165.0</v>
      </c>
      <c r="N45" s="14">
        <v>1.0</v>
      </c>
      <c r="O45" s="19"/>
      <c r="P45" s="16">
        <v>43640.88015046297</v>
      </c>
      <c r="Q45" s="10" t="s">
        <v>695</v>
      </c>
      <c r="R45" s="10" t="s">
        <v>696</v>
      </c>
      <c r="S45" s="12"/>
      <c r="T45" s="12"/>
      <c r="U45" s="17" t="str">
        <f>HYPERLINK("https://pbs.twimg.com/profile_images/1346360185422401541/Hf6NVnv4.jpg","View")</f>
        <v>View</v>
      </c>
      <c r="V45" s="12"/>
      <c r="W45" s="12"/>
      <c r="X45" s="12"/>
      <c r="Y45" s="12"/>
      <c r="Z45" s="12"/>
    </row>
    <row r="46">
      <c r="A46" s="8">
        <v>44221.8674537037</v>
      </c>
      <c r="B46" s="9" t="str">
        <f>HYPERLINK("https://twitter.com/maml_t","@maml_t")</f>
        <v>@maml_t</v>
      </c>
      <c r="C46" s="10" t="s">
        <v>748</v>
      </c>
      <c r="D46" s="10" t="s">
        <v>749</v>
      </c>
      <c r="E46" s="9" t="str">
        <f>HYPERLINK("https://twitter.com/maml_t/status/1353897731799080960","1353897731799080960")</f>
        <v>1353897731799080960</v>
      </c>
      <c r="F46" s="11" t="s">
        <v>750</v>
      </c>
      <c r="G46" s="12"/>
      <c r="H46" s="12"/>
      <c r="I46" s="13">
        <v>0.0</v>
      </c>
      <c r="J46" s="13">
        <v>0.0</v>
      </c>
      <c r="K46" s="9" t="str">
        <f t="shared" ref="K46:K47" si="16">HYPERLINK("http://twitter.com/download/android","Twitter for Android")</f>
        <v>Twitter for Android</v>
      </c>
      <c r="L46" s="14">
        <v>103.0</v>
      </c>
      <c r="M46" s="14">
        <v>112.0</v>
      </c>
      <c r="N46" s="14">
        <v>0.0</v>
      </c>
      <c r="O46" s="19"/>
      <c r="P46" s="16">
        <v>41031.41469907407</v>
      </c>
      <c r="Q46" s="12"/>
      <c r="R46" s="10" t="s">
        <v>751</v>
      </c>
      <c r="S46" s="12"/>
      <c r="T46" s="12"/>
      <c r="U46" s="17" t="str">
        <f>HYPERLINK("https://pbs.twimg.com/profile_images/624602915915763713/_5hwU2-2.png","View")</f>
        <v>View</v>
      </c>
      <c r="V46" s="12"/>
      <c r="W46" s="12"/>
      <c r="X46" s="12"/>
      <c r="Y46" s="12"/>
      <c r="Z46" s="12"/>
    </row>
    <row r="47">
      <c r="A47" s="8">
        <v>44221.866736111115</v>
      </c>
      <c r="B47" s="9" t="str">
        <f>HYPERLINK("https://twitter.com/AlejandroYeeS","@AlejandroYeeS")</f>
        <v>@AlejandroYeeS</v>
      </c>
      <c r="C47" s="10" t="s">
        <v>752</v>
      </c>
      <c r="D47" s="10" t="s">
        <v>753</v>
      </c>
      <c r="E47" s="9" t="str">
        <f>HYPERLINK("https://twitter.com/AlejandroYeeS/status/1353897474667270144","1353897474667270144")</f>
        <v>1353897474667270144</v>
      </c>
      <c r="F47" s="12"/>
      <c r="G47" s="11" t="s">
        <v>754</v>
      </c>
      <c r="H47" s="12"/>
      <c r="I47" s="13">
        <v>1.0</v>
      </c>
      <c r="J47" s="13">
        <v>0.0</v>
      </c>
      <c r="K47" s="9" t="str">
        <f t="shared" si="16"/>
        <v>Twitter for Android</v>
      </c>
      <c r="L47" s="14">
        <v>27.0</v>
      </c>
      <c r="M47" s="14">
        <v>94.0</v>
      </c>
      <c r="N47" s="14">
        <v>0.0</v>
      </c>
      <c r="O47" s="19"/>
      <c r="P47" s="16">
        <v>42412.79880787037</v>
      </c>
      <c r="Q47" s="12"/>
      <c r="R47" s="12"/>
      <c r="S47" s="12"/>
      <c r="T47" s="12"/>
      <c r="U47" s="17" t="str">
        <f>HYPERLINK("https://pbs.twimg.com/profile_images/1275469112387330053/Lf-OGAvI.jpg","View")</f>
        <v>View</v>
      </c>
      <c r="V47" s="12"/>
      <c r="W47" s="12"/>
      <c r="X47" s="12"/>
      <c r="Y47" s="12"/>
      <c r="Z47" s="12"/>
    </row>
    <row r="48">
      <c r="A48" s="8">
        <v>44221.846087962964</v>
      </c>
      <c r="B48" s="9" t="str">
        <f>HYPERLINK("https://twitter.com/LeonelGL27","@LeonelGL27")</f>
        <v>@LeonelGL27</v>
      </c>
      <c r="C48" s="10" t="s">
        <v>586</v>
      </c>
      <c r="D48" s="10" t="s">
        <v>755</v>
      </c>
      <c r="E48" s="9" t="str">
        <f>HYPERLINK("https://twitter.com/LeonelGL27/status/1353889991177494529","1353889991177494529")</f>
        <v>1353889991177494529</v>
      </c>
      <c r="F48" s="11" t="s">
        <v>756</v>
      </c>
      <c r="G48" s="11" t="s">
        <v>757</v>
      </c>
      <c r="H48" s="12"/>
      <c r="I48" s="13">
        <v>0.0</v>
      </c>
      <c r="J48" s="13">
        <v>0.0</v>
      </c>
      <c r="K48" s="9" t="str">
        <f t="shared" ref="K48:K50" si="17">HYPERLINK("http://twitter.com/download/iphone","Twitter for iPhone")</f>
        <v>Twitter for iPhone</v>
      </c>
      <c r="L48" s="14">
        <v>91.0</v>
      </c>
      <c r="M48" s="14">
        <v>698.0</v>
      </c>
      <c r="N48" s="14">
        <v>1.0</v>
      </c>
      <c r="O48" s="19"/>
      <c r="P48" s="16">
        <v>42046.95344907408</v>
      </c>
      <c r="Q48" s="10" t="s">
        <v>325</v>
      </c>
      <c r="R48" s="12"/>
      <c r="S48" s="12"/>
      <c r="T48" s="12"/>
      <c r="U48" s="17" t="str">
        <f>HYPERLINK("https://pbs.twimg.com/profile_images/838499048193724416/kAj2aJOo.jpg","View")</f>
        <v>View</v>
      </c>
      <c r="V48" s="12"/>
      <c r="W48" s="12"/>
      <c r="X48" s="12"/>
      <c r="Y48" s="12"/>
      <c r="Z48" s="12"/>
    </row>
    <row r="49">
      <c r="A49" s="8">
        <v>44221.84314814815</v>
      </c>
      <c r="B49" s="9" t="str">
        <f>HYPERLINK("https://twitter.com/JPAlvarezGuedea","@JPAlvarezGuedea")</f>
        <v>@JPAlvarezGuedea</v>
      </c>
      <c r="C49" s="10" t="s">
        <v>758</v>
      </c>
      <c r="D49" s="10" t="s">
        <v>759</v>
      </c>
      <c r="E49" s="9" t="str">
        <f>HYPERLINK("https://twitter.com/JPAlvarezGuedea/status/1353888925140602880","1353888925140602880")</f>
        <v>1353888925140602880</v>
      </c>
      <c r="F49" s="10" t="s">
        <v>760</v>
      </c>
      <c r="G49" s="11" t="s">
        <v>761</v>
      </c>
      <c r="H49" s="12"/>
      <c r="I49" s="13">
        <v>9.0</v>
      </c>
      <c r="J49" s="13">
        <v>11.0</v>
      </c>
      <c r="K49" s="9" t="str">
        <f t="shared" si="17"/>
        <v>Twitter for iPhone</v>
      </c>
      <c r="L49" s="14">
        <v>15191.0</v>
      </c>
      <c r="M49" s="14">
        <v>1306.0</v>
      </c>
      <c r="N49" s="14">
        <v>118.0</v>
      </c>
      <c r="O49" s="19"/>
      <c r="P49" s="16">
        <v>42086.470613425925</v>
      </c>
      <c r="Q49" s="10" t="s">
        <v>762</v>
      </c>
      <c r="R49" s="10" t="s">
        <v>763</v>
      </c>
      <c r="S49" s="12"/>
      <c r="T49" s="12"/>
      <c r="U49" s="17" t="str">
        <f>HYPERLINK("https://pbs.twimg.com/profile_images/1353152546504847360/qpI-kBl9.jpg","View")</f>
        <v>View</v>
      </c>
      <c r="V49" s="12"/>
      <c r="W49" s="12"/>
      <c r="X49" s="12"/>
      <c r="Y49" s="12"/>
      <c r="Z49" s="12"/>
    </row>
    <row r="50">
      <c r="A50" s="8">
        <v>44221.833032407405</v>
      </c>
      <c r="B50" s="9" t="str">
        <f>HYPERLINK("https://twitter.com/AlonsoRaya_","@AlonsoRaya_")</f>
        <v>@AlonsoRaya_</v>
      </c>
      <c r="C50" s="10" t="s">
        <v>764</v>
      </c>
      <c r="D50" s="10" t="s">
        <v>765</v>
      </c>
      <c r="E50" s="9" t="str">
        <f>HYPERLINK("https://twitter.com/AlonsoRaya_/status/1353885261344735234","1353885261344735234")</f>
        <v>1353885261344735234</v>
      </c>
      <c r="F50" s="11" t="s">
        <v>766</v>
      </c>
      <c r="G50" s="12"/>
      <c r="H50" s="12"/>
      <c r="I50" s="13">
        <v>5.0</v>
      </c>
      <c r="J50" s="13">
        <v>3.0</v>
      </c>
      <c r="K50" s="9" t="str">
        <f t="shared" si="17"/>
        <v>Twitter for iPhone</v>
      </c>
      <c r="L50" s="14">
        <v>7645.0</v>
      </c>
      <c r="M50" s="14">
        <v>3985.0</v>
      </c>
      <c r="N50" s="14">
        <v>74.0</v>
      </c>
      <c r="O50" s="19"/>
      <c r="P50" s="16">
        <v>40573.78640046297</v>
      </c>
      <c r="Q50" s="10" t="s">
        <v>767</v>
      </c>
      <c r="R50" s="10" t="s">
        <v>768</v>
      </c>
      <c r="S50" s="11" t="s">
        <v>769</v>
      </c>
      <c r="T50" s="12"/>
      <c r="U50" s="17" t="str">
        <f>HYPERLINK("https://pbs.twimg.com/profile_images/1169383961115709440/CkIVaIKd.jpg","View")</f>
        <v>View</v>
      </c>
      <c r="V50" s="12"/>
      <c r="W50" s="12"/>
      <c r="X50" s="12"/>
      <c r="Y50" s="12"/>
      <c r="Z50" s="12"/>
    </row>
    <row r="51">
      <c r="A51" s="8">
        <v>44221.82627314815</v>
      </c>
      <c r="B51" s="9" t="str">
        <f>HYPERLINK("https://twitter.com/vampablo","@vampablo")</f>
        <v>@vampablo</v>
      </c>
      <c r="C51" s="10" t="s">
        <v>770</v>
      </c>
      <c r="D51" s="10" t="s">
        <v>771</v>
      </c>
      <c r="E51" s="9" t="str">
        <f>HYPERLINK("https://twitter.com/vampablo/status/1353882808637399041","1353882808637399041")</f>
        <v>1353882808637399041</v>
      </c>
      <c r="F51" s="11" t="s">
        <v>772</v>
      </c>
      <c r="G51" s="11" t="s">
        <v>773</v>
      </c>
      <c r="H51" s="12"/>
      <c r="I51" s="13">
        <v>1.0</v>
      </c>
      <c r="J51" s="13">
        <v>10.0</v>
      </c>
      <c r="K51" s="9" t="str">
        <f>HYPERLINK("https://mobile.twitter.com","Twitter Web App")</f>
        <v>Twitter Web App</v>
      </c>
      <c r="L51" s="14">
        <v>2572.0</v>
      </c>
      <c r="M51" s="14">
        <v>2481.0</v>
      </c>
      <c r="N51" s="14">
        <v>12.0</v>
      </c>
      <c r="O51" s="19"/>
      <c r="P51" s="16">
        <v>40132.76322916667</v>
      </c>
      <c r="Q51" s="12"/>
      <c r="R51" s="10" t="s">
        <v>774</v>
      </c>
      <c r="S51" s="11" t="s">
        <v>775</v>
      </c>
      <c r="T51" s="12"/>
      <c r="U51" s="17" t="str">
        <f>HYPERLINK("https://pbs.twimg.com/profile_images/1124531267574403072/4cwEV5Cg.jpg","View")</f>
        <v>View</v>
      </c>
      <c r="V51" s="12"/>
      <c r="W51" s="12"/>
      <c r="X51" s="12"/>
      <c r="Y51" s="12"/>
      <c r="Z51" s="12"/>
    </row>
    <row r="52">
      <c r="A52" s="8">
        <v>44221.824270833335</v>
      </c>
      <c r="B52" s="9" t="str">
        <f>HYPERLINK("https://twitter.com/alfrancomeza","@alfrancomeza")</f>
        <v>@alfrancomeza</v>
      </c>
      <c r="C52" s="10" t="s">
        <v>776</v>
      </c>
      <c r="D52" s="10" t="s">
        <v>777</v>
      </c>
      <c r="E52" s="9" t="str">
        <f>HYPERLINK("https://twitter.com/alfrancomeza/status/1353882086042718208","1353882086042718208")</f>
        <v>1353882086042718208</v>
      </c>
      <c r="F52" s="11" t="s">
        <v>778</v>
      </c>
      <c r="G52" s="11" t="s">
        <v>779</v>
      </c>
      <c r="H52" s="12"/>
      <c r="I52" s="13">
        <v>4.0</v>
      </c>
      <c r="J52" s="13">
        <v>2.0</v>
      </c>
      <c r="K52" s="9" t="str">
        <f>HYPERLINK("http://twitter.com/download/android","Twitter for Android")</f>
        <v>Twitter for Android</v>
      </c>
      <c r="L52" s="14">
        <v>185.0</v>
      </c>
      <c r="M52" s="14">
        <v>927.0</v>
      </c>
      <c r="N52" s="14">
        <v>1.0</v>
      </c>
      <c r="O52" s="19"/>
      <c r="P52" s="16">
        <v>42993.58944444444</v>
      </c>
      <c r="Q52" s="12"/>
      <c r="R52" s="10" t="s">
        <v>780</v>
      </c>
      <c r="S52" s="12"/>
      <c r="T52" s="12"/>
      <c r="U52" s="17" t="str">
        <f>HYPERLINK("https://pbs.twimg.com/profile_images/1173317310108643336/PQ-GCelK.jpg","View")</f>
        <v>View</v>
      </c>
      <c r="V52" s="12"/>
      <c r="W52" s="12"/>
      <c r="X52" s="12"/>
      <c r="Y52" s="12"/>
      <c r="Z52" s="12"/>
    </row>
    <row r="53">
      <c r="A53" s="8">
        <v>44221.81056712963</v>
      </c>
      <c r="B53" s="9" t="str">
        <f>HYPERLINK("https://twitter.com/SOLQR","@SOLQR")</f>
        <v>@SOLQR</v>
      </c>
      <c r="C53" s="10" t="s">
        <v>600</v>
      </c>
      <c r="D53" s="10" t="s">
        <v>640</v>
      </c>
      <c r="E53" s="9" t="str">
        <f>HYPERLINK("https://twitter.com/SOLQR/status/1353877118288097280","1353877118288097280")</f>
        <v>1353877118288097280</v>
      </c>
      <c r="F53" s="12"/>
      <c r="G53" s="11" t="s">
        <v>781</v>
      </c>
      <c r="H53" s="12"/>
      <c r="I53" s="13">
        <v>0.0</v>
      </c>
      <c r="J53" s="13">
        <v>0.0</v>
      </c>
      <c r="K53" s="9" t="str">
        <f>HYPERLINK("https://mobile.twitter.com","Twitter Web App")</f>
        <v>Twitter Web App</v>
      </c>
      <c r="L53" s="14">
        <v>1095.0</v>
      </c>
      <c r="M53" s="14">
        <v>322.0</v>
      </c>
      <c r="N53" s="14">
        <v>24.0</v>
      </c>
      <c r="O53" s="19"/>
      <c r="P53" s="16">
        <v>40337.52915509259</v>
      </c>
      <c r="Q53" s="10" t="s">
        <v>603</v>
      </c>
      <c r="R53" s="10" t="s">
        <v>604</v>
      </c>
      <c r="S53" s="11" t="s">
        <v>605</v>
      </c>
      <c r="T53" s="12"/>
      <c r="U53" s="17" t="str">
        <f>HYPERLINK("https://pbs.twimg.com/profile_images/1328876879647006723/JwcN8Y-O.jpg","View")</f>
        <v>View</v>
      </c>
      <c r="V53" s="12"/>
      <c r="W53" s="12"/>
      <c r="X53" s="12"/>
      <c r="Y53" s="12"/>
      <c r="Z53" s="12"/>
    </row>
    <row r="54">
      <c r="A54" s="8">
        <v>44221.78471064815</v>
      </c>
      <c r="B54" s="9" t="str">
        <f>HYPERLINK("https://twitter.com/AcusoydenucioC","@AcusoydenucioC")</f>
        <v>@AcusoydenucioC</v>
      </c>
      <c r="C54" s="10" t="s">
        <v>686</v>
      </c>
      <c r="D54" s="10" t="s">
        <v>782</v>
      </c>
      <c r="E54" s="9" t="str">
        <f>HYPERLINK("https://twitter.com/AcusoydenucioC/status/1353867749399928842","1353867749399928842")</f>
        <v>1353867749399928842</v>
      </c>
      <c r="F54" s="12"/>
      <c r="G54" s="12"/>
      <c r="H54" s="12"/>
      <c r="I54" s="13">
        <v>0.0</v>
      </c>
      <c r="J54" s="13">
        <v>0.0</v>
      </c>
      <c r="K54" s="9" t="str">
        <f>HYPERLINK("http://twitter.com/download/iphone","Twitter for iPhone")</f>
        <v>Twitter for iPhone</v>
      </c>
      <c r="L54" s="14">
        <v>820.0</v>
      </c>
      <c r="M54" s="14">
        <v>2520.0</v>
      </c>
      <c r="N54" s="14">
        <v>4.0</v>
      </c>
      <c r="O54" s="19"/>
      <c r="P54" s="16">
        <v>41593.447962962964</v>
      </c>
      <c r="Q54" s="10" t="s">
        <v>689</v>
      </c>
      <c r="R54" s="10" t="s">
        <v>690</v>
      </c>
      <c r="S54" s="12"/>
      <c r="T54" s="12"/>
      <c r="U54" s="17" t="str">
        <f>HYPERLINK("https://pbs.twimg.com/profile_images/1340871692730716166/uJ-K9jXO.jpg","View")</f>
        <v>View</v>
      </c>
      <c r="V54" s="12"/>
      <c r="W54" s="12"/>
      <c r="X54" s="12"/>
      <c r="Y54" s="12"/>
      <c r="Z54" s="12"/>
    </row>
    <row r="55">
      <c r="A55" s="8">
        <v>44221.770254629635</v>
      </c>
      <c r="B55" s="9" t="str">
        <f>HYPERLINK("https://twitter.com/LauraRo66056141","@LauraRo66056141")</f>
        <v>@LauraRo66056141</v>
      </c>
      <c r="C55" s="10" t="s">
        <v>691</v>
      </c>
      <c r="D55" s="10" t="s">
        <v>783</v>
      </c>
      <c r="E55" s="9" t="str">
        <f>HYPERLINK("https://twitter.com/LauraRo66056141/status/1353862509728395264","1353862509728395264")</f>
        <v>1353862509728395264</v>
      </c>
      <c r="F55" s="10" t="s">
        <v>784</v>
      </c>
      <c r="G55" s="11" t="s">
        <v>785</v>
      </c>
      <c r="H55" s="12"/>
      <c r="I55" s="13">
        <v>0.0</v>
      </c>
      <c r="J55" s="13">
        <v>0.0</v>
      </c>
      <c r="K55" s="9" t="str">
        <f>HYPERLINK("https://mobile.twitter.com","Twitter Web App")</f>
        <v>Twitter Web App</v>
      </c>
      <c r="L55" s="14">
        <v>71.0</v>
      </c>
      <c r="M55" s="14">
        <v>165.0</v>
      </c>
      <c r="N55" s="14">
        <v>1.0</v>
      </c>
      <c r="O55" s="19"/>
      <c r="P55" s="16">
        <v>43640.88015046297</v>
      </c>
      <c r="Q55" s="10" t="s">
        <v>695</v>
      </c>
      <c r="R55" s="10" t="s">
        <v>696</v>
      </c>
      <c r="S55" s="12"/>
      <c r="T55" s="12"/>
      <c r="U55" s="17" t="str">
        <f>HYPERLINK("https://pbs.twimg.com/profile_images/1346360185422401541/Hf6NVnv4.jpg","View")</f>
        <v>View</v>
      </c>
      <c r="V55" s="12"/>
      <c r="W55" s="12"/>
      <c r="X55" s="12"/>
      <c r="Y55" s="12"/>
      <c r="Z55" s="12"/>
    </row>
    <row r="56">
      <c r="A56" s="8">
        <v>44221.76822916667</v>
      </c>
      <c r="B56" s="9" t="str">
        <f>HYPERLINK("https://twitter.com/SIXELA1969","@SIXELA1969")</f>
        <v>@SIXELA1969</v>
      </c>
      <c r="C56" s="10" t="s">
        <v>786</v>
      </c>
      <c r="D56" s="10" t="s">
        <v>787</v>
      </c>
      <c r="E56" s="9" t="str">
        <f>HYPERLINK("https://twitter.com/SIXELA1969/status/1353861776291590145","1353861776291590145")</f>
        <v>1353861776291590145</v>
      </c>
      <c r="F56" s="11" t="s">
        <v>788</v>
      </c>
      <c r="G56" s="10" t="s">
        <v>789</v>
      </c>
      <c r="H56" s="12"/>
      <c r="I56" s="13">
        <v>0.0</v>
      </c>
      <c r="J56" s="13">
        <v>0.0</v>
      </c>
      <c r="K56" s="9" t="str">
        <f>HYPERLINK("http://twitter.com/download/iphone","Twitter for iPhone")</f>
        <v>Twitter for iPhone</v>
      </c>
      <c r="L56" s="14">
        <v>154.0</v>
      </c>
      <c r="M56" s="14">
        <v>237.0</v>
      </c>
      <c r="N56" s="14">
        <v>0.0</v>
      </c>
      <c r="O56" s="19"/>
      <c r="P56" s="16">
        <v>43994.20238425926</v>
      </c>
      <c r="Q56" s="10" t="s">
        <v>790</v>
      </c>
      <c r="R56" s="10" t="s">
        <v>791</v>
      </c>
      <c r="S56" s="12"/>
      <c r="T56" s="12"/>
      <c r="U56" s="17" t="str">
        <f>HYPERLINK("https://pbs.twimg.com/profile_images/1303624872057344000/Bg_UfMtq.jpg","View")</f>
        <v>View</v>
      </c>
      <c r="V56" s="12"/>
      <c r="W56" s="12"/>
      <c r="X56" s="12"/>
      <c r="Y56" s="12"/>
      <c r="Z56" s="12"/>
    </row>
    <row r="57">
      <c r="A57" s="8">
        <v>44221.71942129629</v>
      </c>
      <c r="B57" s="9" t="str">
        <f>HYPERLINK("https://twitter.com/Ithpalacios","@Ithpalacios")</f>
        <v>@Ithpalacios</v>
      </c>
      <c r="C57" s="10" t="s">
        <v>792</v>
      </c>
      <c r="D57" s="10" t="s">
        <v>793</v>
      </c>
      <c r="E57" s="9" t="str">
        <f>HYPERLINK("https://twitter.com/Ithpalacios/status/1353844088152309760","1353844088152309760")</f>
        <v>1353844088152309760</v>
      </c>
      <c r="F57" s="12"/>
      <c r="G57" s="11" t="s">
        <v>794</v>
      </c>
      <c r="H57" s="12"/>
      <c r="I57" s="13">
        <v>0.0</v>
      </c>
      <c r="J57" s="13">
        <v>0.0</v>
      </c>
      <c r="K57" s="9" t="str">
        <f>HYPERLINK("https://mobile.twitter.com","Twitter Web App")</f>
        <v>Twitter Web App</v>
      </c>
      <c r="L57" s="14">
        <v>50.0</v>
      </c>
      <c r="M57" s="14">
        <v>78.0</v>
      </c>
      <c r="N57" s="14">
        <v>0.0</v>
      </c>
      <c r="O57" s="19"/>
      <c r="P57" s="16">
        <v>43188.04143518519</v>
      </c>
      <c r="Q57" s="10" t="s">
        <v>795</v>
      </c>
      <c r="R57" s="12"/>
      <c r="S57" s="12"/>
      <c r="T57" s="12"/>
      <c r="U57" s="17" t="str">
        <f>HYPERLINK("https://pbs.twimg.com/profile_images/1058056178696019968/cJSKVeIN.jpg","View")</f>
        <v>View</v>
      </c>
      <c r="V57" s="12"/>
      <c r="W57" s="12"/>
      <c r="X57" s="12"/>
      <c r="Y57" s="12"/>
      <c r="Z57" s="12"/>
    </row>
    <row r="58">
      <c r="A58" s="8">
        <v>44221.619050925925</v>
      </c>
      <c r="B58" s="9" t="str">
        <f>HYPERLINK("https://twitter.com/tiemporelativo","@tiemporelativo")</f>
        <v>@tiemporelativo</v>
      </c>
      <c r="C58" s="10" t="s">
        <v>796</v>
      </c>
      <c r="D58" s="10" t="s">
        <v>797</v>
      </c>
      <c r="E58" s="9" t="str">
        <f>HYPERLINK("https://twitter.com/tiemporelativo/status/1353807716591034369","1353807716591034369")</f>
        <v>1353807716591034369</v>
      </c>
      <c r="F58" s="11" t="s">
        <v>798</v>
      </c>
      <c r="G58" s="11" t="s">
        <v>799</v>
      </c>
      <c r="H58" s="12"/>
      <c r="I58" s="13">
        <v>0.0</v>
      </c>
      <c r="J58" s="13">
        <v>0.0</v>
      </c>
      <c r="K58" s="9" t="str">
        <f t="shared" ref="K58:K60" si="18">HYPERLINK("http://twitter.com/download/android","Twitter for Android")</f>
        <v>Twitter for Android</v>
      </c>
      <c r="L58" s="14">
        <v>1047.0</v>
      </c>
      <c r="M58" s="14">
        <v>1293.0</v>
      </c>
      <c r="N58" s="14">
        <v>4.0</v>
      </c>
      <c r="O58" s="19"/>
      <c r="P58" s="16">
        <v>40581.55480324074</v>
      </c>
      <c r="Q58" s="12"/>
      <c r="R58" s="10" t="s">
        <v>800</v>
      </c>
      <c r="S58" s="12"/>
      <c r="T58" s="12"/>
      <c r="U58" s="17" t="str">
        <f>HYPERLINK("https://pbs.twimg.com/profile_images/378800000569521733/4ea2f24ebcdfaf713e6a192b7d9484e8.png","View")</f>
        <v>View</v>
      </c>
      <c r="V58" s="12"/>
      <c r="W58" s="12"/>
      <c r="X58" s="12"/>
      <c r="Y58" s="12"/>
      <c r="Z58" s="12"/>
    </row>
    <row r="59">
      <c r="A59" s="8">
        <v>44221.61493055556</v>
      </c>
      <c r="B59" s="9" t="str">
        <f>HYPERLINK("https://twitter.com/2Zwolf","@2Zwolf")</f>
        <v>@2Zwolf</v>
      </c>
      <c r="C59" s="10" t="s">
        <v>801</v>
      </c>
      <c r="D59" s="10" t="s">
        <v>802</v>
      </c>
      <c r="E59" s="9" t="str">
        <f>HYPERLINK("https://twitter.com/2Zwolf/status/1353806220805640192","1353806220805640192")</f>
        <v>1353806220805640192</v>
      </c>
      <c r="F59" s="11" t="s">
        <v>803</v>
      </c>
      <c r="G59" s="12"/>
      <c r="H59" s="12"/>
      <c r="I59" s="13">
        <v>0.0</v>
      </c>
      <c r="J59" s="13">
        <v>0.0</v>
      </c>
      <c r="K59" s="9" t="str">
        <f t="shared" si="18"/>
        <v>Twitter for Android</v>
      </c>
      <c r="L59" s="14">
        <v>46.0</v>
      </c>
      <c r="M59" s="14">
        <v>0.0</v>
      </c>
      <c r="N59" s="14">
        <v>0.0</v>
      </c>
      <c r="O59" s="19"/>
      <c r="P59" s="16">
        <v>44193.534525462965</v>
      </c>
      <c r="Q59" s="12"/>
      <c r="R59" s="10" t="s">
        <v>804</v>
      </c>
      <c r="S59" s="12"/>
      <c r="T59" s="12"/>
      <c r="U59" s="17" t="str">
        <f>HYPERLINK("https://pbs.twimg.com/profile_images/1353089571249156096/gFJ1cV9D.jpg","View")</f>
        <v>View</v>
      </c>
      <c r="V59" s="12"/>
      <c r="W59" s="12"/>
      <c r="X59" s="12"/>
      <c r="Y59" s="12"/>
      <c r="Z59" s="12"/>
    </row>
    <row r="60">
      <c r="A60" s="8">
        <v>44221.60886574074</v>
      </c>
      <c r="B60" s="9" t="str">
        <f>HYPERLINK("https://twitter.com/Azaryel1","@Azaryel1")</f>
        <v>@Azaryel1</v>
      </c>
      <c r="C60" s="10" t="s">
        <v>805</v>
      </c>
      <c r="D60" s="10" t="s">
        <v>806</v>
      </c>
      <c r="E60" s="9" t="str">
        <f>HYPERLINK("https://twitter.com/Azaryel1/status/1353804026178134018","1353804026178134018")</f>
        <v>1353804026178134018</v>
      </c>
      <c r="F60" s="12"/>
      <c r="G60" s="12"/>
      <c r="H60" s="12"/>
      <c r="I60" s="13">
        <v>2.0</v>
      </c>
      <c r="J60" s="13">
        <v>3.0</v>
      </c>
      <c r="K60" s="9" t="str">
        <f t="shared" si="18"/>
        <v>Twitter for Android</v>
      </c>
      <c r="L60" s="14">
        <v>359.0</v>
      </c>
      <c r="M60" s="14">
        <v>124.0</v>
      </c>
      <c r="N60" s="14">
        <v>1.0</v>
      </c>
      <c r="O60" s="19"/>
      <c r="P60" s="16">
        <v>43883.73144675926</v>
      </c>
      <c r="Q60" s="10" t="s">
        <v>807</v>
      </c>
      <c r="R60" s="10" t="s">
        <v>808</v>
      </c>
      <c r="S60" s="12"/>
      <c r="T60" s="12"/>
      <c r="U60" s="17" t="str">
        <f>HYPERLINK("https://pbs.twimg.com/profile_images/1345145422923358209/lxQMmPJC.jpg","View")</f>
        <v>View</v>
      </c>
      <c r="V60" s="12"/>
      <c r="W60" s="12"/>
      <c r="X60" s="12"/>
      <c r="Y60" s="12"/>
      <c r="Z60" s="12"/>
    </row>
    <row r="61">
      <c r="A61" s="8">
        <v>44221.60414351852</v>
      </c>
      <c r="B61" s="9" t="str">
        <f>HYPERLINK("https://twitter.com/LauraRo66056141","@LauraRo66056141")</f>
        <v>@LauraRo66056141</v>
      </c>
      <c r="C61" s="10" t="s">
        <v>691</v>
      </c>
      <c r="D61" s="10" t="s">
        <v>809</v>
      </c>
      <c r="E61" s="9" t="str">
        <f>HYPERLINK("https://twitter.com/LauraRo66056141/status/1353802311135502346","1353802311135502346")</f>
        <v>1353802311135502346</v>
      </c>
      <c r="F61" s="10" t="s">
        <v>810</v>
      </c>
      <c r="G61" s="12"/>
      <c r="H61" s="12"/>
      <c r="I61" s="13">
        <v>0.0</v>
      </c>
      <c r="J61" s="13">
        <v>0.0</v>
      </c>
      <c r="K61" s="9" t="str">
        <f>HYPERLINK("https://mobile.twitter.com","Twitter Web App")</f>
        <v>Twitter Web App</v>
      </c>
      <c r="L61" s="14">
        <v>71.0</v>
      </c>
      <c r="M61" s="14">
        <v>165.0</v>
      </c>
      <c r="N61" s="14">
        <v>1.0</v>
      </c>
      <c r="O61" s="19"/>
      <c r="P61" s="16">
        <v>43640.88015046297</v>
      </c>
      <c r="Q61" s="10" t="s">
        <v>695</v>
      </c>
      <c r="R61" s="10" t="s">
        <v>696</v>
      </c>
      <c r="S61" s="12"/>
      <c r="T61" s="12"/>
      <c r="U61" s="17" t="str">
        <f>HYPERLINK("https://pbs.twimg.com/profile_images/1346360185422401541/Hf6NVnv4.jpg","View")</f>
        <v>View</v>
      </c>
      <c r="V61" s="12"/>
      <c r="W61" s="12"/>
      <c r="X61" s="12"/>
      <c r="Y61" s="12"/>
      <c r="Z61" s="12"/>
    </row>
    <row r="62">
      <c r="A62" s="8">
        <v>44221.59541666666</v>
      </c>
      <c r="B62" s="9" t="str">
        <f>HYPERLINK("https://twitter.com/doctoraterrones","@doctoraterrones")</f>
        <v>@doctoraterrones</v>
      </c>
      <c r="C62" s="10" t="s">
        <v>811</v>
      </c>
      <c r="D62" s="10" t="s">
        <v>812</v>
      </c>
      <c r="E62" s="9" t="str">
        <f>HYPERLINK("https://twitter.com/doctoraterrones/status/1353799150471688192","1353799150471688192")</f>
        <v>1353799150471688192</v>
      </c>
      <c r="F62" s="12"/>
      <c r="G62" s="12"/>
      <c r="H62" s="12"/>
      <c r="I62" s="13">
        <v>0.0</v>
      </c>
      <c r="J62" s="13">
        <v>0.0</v>
      </c>
      <c r="K62" s="9" t="str">
        <f>HYPERLINK("http://twitter.com/download/android","Twitter for Android")</f>
        <v>Twitter for Android</v>
      </c>
      <c r="L62" s="14">
        <v>152.0</v>
      </c>
      <c r="M62" s="14">
        <v>284.0</v>
      </c>
      <c r="N62" s="14">
        <v>0.0</v>
      </c>
      <c r="O62" s="19"/>
      <c r="P62" s="16">
        <v>40286.325</v>
      </c>
      <c r="Q62" s="10" t="s">
        <v>813</v>
      </c>
      <c r="R62" s="10" t="s">
        <v>814</v>
      </c>
      <c r="S62" s="12"/>
      <c r="T62" s="12"/>
      <c r="U62" s="17" t="str">
        <f>HYPERLINK("https://pbs.twimg.com/profile_images/567851111126556672/BT5HAAUg.jpeg","View")</f>
        <v>View</v>
      </c>
      <c r="V62" s="12"/>
      <c r="W62" s="12"/>
      <c r="X62" s="12"/>
      <c r="Y62" s="12"/>
      <c r="Z62" s="12"/>
    </row>
    <row r="63">
      <c r="A63" s="8">
        <v>44221.589212962965</v>
      </c>
      <c r="B63" s="9" t="str">
        <f>HYPERLINK("https://twitter.com/LauraRo66056141","@LauraRo66056141")</f>
        <v>@LauraRo66056141</v>
      </c>
      <c r="C63" s="10" t="s">
        <v>691</v>
      </c>
      <c r="D63" s="10" t="s">
        <v>815</v>
      </c>
      <c r="E63" s="9" t="str">
        <f>HYPERLINK("https://twitter.com/LauraRo66056141/status/1353796904023298048","1353796904023298048")</f>
        <v>1353796904023298048</v>
      </c>
      <c r="F63" s="11" t="s">
        <v>816</v>
      </c>
      <c r="G63" s="11" t="s">
        <v>817</v>
      </c>
      <c r="H63" s="12"/>
      <c r="I63" s="13">
        <v>0.0</v>
      </c>
      <c r="J63" s="13">
        <v>0.0</v>
      </c>
      <c r="K63" s="9" t="str">
        <f>HYPERLINK("https://mobile.twitter.com","Twitter Web App")</f>
        <v>Twitter Web App</v>
      </c>
      <c r="L63" s="14">
        <v>71.0</v>
      </c>
      <c r="M63" s="14">
        <v>165.0</v>
      </c>
      <c r="N63" s="14">
        <v>1.0</v>
      </c>
      <c r="O63" s="19"/>
      <c r="P63" s="16">
        <v>43640.88015046297</v>
      </c>
      <c r="Q63" s="10" t="s">
        <v>695</v>
      </c>
      <c r="R63" s="10" t="s">
        <v>696</v>
      </c>
      <c r="S63" s="12"/>
      <c r="T63" s="12"/>
      <c r="U63" s="17" t="str">
        <f>HYPERLINK("https://pbs.twimg.com/profile_images/1346360185422401541/Hf6NVnv4.jpg","View")</f>
        <v>View</v>
      </c>
      <c r="V63" s="12"/>
      <c r="W63" s="12"/>
      <c r="X63" s="12"/>
      <c r="Y63" s="12"/>
      <c r="Z63" s="12"/>
    </row>
    <row r="64">
      <c r="A64" s="8">
        <v>44221.57773148148</v>
      </c>
      <c r="B64" s="9" t="str">
        <f>HYPERLINK("https://twitter.com/Hiparquia55","@Hiparquia55")</f>
        <v>@Hiparquia55</v>
      </c>
      <c r="C64" s="10" t="s">
        <v>818</v>
      </c>
      <c r="D64" s="10" t="s">
        <v>819</v>
      </c>
      <c r="E64" s="9" t="str">
        <f>HYPERLINK("https://twitter.com/Hiparquia55/status/1353792743227547649","1353792743227547649")</f>
        <v>1353792743227547649</v>
      </c>
      <c r="F64" s="12"/>
      <c r="G64" s="12"/>
      <c r="H64" s="12"/>
      <c r="I64" s="13">
        <v>8.0</v>
      </c>
      <c r="J64" s="13">
        <v>22.0</v>
      </c>
      <c r="K64" s="9" t="str">
        <f>HYPERLINK("http://twitter.com/download/iphone","Twitter for iPhone")</f>
        <v>Twitter for iPhone</v>
      </c>
      <c r="L64" s="14">
        <v>342.0</v>
      </c>
      <c r="M64" s="14">
        <v>410.0</v>
      </c>
      <c r="N64" s="14">
        <v>1.0</v>
      </c>
      <c r="O64" s="19"/>
      <c r="P64" s="16">
        <v>44214.62760416667</v>
      </c>
      <c r="Q64" s="12"/>
      <c r="R64" s="10" t="s">
        <v>820</v>
      </c>
      <c r="S64" s="12"/>
      <c r="T64" s="12"/>
      <c r="U64" s="17" t="str">
        <f>HYPERLINK("https://pbs.twimg.com/profile_images/1351274198119944194/3oGWNa-w.jpg","View")</f>
        <v>View</v>
      </c>
      <c r="V64" s="12"/>
      <c r="W64" s="12"/>
      <c r="X64" s="12"/>
      <c r="Y64" s="12"/>
      <c r="Z64" s="12"/>
    </row>
    <row r="65">
      <c r="A65" s="8">
        <v>44221.55519675926</v>
      </c>
      <c r="B65" s="9" t="str">
        <f>HYPERLINK("https://twitter.com/AlejoMVendrell","@AlejoMVendrell")</f>
        <v>@AlejoMVendrell</v>
      </c>
      <c r="C65" s="10" t="s">
        <v>821</v>
      </c>
      <c r="D65" s="10" t="s">
        <v>822</v>
      </c>
      <c r="E65" s="9" t="str">
        <f>HYPERLINK("https://twitter.com/AlejoMVendrell/status/1353784574799720449","1353784574799720449")</f>
        <v>1353784574799720449</v>
      </c>
      <c r="F65" s="11" t="s">
        <v>766</v>
      </c>
      <c r="G65" s="12"/>
      <c r="H65" s="12"/>
      <c r="I65" s="13">
        <v>1.0</v>
      </c>
      <c r="J65" s="13">
        <v>0.0</v>
      </c>
      <c r="K65" s="9" t="str">
        <f t="shared" ref="K65:K69" si="19">HYPERLINK("https://mobile.twitter.com","Twitter Web App")</f>
        <v>Twitter Web App</v>
      </c>
      <c r="L65" s="14">
        <v>411.0</v>
      </c>
      <c r="M65" s="14">
        <v>1106.0</v>
      </c>
      <c r="N65" s="14">
        <v>2.0</v>
      </c>
      <c r="O65" s="19"/>
      <c r="P65" s="16">
        <v>41577.743993055556</v>
      </c>
      <c r="Q65" s="10" t="s">
        <v>823</v>
      </c>
      <c r="R65" s="10" t="s">
        <v>824</v>
      </c>
      <c r="S65" s="11" t="s">
        <v>825</v>
      </c>
      <c r="T65" s="12"/>
      <c r="U65" s="17" t="str">
        <f>HYPERLINK("https://pbs.twimg.com/profile_images/378800000671615624/324fb25fa30ab8b0c05374f19994cee5.jpeg","View")</f>
        <v>View</v>
      </c>
      <c r="V65" s="12"/>
      <c r="W65" s="12"/>
      <c r="X65" s="12"/>
      <c r="Y65" s="12"/>
      <c r="Z65" s="12"/>
    </row>
    <row r="66">
      <c r="A66" s="8">
        <v>44221.54241898148</v>
      </c>
      <c r="B66" s="9" t="str">
        <f>HYPERLINK("https://twitter.com/guindafenix","@guindafenix")</f>
        <v>@guindafenix</v>
      </c>
      <c r="C66" s="10" t="s">
        <v>826</v>
      </c>
      <c r="D66" s="10" t="s">
        <v>827</v>
      </c>
      <c r="E66" s="9" t="str">
        <f>HYPERLINK("https://twitter.com/guindafenix/status/1353779946133577732","1353779946133577732")</f>
        <v>1353779946133577732</v>
      </c>
      <c r="F66" s="12"/>
      <c r="G66" s="11" t="s">
        <v>828</v>
      </c>
      <c r="H66" s="12"/>
      <c r="I66" s="13">
        <v>0.0</v>
      </c>
      <c r="J66" s="13">
        <v>0.0</v>
      </c>
      <c r="K66" s="9" t="str">
        <f t="shared" si="19"/>
        <v>Twitter Web App</v>
      </c>
      <c r="L66" s="14">
        <v>491.0</v>
      </c>
      <c r="M66" s="14">
        <v>746.0</v>
      </c>
      <c r="N66" s="14">
        <v>2.0</v>
      </c>
      <c r="O66" s="19"/>
      <c r="P66" s="16">
        <v>42507.92111111111</v>
      </c>
      <c r="Q66" s="10" t="s">
        <v>526</v>
      </c>
      <c r="R66" s="10" t="s">
        <v>829</v>
      </c>
      <c r="S66" s="11" t="s">
        <v>830</v>
      </c>
      <c r="T66" s="12"/>
      <c r="U66" s="17" t="str">
        <f>HYPERLINK("https://pbs.twimg.com/profile_images/1095065815030816768/KhIAZil_.jpg","View")</f>
        <v>View</v>
      </c>
      <c r="V66" s="12"/>
      <c r="W66" s="12"/>
      <c r="X66" s="12"/>
      <c r="Y66" s="12"/>
      <c r="Z66" s="12"/>
    </row>
    <row r="67">
      <c r="A67" s="8">
        <v>44221.53155092592</v>
      </c>
      <c r="B67" s="9" t="str">
        <f>HYPERLINK("https://twitter.com/VictorParraTab","@VictorParraTab")</f>
        <v>@VictorParraTab</v>
      </c>
      <c r="C67" s="10" t="s">
        <v>681</v>
      </c>
      <c r="D67" s="10" t="s">
        <v>831</v>
      </c>
      <c r="E67" s="9" t="str">
        <f>HYPERLINK("https://twitter.com/VictorParraTab/status/1353776005345894401","1353776005345894401")</f>
        <v>1353776005345894401</v>
      </c>
      <c r="F67" s="12"/>
      <c r="G67" s="11" t="s">
        <v>832</v>
      </c>
      <c r="H67" s="12"/>
      <c r="I67" s="13">
        <v>0.0</v>
      </c>
      <c r="J67" s="13">
        <v>2.0</v>
      </c>
      <c r="K67" s="9" t="str">
        <f t="shared" si="19"/>
        <v>Twitter Web App</v>
      </c>
      <c r="L67" s="14">
        <v>385.0</v>
      </c>
      <c r="M67" s="14">
        <v>194.0</v>
      </c>
      <c r="N67" s="14">
        <v>2.0</v>
      </c>
      <c r="O67" s="19"/>
      <c r="P67" s="16">
        <v>41362.55583333333</v>
      </c>
      <c r="Q67" s="12"/>
      <c r="R67" s="10" t="s">
        <v>684</v>
      </c>
      <c r="S67" s="11" t="s">
        <v>685</v>
      </c>
      <c r="T67" s="12"/>
      <c r="U67" s="17" t="str">
        <f>HYPERLINK("https://pbs.twimg.com/profile_images/565694059583250432/EbvPw9qY.jpeg","View")</f>
        <v>View</v>
      </c>
      <c r="V67" s="12"/>
      <c r="W67" s="12"/>
      <c r="X67" s="12"/>
      <c r="Y67" s="12"/>
      <c r="Z67" s="12"/>
    </row>
    <row r="68">
      <c r="A68" s="8">
        <v>44221.53120370371</v>
      </c>
      <c r="B68" s="9" t="str">
        <f>HYPERLINK("https://twitter.com/AlejoMVendrell","@AlejoMVendrell")</f>
        <v>@AlejoMVendrell</v>
      </c>
      <c r="C68" s="10" t="s">
        <v>821</v>
      </c>
      <c r="D68" s="10" t="s">
        <v>833</v>
      </c>
      <c r="E68" s="9" t="str">
        <f>HYPERLINK("https://twitter.com/AlejoMVendrell/status/1353775882251476992","1353775882251476992")</f>
        <v>1353775882251476992</v>
      </c>
      <c r="F68" s="11" t="s">
        <v>766</v>
      </c>
      <c r="G68" s="12"/>
      <c r="H68" s="12"/>
      <c r="I68" s="13">
        <v>0.0</v>
      </c>
      <c r="J68" s="13">
        <v>0.0</v>
      </c>
      <c r="K68" s="9" t="str">
        <f t="shared" si="19"/>
        <v>Twitter Web App</v>
      </c>
      <c r="L68" s="14">
        <v>411.0</v>
      </c>
      <c r="M68" s="14">
        <v>1106.0</v>
      </c>
      <c r="N68" s="14">
        <v>2.0</v>
      </c>
      <c r="O68" s="19"/>
      <c r="P68" s="16">
        <v>41577.743993055556</v>
      </c>
      <c r="Q68" s="10" t="s">
        <v>823</v>
      </c>
      <c r="R68" s="10" t="s">
        <v>824</v>
      </c>
      <c r="S68" s="11" t="s">
        <v>825</v>
      </c>
      <c r="T68" s="12"/>
      <c r="U68" s="17" t="str">
        <f>HYPERLINK("https://pbs.twimg.com/profile_images/378800000671615624/324fb25fa30ab8b0c05374f19994cee5.jpeg","View")</f>
        <v>View</v>
      </c>
      <c r="V68" s="12"/>
      <c r="W68" s="12"/>
      <c r="X68" s="12"/>
      <c r="Y68" s="12"/>
      <c r="Z68" s="12"/>
    </row>
    <row r="69">
      <c r="A69" s="8">
        <v>44221.525879629626</v>
      </c>
      <c r="B69" s="9" t="str">
        <f>HYPERLINK("https://twitter.com/LauraRo66056141","@LauraRo66056141")</f>
        <v>@LauraRo66056141</v>
      </c>
      <c r="C69" s="10" t="s">
        <v>691</v>
      </c>
      <c r="D69" s="10" t="s">
        <v>834</v>
      </c>
      <c r="E69" s="9" t="str">
        <f>HYPERLINK("https://twitter.com/LauraRo66056141/status/1353773949327339520","1353773949327339520")</f>
        <v>1353773949327339520</v>
      </c>
      <c r="F69" s="11" t="s">
        <v>835</v>
      </c>
      <c r="G69" s="11" t="s">
        <v>836</v>
      </c>
      <c r="H69" s="12"/>
      <c r="I69" s="13">
        <v>0.0</v>
      </c>
      <c r="J69" s="13">
        <v>0.0</v>
      </c>
      <c r="K69" s="9" t="str">
        <f t="shared" si="19"/>
        <v>Twitter Web App</v>
      </c>
      <c r="L69" s="14">
        <v>71.0</v>
      </c>
      <c r="M69" s="14">
        <v>165.0</v>
      </c>
      <c r="N69" s="14">
        <v>1.0</v>
      </c>
      <c r="O69" s="19"/>
      <c r="P69" s="16">
        <v>43640.88015046297</v>
      </c>
      <c r="Q69" s="10" t="s">
        <v>695</v>
      </c>
      <c r="R69" s="10" t="s">
        <v>696</v>
      </c>
      <c r="S69" s="12"/>
      <c r="T69" s="12"/>
      <c r="U69" s="17" t="str">
        <f>HYPERLINK("https://pbs.twimg.com/profile_images/1346360185422401541/Hf6NVnv4.jpg","View")</f>
        <v>View</v>
      </c>
      <c r="V69" s="12"/>
      <c r="W69" s="12"/>
      <c r="X69" s="12"/>
      <c r="Y69" s="12"/>
      <c r="Z69" s="12"/>
    </row>
    <row r="70">
      <c r="A70" s="8">
        <v>44221.52209490741</v>
      </c>
      <c r="B70" s="9" t="str">
        <f>HYPERLINK("https://twitter.com/YibQuantum","@YibQuantum")</f>
        <v>@YibQuantum</v>
      </c>
      <c r="C70" s="10" t="s">
        <v>837</v>
      </c>
      <c r="D70" s="10" t="s">
        <v>838</v>
      </c>
      <c r="E70" s="9" t="str">
        <f>HYPERLINK("https://twitter.com/YibQuantum/status/1353772578377256961","1353772578377256961")</f>
        <v>1353772578377256961</v>
      </c>
      <c r="F70" s="11" t="s">
        <v>778</v>
      </c>
      <c r="G70" s="11" t="s">
        <v>779</v>
      </c>
      <c r="H70" s="12"/>
      <c r="I70" s="13">
        <v>0.0</v>
      </c>
      <c r="J70" s="13">
        <v>0.0</v>
      </c>
      <c r="K70" s="9" t="str">
        <f>HYPERLINK("http://twitter.com/download/iphone","Twitter for iPhone")</f>
        <v>Twitter for iPhone</v>
      </c>
      <c r="L70" s="14">
        <v>450.0</v>
      </c>
      <c r="M70" s="14">
        <v>493.0</v>
      </c>
      <c r="N70" s="14">
        <v>1.0</v>
      </c>
      <c r="O70" s="19"/>
      <c r="P70" s="16">
        <v>41088.84881944444</v>
      </c>
      <c r="Q70" s="12"/>
      <c r="R70" s="10" t="s">
        <v>839</v>
      </c>
      <c r="S70" s="12"/>
      <c r="T70" s="12"/>
      <c r="U70" s="17" t="str">
        <f>HYPERLINK("https://pbs.twimg.com/profile_images/2350805681/b877s8p5fan730ghplus.png","View")</f>
        <v>View</v>
      </c>
      <c r="V70" s="12"/>
      <c r="W70" s="12"/>
      <c r="X70" s="12"/>
      <c r="Y70" s="12"/>
      <c r="Z70" s="12"/>
    </row>
    <row r="71">
      <c r="A71" s="8">
        <v>44221.521574074075</v>
      </c>
      <c r="B71" s="9" t="str">
        <f t="shared" ref="B71:B72" si="20">HYPERLINK("https://twitter.com/LauraRo66056141","@LauraRo66056141")</f>
        <v>@LauraRo66056141</v>
      </c>
      <c r="C71" s="10" t="s">
        <v>691</v>
      </c>
      <c r="D71" s="10" t="s">
        <v>840</v>
      </c>
      <c r="E71" s="9" t="str">
        <f>HYPERLINK("https://twitter.com/LauraRo66056141/status/1353772389037862913","1353772389037862913")</f>
        <v>1353772389037862913</v>
      </c>
      <c r="F71" s="11" t="s">
        <v>841</v>
      </c>
      <c r="G71" s="11" t="s">
        <v>842</v>
      </c>
      <c r="H71" s="12"/>
      <c r="I71" s="13">
        <v>0.0</v>
      </c>
      <c r="J71" s="13">
        <v>0.0</v>
      </c>
      <c r="K71" s="9" t="str">
        <f t="shared" ref="K71:K72" si="21">HYPERLINK("https://mobile.twitter.com","Twitter Web App")</f>
        <v>Twitter Web App</v>
      </c>
      <c r="L71" s="14">
        <v>71.0</v>
      </c>
      <c r="M71" s="14">
        <v>165.0</v>
      </c>
      <c r="N71" s="14">
        <v>1.0</v>
      </c>
      <c r="O71" s="19"/>
      <c r="P71" s="16">
        <v>43640.88015046297</v>
      </c>
      <c r="Q71" s="10" t="s">
        <v>695</v>
      </c>
      <c r="R71" s="10" t="s">
        <v>696</v>
      </c>
      <c r="S71" s="12"/>
      <c r="T71" s="12"/>
      <c r="U71" s="17" t="str">
        <f t="shared" ref="U71:U72" si="22">HYPERLINK("https://pbs.twimg.com/profile_images/1346360185422401541/Hf6NVnv4.jpg","View")</f>
        <v>View</v>
      </c>
      <c r="V71" s="12"/>
      <c r="W71" s="12"/>
      <c r="X71" s="12"/>
      <c r="Y71" s="12"/>
      <c r="Z71" s="12"/>
    </row>
    <row r="72">
      <c r="A72" s="8">
        <v>44221.5180787037</v>
      </c>
      <c r="B72" s="9" t="str">
        <f t="shared" si="20"/>
        <v>@LauraRo66056141</v>
      </c>
      <c r="C72" s="10" t="s">
        <v>691</v>
      </c>
      <c r="D72" s="10" t="s">
        <v>843</v>
      </c>
      <c r="E72" s="9" t="str">
        <f>HYPERLINK("https://twitter.com/LauraRo66056141/status/1353771122584481793","1353771122584481793")</f>
        <v>1353771122584481793</v>
      </c>
      <c r="F72" s="10" t="s">
        <v>844</v>
      </c>
      <c r="G72" s="11" t="s">
        <v>845</v>
      </c>
      <c r="H72" s="12"/>
      <c r="I72" s="13">
        <v>0.0</v>
      </c>
      <c r="J72" s="13">
        <v>0.0</v>
      </c>
      <c r="K72" s="9" t="str">
        <f t="shared" si="21"/>
        <v>Twitter Web App</v>
      </c>
      <c r="L72" s="14">
        <v>71.0</v>
      </c>
      <c r="M72" s="14">
        <v>165.0</v>
      </c>
      <c r="N72" s="14">
        <v>1.0</v>
      </c>
      <c r="O72" s="19"/>
      <c r="P72" s="16">
        <v>43640.88015046297</v>
      </c>
      <c r="Q72" s="10" t="s">
        <v>695</v>
      </c>
      <c r="R72" s="10" t="s">
        <v>696</v>
      </c>
      <c r="S72" s="12"/>
      <c r="T72" s="12"/>
      <c r="U72" s="17" t="str">
        <f t="shared" si="22"/>
        <v>View</v>
      </c>
      <c r="V72" s="12"/>
      <c r="W72" s="12"/>
      <c r="X72" s="12"/>
      <c r="Y72" s="12"/>
      <c r="Z72" s="12"/>
    </row>
    <row r="73">
      <c r="A73" s="8">
        <v>44221.51594907408</v>
      </c>
      <c r="B73" s="9" t="str">
        <f>HYPERLINK("https://twitter.com/marogab","@marogab")</f>
        <v>@marogab</v>
      </c>
      <c r="C73" s="10" t="s">
        <v>846</v>
      </c>
      <c r="D73" s="10" t="s">
        <v>847</v>
      </c>
      <c r="E73" s="9" t="str">
        <f>HYPERLINK("https://twitter.com/marogab/status/1353770351789027328","1353770351789027328")</f>
        <v>1353770351789027328</v>
      </c>
      <c r="F73" s="12"/>
      <c r="G73" s="12"/>
      <c r="H73" s="12"/>
      <c r="I73" s="13">
        <v>0.0</v>
      </c>
      <c r="J73" s="13">
        <v>0.0</v>
      </c>
      <c r="K73" s="9" t="str">
        <f>HYPERLINK("http://twitter.com/download/android","Twitter for Android")</f>
        <v>Twitter for Android</v>
      </c>
      <c r="L73" s="14">
        <v>484.0</v>
      </c>
      <c r="M73" s="14">
        <v>876.0</v>
      </c>
      <c r="N73" s="14">
        <v>5.0</v>
      </c>
      <c r="O73" s="19"/>
      <c r="P73" s="16">
        <v>39993.906539351854</v>
      </c>
      <c r="Q73" s="12"/>
      <c r="R73" s="12"/>
      <c r="S73" s="12"/>
      <c r="T73" s="12"/>
      <c r="U73" s="15" t="s">
        <v>848</v>
      </c>
      <c r="V73" s="12"/>
      <c r="W73" s="12"/>
      <c r="X73" s="12"/>
      <c r="Y73" s="12"/>
      <c r="Z73" s="12"/>
    </row>
    <row r="74">
      <c r="A74" s="8">
        <v>44221.51100694445</v>
      </c>
      <c r="B74" s="9" t="str">
        <f>HYPERLINK("https://twitter.com/SOLQR","@SOLQR")</f>
        <v>@SOLQR</v>
      </c>
      <c r="C74" s="10" t="s">
        <v>600</v>
      </c>
      <c r="D74" s="10" t="s">
        <v>849</v>
      </c>
      <c r="E74" s="9" t="str">
        <f>HYPERLINK("https://twitter.com/SOLQR/status/1353768561467125760","1353768561467125760")</f>
        <v>1353768561467125760</v>
      </c>
      <c r="F74" s="11" t="s">
        <v>850</v>
      </c>
      <c r="G74" s="12"/>
      <c r="H74" s="12"/>
      <c r="I74" s="13">
        <v>0.0</v>
      </c>
      <c r="J74" s="13">
        <v>0.0</v>
      </c>
      <c r="K74" s="9" t="str">
        <f t="shared" ref="K74:K80" si="23">HYPERLINK("https://mobile.twitter.com","Twitter Web App")</f>
        <v>Twitter Web App</v>
      </c>
      <c r="L74" s="14">
        <v>1095.0</v>
      </c>
      <c r="M74" s="14">
        <v>322.0</v>
      </c>
      <c r="N74" s="14">
        <v>24.0</v>
      </c>
      <c r="O74" s="19"/>
      <c r="P74" s="16">
        <v>40337.52915509259</v>
      </c>
      <c r="Q74" s="10" t="s">
        <v>603</v>
      </c>
      <c r="R74" s="10" t="s">
        <v>604</v>
      </c>
      <c r="S74" s="11" t="s">
        <v>605</v>
      </c>
      <c r="T74" s="12"/>
      <c r="U74" s="17" t="str">
        <f>HYPERLINK("https://pbs.twimg.com/profile_images/1328876879647006723/JwcN8Y-O.jpg","View")</f>
        <v>View</v>
      </c>
      <c r="V74" s="12"/>
      <c r="W74" s="12"/>
      <c r="X74" s="12"/>
      <c r="Y74" s="12"/>
      <c r="Z74" s="12"/>
    </row>
    <row r="75">
      <c r="A75" s="8">
        <v>44221.506886574076</v>
      </c>
      <c r="B75" s="9" t="str">
        <f>HYPERLINK("https://twitter.com/LauraRo66056141","@LauraRo66056141")</f>
        <v>@LauraRo66056141</v>
      </c>
      <c r="C75" s="10" t="s">
        <v>691</v>
      </c>
      <c r="D75" s="10" t="s">
        <v>851</v>
      </c>
      <c r="E75" s="9" t="str">
        <f>HYPERLINK("https://twitter.com/LauraRo66056141/status/1353767067313295362","1353767067313295362")</f>
        <v>1353767067313295362</v>
      </c>
      <c r="F75" s="11" t="s">
        <v>852</v>
      </c>
      <c r="G75" s="11" t="s">
        <v>853</v>
      </c>
      <c r="H75" s="12"/>
      <c r="I75" s="13">
        <v>0.0</v>
      </c>
      <c r="J75" s="13">
        <v>0.0</v>
      </c>
      <c r="K75" s="9" t="str">
        <f t="shared" si="23"/>
        <v>Twitter Web App</v>
      </c>
      <c r="L75" s="14">
        <v>71.0</v>
      </c>
      <c r="M75" s="14">
        <v>165.0</v>
      </c>
      <c r="N75" s="14">
        <v>1.0</v>
      </c>
      <c r="O75" s="19"/>
      <c r="P75" s="16">
        <v>43640.88015046297</v>
      </c>
      <c r="Q75" s="10" t="s">
        <v>695</v>
      </c>
      <c r="R75" s="10" t="s">
        <v>696</v>
      </c>
      <c r="S75" s="12"/>
      <c r="T75" s="12"/>
      <c r="U75" s="17" t="str">
        <f>HYPERLINK("https://pbs.twimg.com/profile_images/1346360185422401541/Hf6NVnv4.jpg","View")</f>
        <v>View</v>
      </c>
      <c r="V75" s="12"/>
      <c r="W75" s="12"/>
      <c r="X75" s="12"/>
      <c r="Y75" s="12"/>
      <c r="Z75" s="12"/>
    </row>
    <row r="76">
      <c r="A76" s="8">
        <v>44221.50304398148</v>
      </c>
      <c r="B76" s="9" t="str">
        <f>HYPERLINK("https://twitter.com/SOLQR","@SOLQR")</f>
        <v>@SOLQR</v>
      </c>
      <c r="C76" s="10" t="s">
        <v>600</v>
      </c>
      <c r="D76" s="10" t="s">
        <v>854</v>
      </c>
      <c r="E76" s="9" t="str">
        <f>HYPERLINK("https://twitter.com/SOLQR/status/1353765674997440515","1353765674997440515")</f>
        <v>1353765674997440515</v>
      </c>
      <c r="F76" s="11" t="s">
        <v>855</v>
      </c>
      <c r="G76" s="12"/>
      <c r="H76" s="12"/>
      <c r="I76" s="13">
        <v>0.0</v>
      </c>
      <c r="J76" s="13">
        <v>0.0</v>
      </c>
      <c r="K76" s="9" t="str">
        <f t="shared" si="23"/>
        <v>Twitter Web App</v>
      </c>
      <c r="L76" s="14">
        <v>1095.0</v>
      </c>
      <c r="M76" s="14">
        <v>322.0</v>
      </c>
      <c r="N76" s="14">
        <v>24.0</v>
      </c>
      <c r="O76" s="19"/>
      <c r="P76" s="16">
        <v>40337.52915509259</v>
      </c>
      <c r="Q76" s="10" t="s">
        <v>603</v>
      </c>
      <c r="R76" s="10" t="s">
        <v>604</v>
      </c>
      <c r="S76" s="11" t="s">
        <v>605</v>
      </c>
      <c r="T76" s="12"/>
      <c r="U76" s="17" t="str">
        <f>HYPERLINK("https://pbs.twimg.com/profile_images/1328876879647006723/JwcN8Y-O.jpg","View")</f>
        <v>View</v>
      </c>
      <c r="V76" s="12"/>
      <c r="W76" s="12"/>
      <c r="X76" s="12"/>
      <c r="Y76" s="12"/>
      <c r="Z76" s="12"/>
    </row>
    <row r="77">
      <c r="A77" s="8">
        <v>44221.50195601852</v>
      </c>
      <c r="B77" s="9" t="str">
        <f t="shared" ref="B77:B80" si="24">HYPERLINK("https://twitter.com/LauraRo66056141","@LauraRo66056141")</f>
        <v>@LauraRo66056141</v>
      </c>
      <c r="C77" s="10" t="s">
        <v>691</v>
      </c>
      <c r="D77" s="10" t="s">
        <v>856</v>
      </c>
      <c r="E77" s="9" t="str">
        <f>HYPERLINK("https://twitter.com/LauraRo66056141/status/1353765280460066822","1353765280460066822")</f>
        <v>1353765280460066822</v>
      </c>
      <c r="F77" s="11" t="s">
        <v>857</v>
      </c>
      <c r="G77" s="11" t="s">
        <v>858</v>
      </c>
      <c r="H77" s="12"/>
      <c r="I77" s="13">
        <v>0.0</v>
      </c>
      <c r="J77" s="13">
        <v>0.0</v>
      </c>
      <c r="K77" s="9" t="str">
        <f t="shared" si="23"/>
        <v>Twitter Web App</v>
      </c>
      <c r="L77" s="14">
        <v>71.0</v>
      </c>
      <c r="M77" s="14">
        <v>165.0</v>
      </c>
      <c r="N77" s="14">
        <v>1.0</v>
      </c>
      <c r="O77" s="19"/>
      <c r="P77" s="16">
        <v>43640.88015046297</v>
      </c>
      <c r="Q77" s="10" t="s">
        <v>695</v>
      </c>
      <c r="R77" s="10" t="s">
        <v>696</v>
      </c>
      <c r="S77" s="12"/>
      <c r="T77" s="12"/>
      <c r="U77" s="17" t="str">
        <f t="shared" ref="U77:U80" si="25">HYPERLINK("https://pbs.twimg.com/profile_images/1346360185422401541/Hf6NVnv4.jpg","View")</f>
        <v>View</v>
      </c>
      <c r="V77" s="12"/>
      <c r="W77" s="12"/>
      <c r="X77" s="12"/>
      <c r="Y77" s="12"/>
      <c r="Z77" s="12"/>
    </row>
    <row r="78">
      <c r="A78" s="8">
        <v>44221.49655092593</v>
      </c>
      <c r="B78" s="9" t="str">
        <f t="shared" si="24"/>
        <v>@LauraRo66056141</v>
      </c>
      <c r="C78" s="10" t="s">
        <v>691</v>
      </c>
      <c r="D78" s="10" t="s">
        <v>859</v>
      </c>
      <c r="E78" s="9" t="str">
        <f>HYPERLINK("https://twitter.com/LauraRo66056141/status/1353763323804672000","1353763323804672000")</f>
        <v>1353763323804672000</v>
      </c>
      <c r="F78" s="10" t="s">
        <v>860</v>
      </c>
      <c r="G78" s="11" t="s">
        <v>861</v>
      </c>
      <c r="H78" s="12"/>
      <c r="I78" s="13">
        <v>0.0</v>
      </c>
      <c r="J78" s="13">
        <v>0.0</v>
      </c>
      <c r="K78" s="9" t="str">
        <f t="shared" si="23"/>
        <v>Twitter Web App</v>
      </c>
      <c r="L78" s="14">
        <v>71.0</v>
      </c>
      <c r="M78" s="14">
        <v>165.0</v>
      </c>
      <c r="N78" s="14">
        <v>1.0</v>
      </c>
      <c r="O78" s="19"/>
      <c r="P78" s="16">
        <v>43640.88015046297</v>
      </c>
      <c r="Q78" s="10" t="s">
        <v>695</v>
      </c>
      <c r="R78" s="10" t="s">
        <v>696</v>
      </c>
      <c r="S78" s="12"/>
      <c r="T78" s="12"/>
      <c r="U78" s="17" t="str">
        <f t="shared" si="25"/>
        <v>View</v>
      </c>
      <c r="V78" s="12"/>
      <c r="W78" s="12"/>
      <c r="X78" s="12"/>
      <c r="Y78" s="12"/>
      <c r="Z78" s="12"/>
    </row>
    <row r="79">
      <c r="A79" s="8">
        <v>44221.493379629625</v>
      </c>
      <c r="B79" s="9" t="str">
        <f t="shared" si="24"/>
        <v>@LauraRo66056141</v>
      </c>
      <c r="C79" s="10" t="s">
        <v>691</v>
      </c>
      <c r="D79" s="10" t="s">
        <v>862</v>
      </c>
      <c r="E79" s="9" t="str">
        <f>HYPERLINK("https://twitter.com/LauraRo66056141/status/1353762174196277248","1353762174196277248")</f>
        <v>1353762174196277248</v>
      </c>
      <c r="F79" s="10" t="s">
        <v>863</v>
      </c>
      <c r="G79" s="11" t="s">
        <v>864</v>
      </c>
      <c r="H79" s="12"/>
      <c r="I79" s="13">
        <v>0.0</v>
      </c>
      <c r="J79" s="13">
        <v>0.0</v>
      </c>
      <c r="K79" s="9" t="str">
        <f t="shared" si="23"/>
        <v>Twitter Web App</v>
      </c>
      <c r="L79" s="14">
        <v>71.0</v>
      </c>
      <c r="M79" s="14">
        <v>165.0</v>
      </c>
      <c r="N79" s="14">
        <v>1.0</v>
      </c>
      <c r="O79" s="19"/>
      <c r="P79" s="16">
        <v>43640.88015046297</v>
      </c>
      <c r="Q79" s="10" t="s">
        <v>695</v>
      </c>
      <c r="R79" s="10" t="s">
        <v>696</v>
      </c>
      <c r="S79" s="12"/>
      <c r="T79" s="12"/>
      <c r="U79" s="17" t="str">
        <f t="shared" si="25"/>
        <v>View</v>
      </c>
      <c r="V79" s="12"/>
      <c r="W79" s="12"/>
      <c r="X79" s="12"/>
      <c r="Y79" s="12"/>
      <c r="Z79" s="12"/>
    </row>
    <row r="80">
      <c r="A80" s="8">
        <v>44221.49034722222</v>
      </c>
      <c r="B80" s="9" t="str">
        <f t="shared" si="24"/>
        <v>@LauraRo66056141</v>
      </c>
      <c r="C80" s="10" t="s">
        <v>691</v>
      </c>
      <c r="D80" s="10" t="s">
        <v>865</v>
      </c>
      <c r="E80" s="9" t="str">
        <f>HYPERLINK("https://twitter.com/LauraRo66056141/status/1353761073241804801","1353761073241804801")</f>
        <v>1353761073241804801</v>
      </c>
      <c r="F80" s="10" t="s">
        <v>866</v>
      </c>
      <c r="G80" s="11" t="s">
        <v>867</v>
      </c>
      <c r="H80" s="12"/>
      <c r="I80" s="13">
        <v>0.0</v>
      </c>
      <c r="J80" s="13">
        <v>0.0</v>
      </c>
      <c r="K80" s="9" t="str">
        <f t="shared" si="23"/>
        <v>Twitter Web App</v>
      </c>
      <c r="L80" s="14">
        <v>71.0</v>
      </c>
      <c r="M80" s="14">
        <v>165.0</v>
      </c>
      <c r="N80" s="14">
        <v>1.0</v>
      </c>
      <c r="O80" s="19"/>
      <c r="P80" s="16">
        <v>43640.88015046297</v>
      </c>
      <c r="Q80" s="10" t="s">
        <v>695</v>
      </c>
      <c r="R80" s="10" t="s">
        <v>696</v>
      </c>
      <c r="S80" s="12"/>
      <c r="T80" s="12"/>
      <c r="U80" s="17" t="str">
        <f t="shared" si="25"/>
        <v>View</v>
      </c>
      <c r="V80" s="12"/>
      <c r="W80" s="12"/>
      <c r="X80" s="12"/>
      <c r="Y80" s="12"/>
      <c r="Z80" s="12"/>
    </row>
    <row r="81">
      <c r="A81" s="8">
        <v>44221.487384259264</v>
      </c>
      <c r="B81" s="9" t="str">
        <f>HYPERLINK("https://twitter.com/McdooWala","@McdooWala")</f>
        <v>@McdooWala</v>
      </c>
      <c r="C81" s="10" t="s">
        <v>868</v>
      </c>
      <c r="D81" s="10" t="s">
        <v>869</v>
      </c>
      <c r="E81" s="9" t="str">
        <f>HYPERLINK("https://twitter.com/McdooWala/status/1353759999114280962","1353759999114280962")</f>
        <v>1353759999114280962</v>
      </c>
      <c r="F81" s="11" t="s">
        <v>870</v>
      </c>
      <c r="G81" s="12"/>
      <c r="H81" s="12"/>
      <c r="I81" s="13">
        <v>0.0</v>
      </c>
      <c r="J81" s="13">
        <v>0.0</v>
      </c>
      <c r="K81" s="9" t="str">
        <f>HYPERLINK("http://twitter.com/download/android","Twitter for Android")</f>
        <v>Twitter for Android</v>
      </c>
      <c r="L81" s="14">
        <v>327.0</v>
      </c>
      <c r="M81" s="14">
        <v>582.0</v>
      </c>
      <c r="N81" s="14">
        <v>0.0</v>
      </c>
      <c r="O81" s="19"/>
      <c r="P81" s="16">
        <v>43980.5516087963</v>
      </c>
      <c r="Q81" s="10" t="s">
        <v>520</v>
      </c>
      <c r="R81" s="10" t="s">
        <v>871</v>
      </c>
      <c r="S81" s="12"/>
      <c r="T81" s="12"/>
      <c r="U81" s="17" t="str">
        <f>HYPERLINK("https://pbs.twimg.com/profile_images/1353839469053534208/S4ACYPFn.jpg","View")</f>
        <v>View</v>
      </c>
      <c r="V81" s="12"/>
      <c r="W81" s="12"/>
      <c r="X81" s="12"/>
      <c r="Y81" s="12"/>
      <c r="Z81" s="12"/>
    </row>
    <row r="82">
      <c r="A82" s="8">
        <v>44221.48657407408</v>
      </c>
      <c r="B82" s="9" t="str">
        <f>HYPERLINK("https://twitter.com/LauraRo66056141","@LauraRo66056141")</f>
        <v>@LauraRo66056141</v>
      </c>
      <c r="C82" s="10" t="s">
        <v>691</v>
      </c>
      <c r="D82" s="10" t="s">
        <v>872</v>
      </c>
      <c r="E82" s="9" t="str">
        <f>HYPERLINK("https://twitter.com/LauraRo66056141/status/1353759705605181440","1353759705605181440")</f>
        <v>1353759705605181440</v>
      </c>
      <c r="F82" s="11" t="s">
        <v>873</v>
      </c>
      <c r="G82" s="11" t="s">
        <v>874</v>
      </c>
      <c r="H82" s="12"/>
      <c r="I82" s="13">
        <v>0.0</v>
      </c>
      <c r="J82" s="13">
        <v>0.0</v>
      </c>
      <c r="K82" s="9" t="str">
        <f t="shared" ref="K82:K85" si="26">HYPERLINK("https://mobile.twitter.com","Twitter Web App")</f>
        <v>Twitter Web App</v>
      </c>
      <c r="L82" s="14">
        <v>71.0</v>
      </c>
      <c r="M82" s="14">
        <v>165.0</v>
      </c>
      <c r="N82" s="14">
        <v>1.0</v>
      </c>
      <c r="O82" s="19"/>
      <c r="P82" s="16">
        <v>43640.88015046297</v>
      </c>
      <c r="Q82" s="10" t="s">
        <v>695</v>
      </c>
      <c r="R82" s="10" t="s">
        <v>696</v>
      </c>
      <c r="S82" s="12"/>
      <c r="T82" s="12"/>
      <c r="U82" s="17" t="str">
        <f>HYPERLINK("https://pbs.twimg.com/profile_images/1346360185422401541/Hf6NVnv4.jpg","View")</f>
        <v>View</v>
      </c>
      <c r="V82" s="12"/>
      <c r="W82" s="12"/>
      <c r="X82" s="12"/>
      <c r="Y82" s="12"/>
      <c r="Z82" s="12"/>
    </row>
    <row r="83">
      <c r="A83" s="8">
        <v>44221.484375</v>
      </c>
      <c r="B83" s="9" t="str">
        <f>HYPERLINK("https://twitter.com/jasanrome","@jasanrome")</f>
        <v>@jasanrome</v>
      </c>
      <c r="C83" s="10" t="s">
        <v>875</v>
      </c>
      <c r="D83" s="10" t="s">
        <v>876</v>
      </c>
      <c r="E83" s="9" t="str">
        <f>HYPERLINK("https://twitter.com/jasanrome/status/1353758912156225540","1353758912156225540")</f>
        <v>1353758912156225540</v>
      </c>
      <c r="F83" s="12"/>
      <c r="G83" s="11" t="s">
        <v>877</v>
      </c>
      <c r="H83" s="12"/>
      <c r="I83" s="13">
        <v>0.0</v>
      </c>
      <c r="J83" s="13">
        <v>0.0</v>
      </c>
      <c r="K83" s="9" t="str">
        <f t="shared" si="26"/>
        <v>Twitter Web App</v>
      </c>
      <c r="L83" s="14">
        <v>39.0</v>
      </c>
      <c r="M83" s="14">
        <v>143.0</v>
      </c>
      <c r="N83" s="14">
        <v>0.0</v>
      </c>
      <c r="O83" s="19"/>
      <c r="P83" s="16">
        <v>41719.97027777778</v>
      </c>
      <c r="Q83" s="12"/>
      <c r="R83" s="10" t="s">
        <v>878</v>
      </c>
      <c r="S83" s="11" t="s">
        <v>879</v>
      </c>
      <c r="T83" s="12"/>
      <c r="U83" s="17" t="str">
        <f>HYPERLINK("https://pbs.twimg.com/profile_images/993983942989524992/bRA1srhR.jpg","View")</f>
        <v>View</v>
      </c>
      <c r="V83" s="12"/>
      <c r="W83" s="12"/>
      <c r="X83" s="12"/>
      <c r="Y83" s="12"/>
      <c r="Z83" s="12"/>
    </row>
    <row r="84">
      <c r="A84" s="8">
        <v>44221.48402777778</v>
      </c>
      <c r="B84" s="9" t="str">
        <f>HYPERLINK("https://twitter.com/LauraRo66056141","@LauraRo66056141")</f>
        <v>@LauraRo66056141</v>
      </c>
      <c r="C84" s="10" t="s">
        <v>691</v>
      </c>
      <c r="D84" s="10" t="s">
        <v>880</v>
      </c>
      <c r="E84" s="9" t="str">
        <f>HYPERLINK("https://twitter.com/LauraRo66056141/status/1353758785395802112","1353758785395802112")</f>
        <v>1353758785395802112</v>
      </c>
      <c r="F84" s="11" t="s">
        <v>881</v>
      </c>
      <c r="G84" s="11" t="s">
        <v>882</v>
      </c>
      <c r="H84" s="12"/>
      <c r="I84" s="13">
        <v>0.0</v>
      </c>
      <c r="J84" s="13">
        <v>0.0</v>
      </c>
      <c r="K84" s="9" t="str">
        <f t="shared" si="26"/>
        <v>Twitter Web App</v>
      </c>
      <c r="L84" s="14">
        <v>71.0</v>
      </c>
      <c r="M84" s="14">
        <v>165.0</v>
      </c>
      <c r="N84" s="14">
        <v>1.0</v>
      </c>
      <c r="O84" s="19"/>
      <c r="P84" s="16">
        <v>43640.88015046297</v>
      </c>
      <c r="Q84" s="10" t="s">
        <v>695</v>
      </c>
      <c r="R84" s="10" t="s">
        <v>696</v>
      </c>
      <c r="S84" s="12"/>
      <c r="T84" s="12"/>
      <c r="U84" s="17" t="str">
        <f>HYPERLINK("https://pbs.twimg.com/profile_images/1346360185422401541/Hf6NVnv4.jpg","View")</f>
        <v>View</v>
      </c>
      <c r="V84" s="12"/>
      <c r="W84" s="12"/>
      <c r="X84" s="12"/>
      <c r="Y84" s="12"/>
      <c r="Z84" s="12"/>
    </row>
    <row r="85">
      <c r="A85" s="8">
        <v>44221.47751157408</v>
      </c>
      <c r="B85" s="9" t="str">
        <f>HYPERLINK("https://twitter.com/AngelMangelvc78","@AngelMangelvc78")</f>
        <v>@AngelMangelvc78</v>
      </c>
      <c r="C85" s="10" t="s">
        <v>883</v>
      </c>
      <c r="D85" s="10" t="s">
        <v>884</v>
      </c>
      <c r="E85" s="9" t="str">
        <f>HYPERLINK("https://twitter.com/AngelMangelvc78/status/1353756423964901376","1353756423964901376")</f>
        <v>1353756423964901376</v>
      </c>
      <c r="F85" s="10" t="s">
        <v>885</v>
      </c>
      <c r="G85" s="11" t="s">
        <v>886</v>
      </c>
      <c r="H85" s="12"/>
      <c r="I85" s="13">
        <v>0.0</v>
      </c>
      <c r="J85" s="13">
        <v>0.0</v>
      </c>
      <c r="K85" s="9" t="str">
        <f t="shared" si="26"/>
        <v>Twitter Web App</v>
      </c>
      <c r="L85" s="14">
        <v>531.0</v>
      </c>
      <c r="M85" s="14">
        <v>1392.0</v>
      </c>
      <c r="N85" s="14">
        <v>4.0</v>
      </c>
      <c r="O85" s="19"/>
      <c r="P85" s="16">
        <v>41084.671273148146</v>
      </c>
      <c r="Q85" s="12"/>
      <c r="R85" s="10" t="s">
        <v>887</v>
      </c>
      <c r="S85" s="12"/>
      <c r="T85" s="12"/>
      <c r="U85" s="17" t="str">
        <f>HYPERLINK("https://pbs.twimg.com/profile_images/497827794525487104/mKEnTOzf.jpeg","View")</f>
        <v>View</v>
      </c>
      <c r="V85" s="12"/>
      <c r="W85" s="12"/>
      <c r="X85" s="12"/>
      <c r="Y85" s="12"/>
      <c r="Z85" s="12"/>
    </row>
    <row r="86">
      <c r="A86" s="8">
        <v>44221.47460648148</v>
      </c>
      <c r="B86" s="9" t="str">
        <f>HYPERLINK("https://twitter.com/Saav701","@Saav701")</f>
        <v>@Saav701</v>
      </c>
      <c r="C86" s="10" t="s">
        <v>888</v>
      </c>
      <c r="D86" s="10" t="s">
        <v>889</v>
      </c>
      <c r="E86" s="9" t="str">
        <f>HYPERLINK("https://twitter.com/Saav701/status/1353755369630265345","1353755369630265345")</f>
        <v>1353755369630265345</v>
      </c>
      <c r="F86" s="11" t="s">
        <v>890</v>
      </c>
      <c r="G86" s="12"/>
      <c r="H86" s="12"/>
      <c r="I86" s="13">
        <v>0.0</v>
      </c>
      <c r="J86" s="13">
        <v>0.0</v>
      </c>
      <c r="K86" s="9" t="str">
        <f>HYPERLINK("http://twitter.com/download/android","Twitter for Android")</f>
        <v>Twitter for Android</v>
      </c>
      <c r="L86" s="14">
        <v>156.0</v>
      </c>
      <c r="M86" s="14">
        <v>1039.0</v>
      </c>
      <c r="N86" s="14">
        <v>0.0</v>
      </c>
      <c r="O86" s="19"/>
      <c r="P86" s="16">
        <v>43125.6475462963</v>
      </c>
      <c r="Q86" s="12"/>
      <c r="R86" s="10" t="s">
        <v>891</v>
      </c>
      <c r="S86" s="12"/>
      <c r="T86" s="12"/>
      <c r="U86" s="17" t="str">
        <f>HYPERLINK("https://pbs.twimg.com/profile_images/956653358365818880/52tmHWh-.jpg","View")</f>
        <v>View</v>
      </c>
      <c r="V86" s="12"/>
      <c r="W86" s="12"/>
      <c r="X86" s="12"/>
      <c r="Y86" s="12"/>
      <c r="Z86" s="12"/>
    </row>
    <row r="87">
      <c r="A87" s="8">
        <v>44221.466875</v>
      </c>
      <c r="B87" s="9" t="str">
        <f>HYPERLINK("https://twitter.com/Carl0zHdz","@Carl0zHdz")</f>
        <v>@Carl0zHdz</v>
      </c>
      <c r="C87" s="10" t="s">
        <v>892</v>
      </c>
      <c r="D87" s="10" t="s">
        <v>893</v>
      </c>
      <c r="E87" s="9" t="str">
        <f>HYPERLINK("https://twitter.com/Carl0zHdz/status/1353752567763922948","1353752567763922948")</f>
        <v>1353752567763922948</v>
      </c>
      <c r="F87" s="12"/>
      <c r="G87" s="12"/>
      <c r="H87" s="12"/>
      <c r="I87" s="13">
        <v>0.0</v>
      </c>
      <c r="J87" s="13">
        <v>0.0</v>
      </c>
      <c r="K87" s="9" t="str">
        <f>HYPERLINK("https://mobile.twitter.com","Twitter Web App")</f>
        <v>Twitter Web App</v>
      </c>
      <c r="L87" s="14">
        <v>485.0</v>
      </c>
      <c r="M87" s="14">
        <v>3033.0</v>
      </c>
      <c r="N87" s="14">
        <v>0.0</v>
      </c>
      <c r="O87" s="19"/>
      <c r="P87" s="16">
        <v>40899.96271990741</v>
      </c>
      <c r="Q87" s="12"/>
      <c r="R87" s="10" t="s">
        <v>894</v>
      </c>
      <c r="S87" s="12"/>
      <c r="T87" s="12"/>
      <c r="U87" s="17" t="str">
        <f>HYPERLINK("https://pbs.twimg.com/profile_images/1353756079390412802/kbUVelD8.jpg","View")</f>
        <v>View</v>
      </c>
      <c r="V87" s="12"/>
      <c r="W87" s="12"/>
      <c r="X87" s="12"/>
      <c r="Y87" s="12"/>
      <c r="Z87" s="12"/>
    </row>
    <row r="88">
      <c r="A88" s="8">
        <v>44221.460115740745</v>
      </c>
      <c r="B88" s="9" t="str">
        <f>HYPERLINK("https://twitter.com/constanza","@constanza")</f>
        <v>@constanza</v>
      </c>
      <c r="C88" s="10" t="s">
        <v>895</v>
      </c>
      <c r="D88" s="10" t="s">
        <v>896</v>
      </c>
      <c r="E88" s="9" t="str">
        <f>HYPERLINK("https://twitter.com/constanza/status/1353750120827858945","1353750120827858945")</f>
        <v>1353750120827858945</v>
      </c>
      <c r="F88" s="12"/>
      <c r="G88" s="11" t="s">
        <v>897</v>
      </c>
      <c r="H88" s="12"/>
      <c r="I88" s="13">
        <v>2.0</v>
      </c>
      <c r="J88" s="13">
        <v>5.0</v>
      </c>
      <c r="K88" s="9" t="str">
        <f>HYPERLINK("http://twitter.com/download/iphone","Twitter for iPhone")</f>
        <v>Twitter for iPhone</v>
      </c>
      <c r="L88" s="14">
        <v>11899.0</v>
      </c>
      <c r="M88" s="14">
        <v>3760.0</v>
      </c>
      <c r="N88" s="14">
        <v>114.0</v>
      </c>
      <c r="O88" s="19"/>
      <c r="P88" s="16">
        <v>40263.40775462963</v>
      </c>
      <c r="Q88" s="10" t="s">
        <v>898</v>
      </c>
      <c r="R88" s="10" t="s">
        <v>899</v>
      </c>
      <c r="S88" s="12"/>
      <c r="T88" s="12"/>
      <c r="U88" s="17" t="str">
        <f>HYPERLINK("https://pbs.twimg.com/profile_images/1264991368230907904/8g5PJUIw.jpg","View")</f>
        <v>View</v>
      </c>
      <c r="V88" s="12"/>
      <c r="W88" s="12"/>
      <c r="X88" s="12"/>
      <c r="Y88" s="12"/>
      <c r="Z88" s="12"/>
    </row>
    <row r="89">
      <c r="A89" s="8">
        <v>44221.45002314815</v>
      </c>
      <c r="B89" s="9" t="str">
        <f>HYPERLINK("https://twitter.com/mausmeza","@mausmeza")</f>
        <v>@mausmeza</v>
      </c>
      <c r="C89" s="10" t="s">
        <v>900</v>
      </c>
      <c r="D89" s="10" t="s">
        <v>901</v>
      </c>
      <c r="E89" s="9" t="str">
        <f>HYPERLINK("https://twitter.com/mausmeza/status/1353746463705223179","1353746463705223179")</f>
        <v>1353746463705223179</v>
      </c>
      <c r="F89" s="12"/>
      <c r="G89" s="11" t="s">
        <v>902</v>
      </c>
      <c r="H89" s="12"/>
      <c r="I89" s="13">
        <v>1.0</v>
      </c>
      <c r="J89" s="13">
        <v>0.0</v>
      </c>
      <c r="K89" s="9" t="str">
        <f t="shared" ref="K89:K91" si="27">HYPERLINK("http://twitter.com/download/android","Twitter for Android")</f>
        <v>Twitter for Android</v>
      </c>
      <c r="L89" s="14">
        <v>300.0</v>
      </c>
      <c r="M89" s="14">
        <v>519.0</v>
      </c>
      <c r="N89" s="14">
        <v>4.0</v>
      </c>
      <c r="O89" s="19"/>
      <c r="P89" s="16">
        <v>39999.594351851854</v>
      </c>
      <c r="Q89" s="10" t="s">
        <v>478</v>
      </c>
      <c r="R89" s="10" t="s">
        <v>903</v>
      </c>
      <c r="S89" s="12"/>
      <c r="T89" s="12"/>
      <c r="U89" s="17" t="str">
        <f>HYPERLINK("https://pbs.twimg.com/profile_images/1321867333762240514/Yk4zyot0.jpg","View")</f>
        <v>View</v>
      </c>
      <c r="V89" s="12"/>
      <c r="W89" s="12"/>
      <c r="X89" s="12"/>
      <c r="Y89" s="12"/>
      <c r="Z89" s="12"/>
    </row>
    <row r="90">
      <c r="A90" s="8">
        <v>44221.43229166667</v>
      </c>
      <c r="B90" s="9" t="str">
        <f>HYPERLINK("https://twitter.com/Azaryel1","@Azaryel1")</f>
        <v>@Azaryel1</v>
      </c>
      <c r="C90" s="10" t="s">
        <v>805</v>
      </c>
      <c r="D90" s="10" t="s">
        <v>904</v>
      </c>
      <c r="E90" s="9" t="str">
        <f>HYPERLINK("https://twitter.com/Azaryel1/status/1353740035183542273","1353740035183542273")</f>
        <v>1353740035183542273</v>
      </c>
      <c r="F90" s="11" t="s">
        <v>905</v>
      </c>
      <c r="G90" s="12"/>
      <c r="H90" s="12"/>
      <c r="I90" s="13">
        <v>2.0</v>
      </c>
      <c r="J90" s="13">
        <v>4.0</v>
      </c>
      <c r="K90" s="9" t="str">
        <f t="shared" si="27"/>
        <v>Twitter for Android</v>
      </c>
      <c r="L90" s="14">
        <v>359.0</v>
      </c>
      <c r="M90" s="14">
        <v>124.0</v>
      </c>
      <c r="N90" s="14">
        <v>1.0</v>
      </c>
      <c r="O90" s="19"/>
      <c r="P90" s="16">
        <v>43883.73144675926</v>
      </c>
      <c r="Q90" s="10" t="s">
        <v>807</v>
      </c>
      <c r="R90" s="10" t="s">
        <v>808</v>
      </c>
      <c r="S90" s="12"/>
      <c r="T90" s="12"/>
      <c r="U90" s="17" t="str">
        <f>HYPERLINK("https://pbs.twimg.com/profile_images/1345145422923358209/lxQMmPJC.jpg","View")</f>
        <v>View</v>
      </c>
      <c r="V90" s="12"/>
      <c r="W90" s="12"/>
      <c r="X90" s="12"/>
      <c r="Y90" s="12"/>
      <c r="Z90" s="12"/>
    </row>
    <row r="91">
      <c r="A91" s="8">
        <v>44221.40664351852</v>
      </c>
      <c r="B91" s="9" t="str">
        <f>HYPERLINK("https://twitter.com/luis_journalist","@luis_journalist")</f>
        <v>@luis_journalist</v>
      </c>
      <c r="C91" s="10" t="s">
        <v>906</v>
      </c>
      <c r="D91" s="10" t="s">
        <v>907</v>
      </c>
      <c r="E91" s="9" t="str">
        <f>HYPERLINK("https://twitter.com/luis_journalist/status/1353730740828123144","1353730740828123144")</f>
        <v>1353730740828123144</v>
      </c>
      <c r="F91" s="12"/>
      <c r="G91" s="12"/>
      <c r="H91" s="12"/>
      <c r="I91" s="13">
        <v>15.0</v>
      </c>
      <c r="J91" s="13">
        <v>22.0</v>
      </c>
      <c r="K91" s="9" t="str">
        <f t="shared" si="27"/>
        <v>Twitter for Android</v>
      </c>
      <c r="L91" s="14">
        <v>4981.0</v>
      </c>
      <c r="M91" s="14">
        <v>4302.0</v>
      </c>
      <c r="N91" s="14">
        <v>64.0</v>
      </c>
      <c r="O91" s="19"/>
      <c r="P91" s="16">
        <v>40019.927199074074</v>
      </c>
      <c r="Q91" s="10" t="s">
        <v>908</v>
      </c>
      <c r="R91" s="10" t="s">
        <v>909</v>
      </c>
      <c r="S91" s="11" t="s">
        <v>910</v>
      </c>
      <c r="T91" s="12"/>
      <c r="U91" s="17" t="str">
        <f>HYPERLINK("https://pbs.twimg.com/profile_images/1353388188480450563/9HmX8ho3.jpg","View")</f>
        <v>View</v>
      </c>
      <c r="V91" s="12"/>
      <c r="W91" s="12"/>
      <c r="X91" s="12"/>
      <c r="Y91" s="12"/>
      <c r="Z91" s="12"/>
    </row>
    <row r="92">
      <c r="A92" s="8">
        <v>44221.39858796296</v>
      </c>
      <c r="B92" s="9" t="str">
        <f>HYPERLINK("https://twitter.com/soyfantomas","@soyfantomas")</f>
        <v>@soyfantomas</v>
      </c>
      <c r="C92" s="10" t="s">
        <v>911</v>
      </c>
      <c r="D92" s="10" t="s">
        <v>912</v>
      </c>
      <c r="E92" s="9" t="str">
        <f>HYPERLINK("https://twitter.com/soyfantomas/status/1353727822968348674","1353727822968348674")</f>
        <v>1353727822968348674</v>
      </c>
      <c r="F92" s="12"/>
      <c r="G92" s="11" t="s">
        <v>913</v>
      </c>
      <c r="H92" s="12"/>
      <c r="I92" s="13">
        <v>0.0</v>
      </c>
      <c r="J92" s="13">
        <v>0.0</v>
      </c>
      <c r="K92" s="9" t="str">
        <f>HYPERLINK("http://twitter.com/#!/download/ipad","Twitter for iPad")</f>
        <v>Twitter for iPad</v>
      </c>
      <c r="L92" s="14">
        <v>1787.0</v>
      </c>
      <c r="M92" s="14">
        <v>2236.0</v>
      </c>
      <c r="N92" s="14">
        <v>72.0</v>
      </c>
      <c r="O92" s="19"/>
      <c r="P92" s="16">
        <v>39981.4428125</v>
      </c>
      <c r="Q92" s="10" t="s">
        <v>914</v>
      </c>
      <c r="R92" s="10" t="s">
        <v>915</v>
      </c>
      <c r="S92" s="11" t="s">
        <v>916</v>
      </c>
      <c r="T92" s="12"/>
      <c r="U92" s="17" t="str">
        <f>HYPERLINK("https://pbs.twimg.com/profile_images/1346565772013948928/k_KIae4i.jpg","View")</f>
        <v>View</v>
      </c>
      <c r="V92" s="12"/>
      <c r="W92" s="12"/>
      <c r="X92" s="12"/>
      <c r="Y92" s="12"/>
      <c r="Z92" s="12"/>
    </row>
    <row r="93">
      <c r="A93" s="8">
        <v>44221.37863425926</v>
      </c>
      <c r="B93" s="9" t="str">
        <f>HYPERLINK("https://twitter.com/cgarizmendi","@cgarizmendi")</f>
        <v>@cgarizmendi</v>
      </c>
      <c r="C93" s="10" t="s">
        <v>917</v>
      </c>
      <c r="D93" s="10" t="s">
        <v>918</v>
      </c>
      <c r="E93" s="9" t="str">
        <f>HYPERLINK("https://twitter.com/cgarizmendi/status/1353720591367499776","1353720591367499776")</f>
        <v>1353720591367499776</v>
      </c>
      <c r="F93" s="11" t="s">
        <v>766</v>
      </c>
      <c r="G93" s="12"/>
      <c r="H93" s="12"/>
      <c r="I93" s="13">
        <v>0.0</v>
      </c>
      <c r="J93" s="13">
        <v>0.0</v>
      </c>
      <c r="K93" s="9" t="str">
        <f>HYPERLINK("https://mobile.twitter.com","Twitter Web App")</f>
        <v>Twitter Web App</v>
      </c>
      <c r="L93" s="14">
        <v>3166.0</v>
      </c>
      <c r="M93" s="14">
        <v>3956.0</v>
      </c>
      <c r="N93" s="14">
        <v>16.0</v>
      </c>
      <c r="O93" s="19"/>
      <c r="P93" s="16">
        <v>39896.74186342592</v>
      </c>
      <c r="Q93" s="10" t="s">
        <v>325</v>
      </c>
      <c r="R93" s="10" t="s">
        <v>919</v>
      </c>
      <c r="S93" s="12"/>
      <c r="T93" s="12"/>
      <c r="U93" s="17" t="str">
        <f>HYPERLINK("https://pbs.twimg.com/profile_images/1304194224104132608/swJOwKrz.jpg","View")</f>
        <v>View</v>
      </c>
      <c r="V93" s="12"/>
      <c r="W93" s="12"/>
      <c r="X93" s="12"/>
      <c r="Y93" s="12"/>
      <c r="Z93" s="12"/>
    </row>
    <row r="94">
      <c r="A94" s="8">
        <v>44221.37265046296</v>
      </c>
      <c r="B94" s="9" t="str">
        <f>HYPERLINK("https://twitter.com/Ghost_R_U2","@Ghost_R_U2")</f>
        <v>@Ghost_R_U2</v>
      </c>
      <c r="C94" s="10" t="s">
        <v>642</v>
      </c>
      <c r="D94" s="10" t="s">
        <v>920</v>
      </c>
      <c r="E94" s="9" t="str">
        <f>HYPERLINK("https://twitter.com/Ghost_R_U2/status/1353718421288931328","1353718421288931328")</f>
        <v>1353718421288931328</v>
      </c>
      <c r="F94" s="11" t="s">
        <v>921</v>
      </c>
      <c r="G94" s="11" t="s">
        <v>922</v>
      </c>
      <c r="H94" s="12"/>
      <c r="I94" s="13">
        <v>0.0</v>
      </c>
      <c r="J94" s="13">
        <v>0.0</v>
      </c>
      <c r="K94" s="9" t="str">
        <f t="shared" ref="K94:K95" si="28">HYPERLINK("http://twitter.com/download/android","Twitter for Android")</f>
        <v>Twitter for Android</v>
      </c>
      <c r="L94" s="14">
        <v>622.0</v>
      </c>
      <c r="M94" s="14">
        <v>2008.0</v>
      </c>
      <c r="N94" s="14">
        <v>0.0</v>
      </c>
      <c r="O94" s="19"/>
      <c r="P94" s="16">
        <v>42934.8100925926</v>
      </c>
      <c r="Q94" s="12"/>
      <c r="R94" s="10" t="s">
        <v>646</v>
      </c>
      <c r="S94" s="12"/>
      <c r="T94" s="12"/>
      <c r="U94" s="17" t="str">
        <f>HYPERLINK("https://pbs.twimg.com/profile_images/1047490517272080384/TXIA6js7.jpg","View")</f>
        <v>View</v>
      </c>
      <c r="V94" s="12"/>
      <c r="W94" s="12"/>
      <c r="X94" s="12"/>
      <c r="Y94" s="12"/>
      <c r="Z94" s="12"/>
    </row>
    <row r="95">
      <c r="A95" s="8">
        <v>44221.36591435185</v>
      </c>
      <c r="B95" s="9" t="str">
        <f>HYPERLINK("https://twitter.com/mparras25","@mparras25")</f>
        <v>@mparras25</v>
      </c>
      <c r="C95" s="10" t="s">
        <v>923</v>
      </c>
      <c r="D95" s="10" t="s">
        <v>924</v>
      </c>
      <c r="E95" s="9" t="str">
        <f>HYPERLINK("https://twitter.com/mparras25/status/1353715980095123458","1353715980095123458")</f>
        <v>1353715980095123458</v>
      </c>
      <c r="F95" s="12"/>
      <c r="G95" s="11" t="s">
        <v>925</v>
      </c>
      <c r="H95" s="12"/>
      <c r="I95" s="13">
        <v>11.0</v>
      </c>
      <c r="J95" s="13">
        <v>33.0</v>
      </c>
      <c r="K95" s="9" t="str">
        <f t="shared" si="28"/>
        <v>Twitter for Android</v>
      </c>
      <c r="L95" s="14">
        <v>1642.0</v>
      </c>
      <c r="M95" s="14">
        <v>552.0</v>
      </c>
      <c r="N95" s="14">
        <v>10.0</v>
      </c>
      <c r="O95" s="19"/>
      <c r="P95" s="16">
        <v>40372.88276620371</v>
      </c>
      <c r="Q95" s="10" t="s">
        <v>926</v>
      </c>
      <c r="R95" s="10" t="s">
        <v>927</v>
      </c>
      <c r="S95" s="11" t="s">
        <v>928</v>
      </c>
      <c r="T95" s="12"/>
      <c r="U95" s="17" t="str">
        <f>HYPERLINK("https://pbs.twimg.com/profile_images/926646816552001536/S-xEap1A.jpg","View")</f>
        <v>View</v>
      </c>
      <c r="V95" s="12"/>
      <c r="W95" s="12"/>
      <c r="X95" s="12"/>
      <c r="Y95" s="12"/>
      <c r="Z95" s="12"/>
    </row>
    <row r="96">
      <c r="A96" s="8">
        <v>44221.36280092593</v>
      </c>
      <c r="B96" s="9" t="str">
        <f>HYPERLINK("https://twitter.com/funcionariofifi","@funcionariofifi")</f>
        <v>@funcionariofifi</v>
      </c>
      <c r="C96" s="10" t="s">
        <v>929</v>
      </c>
      <c r="D96" s="10" t="s">
        <v>930</v>
      </c>
      <c r="E96" s="9" t="str">
        <f>HYPERLINK("https://twitter.com/funcionariofifi/status/1353714851575701504","1353714851575701504")</f>
        <v>1353714851575701504</v>
      </c>
      <c r="F96" s="12"/>
      <c r="G96" s="11" t="s">
        <v>931</v>
      </c>
      <c r="H96" s="12"/>
      <c r="I96" s="13">
        <v>0.0</v>
      </c>
      <c r="J96" s="13">
        <v>0.0</v>
      </c>
      <c r="K96" s="9" t="str">
        <f t="shared" ref="K96:K97" si="29">HYPERLINK("http://twitter.com/download/iphone","Twitter for iPhone")</f>
        <v>Twitter for iPhone</v>
      </c>
      <c r="L96" s="14">
        <v>24.0</v>
      </c>
      <c r="M96" s="14">
        <v>86.0</v>
      </c>
      <c r="N96" s="14">
        <v>0.0</v>
      </c>
      <c r="O96" s="19"/>
      <c r="P96" s="16">
        <v>41352.68456018518</v>
      </c>
      <c r="Q96" s="12"/>
      <c r="R96" s="10" t="s">
        <v>932</v>
      </c>
      <c r="S96" s="12"/>
      <c r="T96" s="12"/>
      <c r="U96" s="17" t="str">
        <f>HYPERLINK("https://pbs.twimg.com/profile_images/1134840624924962818/PseC4Fcv.jpg","View")</f>
        <v>View</v>
      </c>
      <c r="V96" s="12"/>
      <c r="W96" s="12"/>
      <c r="X96" s="12"/>
      <c r="Y96" s="12"/>
      <c r="Z96" s="12"/>
    </row>
    <row r="97">
      <c r="A97" s="8">
        <v>44221.35922453704</v>
      </c>
      <c r="B97" s="9" t="str">
        <f>HYPERLINK("https://twitter.com/ferbelaunzaran","@ferbelaunzaran")</f>
        <v>@ferbelaunzaran</v>
      </c>
      <c r="C97" s="10" t="s">
        <v>933</v>
      </c>
      <c r="D97" s="10" t="s">
        <v>934</v>
      </c>
      <c r="E97" s="9" t="str">
        <f>HYPERLINK("https://twitter.com/ferbelaunzaran/status/1353713559193202689","1353713559193202689")</f>
        <v>1353713559193202689</v>
      </c>
      <c r="F97" s="12"/>
      <c r="G97" s="11" t="s">
        <v>935</v>
      </c>
      <c r="H97" s="12"/>
      <c r="I97" s="13">
        <v>89.0</v>
      </c>
      <c r="J97" s="13">
        <v>178.0</v>
      </c>
      <c r="K97" s="9" t="str">
        <f t="shared" si="29"/>
        <v>Twitter for iPhone</v>
      </c>
      <c r="L97" s="14">
        <v>283700.0</v>
      </c>
      <c r="M97" s="14">
        <v>20335.0</v>
      </c>
      <c r="N97" s="14">
        <v>1351.0</v>
      </c>
      <c r="O97" s="15" t="s">
        <v>24</v>
      </c>
      <c r="P97" s="16">
        <v>40223.883634259255</v>
      </c>
      <c r="Q97" s="10" t="s">
        <v>936</v>
      </c>
      <c r="R97" s="10" t="s">
        <v>937</v>
      </c>
      <c r="S97" s="11" t="s">
        <v>938</v>
      </c>
      <c r="T97" s="12"/>
      <c r="U97" s="17" t="str">
        <f>HYPERLINK("https://pbs.twimg.com/profile_images/1167575213753720832/GEvWQQkP.jpg","View")</f>
        <v>View</v>
      </c>
      <c r="V97" s="12"/>
      <c r="W97" s="12"/>
      <c r="X97" s="12"/>
      <c r="Y97" s="12"/>
      <c r="Z97" s="12"/>
    </row>
    <row r="98">
      <c r="A98" s="8">
        <v>44221.34055555555</v>
      </c>
      <c r="B98" s="9" t="str">
        <f>HYPERLINK("https://twitter.com/DenunciaenT","@DenunciaenT")</f>
        <v>@DenunciaenT</v>
      </c>
      <c r="C98" s="10" t="s">
        <v>939</v>
      </c>
      <c r="D98" s="10" t="s">
        <v>940</v>
      </c>
      <c r="E98" s="9" t="str">
        <f>HYPERLINK("https://twitter.com/DenunciaenT/status/1353706790685347840","1353706790685347840")</f>
        <v>1353706790685347840</v>
      </c>
      <c r="F98" s="11" t="s">
        <v>941</v>
      </c>
      <c r="G98" s="12"/>
      <c r="H98" s="12"/>
      <c r="I98" s="13">
        <v>0.0</v>
      </c>
      <c r="J98" s="13">
        <v>0.0</v>
      </c>
      <c r="K98" s="9" t="str">
        <f t="shared" ref="K98:K99" si="30">HYPERLINK("https://mobile.twitter.com","Twitter Web App")</f>
        <v>Twitter Web App</v>
      </c>
      <c r="L98" s="14">
        <v>0.0</v>
      </c>
      <c r="M98" s="14">
        <v>94.0</v>
      </c>
      <c r="N98" s="14">
        <v>0.0</v>
      </c>
      <c r="O98" s="19"/>
      <c r="P98" s="16">
        <v>44221.246620370366</v>
      </c>
      <c r="Q98" s="10" t="s">
        <v>942</v>
      </c>
      <c r="R98" s="10" t="s">
        <v>943</v>
      </c>
      <c r="S98" s="12"/>
      <c r="T98" s="12"/>
      <c r="U98" s="17" t="str">
        <f>HYPERLINK("https://pbs.twimg.com/profile_images/1353673785572921348/yUNj52az.jpg","View")</f>
        <v>View</v>
      </c>
      <c r="V98" s="12"/>
      <c r="W98" s="12"/>
      <c r="X98" s="12"/>
      <c r="Y98" s="12"/>
      <c r="Z98" s="12"/>
    </row>
    <row r="99">
      <c r="A99" s="8">
        <v>44221.30681712963</v>
      </c>
      <c r="B99" s="9" t="str">
        <f>HYPERLINK("https://twitter.com/jimmyfaro","@jimmyfaro")</f>
        <v>@jimmyfaro</v>
      </c>
      <c r="C99" s="10" t="s">
        <v>944</v>
      </c>
      <c r="D99" s="10" t="s">
        <v>945</v>
      </c>
      <c r="E99" s="9" t="str">
        <f>HYPERLINK("https://twitter.com/jimmyfaro/status/1353694564461273097","1353694564461273097")</f>
        <v>1353694564461273097</v>
      </c>
      <c r="F99" s="11" t="s">
        <v>946</v>
      </c>
      <c r="G99" s="12"/>
      <c r="H99" s="12"/>
      <c r="I99" s="13">
        <v>0.0</v>
      </c>
      <c r="J99" s="13">
        <v>0.0</v>
      </c>
      <c r="K99" s="9" t="str">
        <f t="shared" si="30"/>
        <v>Twitter Web App</v>
      </c>
      <c r="L99" s="14">
        <v>318.0</v>
      </c>
      <c r="M99" s="14">
        <v>3.0</v>
      </c>
      <c r="N99" s="14">
        <v>10.0</v>
      </c>
      <c r="O99" s="19"/>
      <c r="P99" s="16">
        <v>40417.899363425924</v>
      </c>
      <c r="Q99" s="10" t="s">
        <v>947</v>
      </c>
      <c r="R99" s="10" t="s">
        <v>948</v>
      </c>
      <c r="S99" s="12"/>
      <c r="T99" s="12"/>
      <c r="U99" s="17" t="str">
        <f>HYPERLINK("https://pbs.twimg.com/profile_images/2271789322/6rrh00lntre4c16bmnlj.jpeg","View")</f>
        <v>View</v>
      </c>
      <c r="V99" s="12"/>
      <c r="W99" s="12"/>
      <c r="X99" s="12"/>
      <c r="Y99" s="12"/>
      <c r="Z99" s="12"/>
    </row>
    <row r="100">
      <c r="A100" s="8">
        <v>44221.30608796296</v>
      </c>
      <c r="B100" s="9" t="str">
        <f>HYPERLINK("https://twitter.com/JJesusEsquivel","@JJesusEsquivel")</f>
        <v>@JJesusEsquivel</v>
      </c>
      <c r="C100" s="10" t="s">
        <v>949</v>
      </c>
      <c r="D100" s="10" t="s">
        <v>950</v>
      </c>
      <c r="E100" s="9" t="str">
        <f>HYPERLINK("https://twitter.com/JJesusEsquivel/status/1353694302627631104","1353694302627631104")</f>
        <v>1353694302627631104</v>
      </c>
      <c r="F100" s="11" t="s">
        <v>951</v>
      </c>
      <c r="G100" s="12"/>
      <c r="H100" s="12"/>
      <c r="I100" s="13">
        <v>1.0</v>
      </c>
      <c r="J100" s="13">
        <v>3.0</v>
      </c>
      <c r="K100" s="9" t="str">
        <f>HYPERLINK("http://www.twitlonger.com","Twitlonger")</f>
        <v>Twitlonger</v>
      </c>
      <c r="L100" s="14">
        <v>57298.0</v>
      </c>
      <c r="M100" s="14">
        <v>294.0</v>
      </c>
      <c r="N100" s="14">
        <v>313.0</v>
      </c>
      <c r="O100" s="19"/>
      <c r="P100" s="16">
        <v>41389.48137731481</v>
      </c>
      <c r="Q100" s="12"/>
      <c r="R100" s="10" t="s">
        <v>952</v>
      </c>
      <c r="S100" s="11" t="s">
        <v>953</v>
      </c>
      <c r="T100" s="12"/>
      <c r="U100" s="17" t="str">
        <f>HYPERLINK("https://pbs.twimg.com/profile_images/992171872874721280/Lv2N14h6.jpg","View")</f>
        <v>View</v>
      </c>
      <c r="V100" s="12"/>
      <c r="W100" s="12"/>
      <c r="X100" s="12"/>
      <c r="Y100" s="12"/>
      <c r="Z100" s="12"/>
    </row>
    <row r="101">
      <c r="A101" s="8">
        <v>44221.240069444444</v>
      </c>
      <c r="B101" s="9" t="str">
        <f>HYPERLINK("https://twitter.com/SOLQR","@SOLQR")</f>
        <v>@SOLQR</v>
      </c>
      <c r="C101" s="10" t="s">
        <v>600</v>
      </c>
      <c r="D101" s="10" t="s">
        <v>954</v>
      </c>
      <c r="E101" s="9" t="str">
        <f>HYPERLINK("https://twitter.com/SOLQR/status/1353670378426654721","1353670378426654721")</f>
        <v>1353670378426654721</v>
      </c>
      <c r="F101" s="11" t="s">
        <v>955</v>
      </c>
      <c r="G101" s="12"/>
      <c r="H101" s="12"/>
      <c r="I101" s="13">
        <v>0.0</v>
      </c>
      <c r="J101" s="13">
        <v>0.0</v>
      </c>
      <c r="K101" s="9" t="str">
        <f>HYPERLINK("https://mobile.twitter.com","Twitter Web App")</f>
        <v>Twitter Web App</v>
      </c>
      <c r="L101" s="14">
        <v>1095.0</v>
      </c>
      <c r="M101" s="14">
        <v>322.0</v>
      </c>
      <c r="N101" s="14">
        <v>24.0</v>
      </c>
      <c r="O101" s="19"/>
      <c r="P101" s="16">
        <v>40337.52915509259</v>
      </c>
      <c r="Q101" s="10" t="s">
        <v>603</v>
      </c>
      <c r="R101" s="10" t="s">
        <v>604</v>
      </c>
      <c r="S101" s="11" t="s">
        <v>605</v>
      </c>
      <c r="T101" s="12"/>
      <c r="U101" s="17" t="str">
        <f>HYPERLINK("https://pbs.twimg.com/profile_images/1328876879647006723/JwcN8Y-O.jpg","View")</f>
        <v>View</v>
      </c>
      <c r="V101" s="12"/>
      <c r="W101" s="12"/>
      <c r="X101" s="12"/>
      <c r="Y101" s="12"/>
      <c r="Z101" s="12"/>
    </row>
    <row r="102">
      <c r="A102" s="8">
        <v>44221.18523148148</v>
      </c>
      <c r="B102" s="9" t="str">
        <f>HYPERLINK("https://twitter.com/AcusoydenucioC","@AcusoydenucioC")</f>
        <v>@AcusoydenucioC</v>
      </c>
      <c r="C102" s="10" t="s">
        <v>686</v>
      </c>
      <c r="D102" s="10" t="s">
        <v>956</v>
      </c>
      <c r="E102" s="9" t="str">
        <f>HYPERLINK("https://twitter.com/AcusoydenucioC/status/1353650503973040129","1353650503973040129")</f>
        <v>1353650503973040129</v>
      </c>
      <c r="F102" s="12"/>
      <c r="G102" s="11" t="s">
        <v>957</v>
      </c>
      <c r="H102" s="12"/>
      <c r="I102" s="13">
        <v>0.0</v>
      </c>
      <c r="J102" s="13">
        <v>0.0</v>
      </c>
      <c r="K102" s="9" t="str">
        <f>HYPERLINK("http://twitter.com/#!/download/ipad","Twitter for iPad")</f>
        <v>Twitter for iPad</v>
      </c>
      <c r="L102" s="14">
        <v>820.0</v>
      </c>
      <c r="M102" s="14">
        <v>2520.0</v>
      </c>
      <c r="N102" s="14">
        <v>4.0</v>
      </c>
      <c r="O102" s="19"/>
      <c r="P102" s="16">
        <v>41593.447962962964</v>
      </c>
      <c r="Q102" s="10" t="s">
        <v>689</v>
      </c>
      <c r="R102" s="10" t="s">
        <v>690</v>
      </c>
      <c r="S102" s="12"/>
      <c r="T102" s="12"/>
      <c r="U102" s="17" t="str">
        <f>HYPERLINK("https://pbs.twimg.com/profile_images/1340871692730716166/uJ-K9jXO.jpg","View")</f>
        <v>View</v>
      </c>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sheetData>
  <hyperlinks>
    <hyperlink r:id="rId1" ref="F3"/>
    <hyperlink r:id="rId2" ref="G3"/>
    <hyperlink r:id="rId3" ref="F4"/>
    <hyperlink r:id="rId4" ref="G4"/>
    <hyperlink r:id="rId5" ref="F5"/>
    <hyperlink r:id="rId6" ref="F6"/>
    <hyperlink r:id="rId7" ref="G6"/>
    <hyperlink r:id="rId8" ref="F7"/>
    <hyperlink r:id="rId9" ref="S7"/>
    <hyperlink r:id="rId10" ref="F8"/>
    <hyperlink r:id="rId11" ref="G8"/>
    <hyperlink r:id="rId12" ref="F12"/>
    <hyperlink r:id="rId13" ref="S12"/>
    <hyperlink r:id="rId14" ref="F13"/>
    <hyperlink r:id="rId15" ref="G13"/>
    <hyperlink r:id="rId16" ref="F14"/>
    <hyperlink r:id="rId17" ref="G14"/>
    <hyperlink r:id="rId18" ref="S14"/>
    <hyperlink r:id="rId19" ref="F15"/>
    <hyperlink r:id="rId20" ref="G15"/>
    <hyperlink r:id="rId21" ref="G17"/>
    <hyperlink r:id="rId22" ref="S17"/>
    <hyperlink r:id="rId23" ref="F18"/>
    <hyperlink r:id="rId24" ref="G18"/>
    <hyperlink r:id="rId25" ref="F19"/>
    <hyperlink r:id="rId26" ref="F21"/>
    <hyperlink r:id="rId27" ref="F22"/>
    <hyperlink r:id="rId28" ref="S22"/>
    <hyperlink r:id="rId29" ref="G23"/>
    <hyperlink r:id="rId30" ref="G24"/>
    <hyperlink r:id="rId31" ref="F25"/>
    <hyperlink r:id="rId32" ref="F26"/>
    <hyperlink r:id="rId33" ref="G27"/>
    <hyperlink r:id="rId34" ref="G28"/>
    <hyperlink r:id="rId35" ref="S28"/>
    <hyperlink r:id="rId36" ref="G29"/>
    <hyperlink r:id="rId37" ref="G30"/>
    <hyperlink r:id="rId38" ref="G31"/>
    <hyperlink r:id="rId39" ref="F32"/>
    <hyperlink r:id="rId40" ref="G32"/>
    <hyperlink r:id="rId41" ref="G33"/>
    <hyperlink r:id="rId42" ref="F34"/>
    <hyperlink r:id="rId43" ref="G34"/>
    <hyperlink r:id="rId44" ref="S36"/>
    <hyperlink r:id="rId45" ref="S37"/>
    <hyperlink r:id="rId46" ref="F39"/>
    <hyperlink r:id="rId47" ref="G39"/>
    <hyperlink r:id="rId48" ref="F40"/>
    <hyperlink r:id="rId49" ref="F41"/>
    <hyperlink r:id="rId50" ref="F42"/>
    <hyperlink r:id="rId51" ref="G42"/>
    <hyperlink r:id="rId52" ref="F43"/>
    <hyperlink r:id="rId53" ref="F45"/>
    <hyperlink r:id="rId54" ref="G45"/>
    <hyperlink r:id="rId55" ref="F46"/>
    <hyperlink r:id="rId56" ref="G47"/>
    <hyperlink r:id="rId57" ref="F48"/>
    <hyperlink r:id="rId58" ref="G48"/>
    <hyperlink r:id="rId59" ref="G49"/>
    <hyperlink r:id="rId60" ref="F50"/>
    <hyperlink r:id="rId61" ref="S50"/>
    <hyperlink r:id="rId62" ref="F51"/>
    <hyperlink r:id="rId63" ref="G51"/>
    <hyperlink r:id="rId64" ref="S51"/>
    <hyperlink r:id="rId65" ref="F52"/>
    <hyperlink r:id="rId66" ref="G52"/>
    <hyperlink r:id="rId67" ref="G53"/>
    <hyperlink r:id="rId68" ref="S53"/>
    <hyperlink r:id="rId69" ref="G55"/>
    <hyperlink r:id="rId70" ref="F56"/>
    <hyperlink r:id="rId71" ref="G57"/>
    <hyperlink r:id="rId72" ref="F58"/>
    <hyperlink r:id="rId73" ref="G58"/>
    <hyperlink r:id="rId74" ref="F59"/>
    <hyperlink r:id="rId75" ref="F63"/>
    <hyperlink r:id="rId76" ref="G63"/>
    <hyperlink r:id="rId77" ref="F65"/>
    <hyperlink r:id="rId78" ref="S65"/>
    <hyperlink r:id="rId79" ref="G66"/>
    <hyperlink r:id="rId80" ref="S66"/>
    <hyperlink r:id="rId81" ref="G67"/>
    <hyperlink r:id="rId82" ref="S67"/>
    <hyperlink r:id="rId83" ref="F68"/>
    <hyperlink r:id="rId84" ref="S68"/>
    <hyperlink r:id="rId85" ref="F69"/>
    <hyperlink r:id="rId86" ref="G69"/>
    <hyperlink r:id="rId87" ref="F70"/>
    <hyperlink r:id="rId88" ref="G70"/>
    <hyperlink r:id="rId89" ref="F71"/>
    <hyperlink r:id="rId90" ref="G71"/>
    <hyperlink r:id="rId91" ref="G72"/>
    <hyperlink r:id="rId92" ref="F74"/>
    <hyperlink r:id="rId93" ref="S74"/>
    <hyperlink r:id="rId94" ref="F75"/>
    <hyperlink r:id="rId95" ref="G75"/>
    <hyperlink r:id="rId96" ref="F76"/>
    <hyperlink r:id="rId97" ref="S76"/>
    <hyperlink r:id="rId98" ref="F77"/>
    <hyperlink r:id="rId99" ref="G77"/>
    <hyperlink r:id="rId100" ref="G78"/>
    <hyperlink r:id="rId101" ref="G79"/>
    <hyperlink r:id="rId102" ref="G80"/>
    <hyperlink r:id="rId103" ref="F81"/>
    <hyperlink r:id="rId104" ref="F82"/>
    <hyperlink r:id="rId105" ref="G82"/>
    <hyperlink r:id="rId106" ref="G83"/>
    <hyperlink r:id="rId107" ref="S83"/>
    <hyperlink r:id="rId108" ref="F84"/>
    <hyperlink r:id="rId109" ref="G84"/>
    <hyperlink r:id="rId110" ref="G85"/>
    <hyperlink r:id="rId111" ref="F86"/>
    <hyperlink r:id="rId112" ref="G88"/>
    <hyperlink r:id="rId113" ref="G89"/>
    <hyperlink r:id="rId114" ref="F90"/>
    <hyperlink r:id="rId115" ref="S91"/>
    <hyperlink r:id="rId116" ref="G92"/>
    <hyperlink r:id="rId117" ref="S92"/>
    <hyperlink r:id="rId118" ref="F93"/>
    <hyperlink r:id="rId119" ref="F94"/>
    <hyperlink r:id="rId120" ref="G94"/>
    <hyperlink r:id="rId121" ref="G95"/>
    <hyperlink r:id="rId122" ref="S95"/>
    <hyperlink r:id="rId123" ref="G96"/>
    <hyperlink r:id="rId124" ref="G97"/>
    <hyperlink r:id="rId125" ref="S97"/>
    <hyperlink r:id="rId126" ref="F98"/>
    <hyperlink r:id="rId127" ref="F99"/>
    <hyperlink r:id="rId128" ref="F100"/>
    <hyperlink r:id="rId129" ref="S100"/>
    <hyperlink r:id="rId130" ref="F101"/>
    <hyperlink r:id="rId131" ref="S101"/>
    <hyperlink r:id="rId132" ref="G102"/>
  </hyperlinks>
  <drawing r:id="rId133"/>
  <tableParts count="1">
    <tablePart r:id="rId13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958</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44220.804502314815</v>
      </c>
      <c r="B3" s="9" t="str">
        <f t="shared" ref="B3:B22" si="1">HYPERLINK("https://twitter.com/EstefaniaVeloz","@EstefaniaVeloz")</f>
        <v>@EstefaniaVeloz</v>
      </c>
      <c r="C3" s="10" t="s">
        <v>959</v>
      </c>
      <c r="D3" s="10" t="s">
        <v>960</v>
      </c>
      <c r="E3" s="9" t="str">
        <f>HYPERLINK("https://twitter.com/EstefaniaVeloz/status/1353512531298557953","1353512531298557953")</f>
        <v>1353512531298557953</v>
      </c>
      <c r="F3" s="12"/>
      <c r="G3" s="12"/>
      <c r="H3" s="12"/>
      <c r="I3" s="13">
        <v>2321.0</v>
      </c>
      <c r="J3" s="13">
        <v>7830.0</v>
      </c>
      <c r="K3" s="9" t="str">
        <f t="shared" ref="K3:K22" si="2">HYPERLINK("http://twitter.com/download/iphone","Twitter for iPhone")</f>
        <v>Twitter for iPhone</v>
      </c>
      <c r="L3" s="14">
        <v>86421.0</v>
      </c>
      <c r="M3" s="14">
        <v>1331.0</v>
      </c>
      <c r="N3" s="14">
        <v>194.0</v>
      </c>
      <c r="O3" s="15" t="s">
        <v>24</v>
      </c>
      <c r="P3" s="16">
        <v>41035.9128125</v>
      </c>
      <c r="Q3" s="10" t="s">
        <v>478</v>
      </c>
      <c r="R3" s="10" t="s">
        <v>961</v>
      </c>
      <c r="S3" s="11" t="s">
        <v>962</v>
      </c>
      <c r="T3" s="12"/>
      <c r="U3" s="17" t="str">
        <f t="shared" ref="U3:U22" si="3">HYPERLINK("https://pbs.twimg.com/profile_images/1344112416431484931/6sYCA5Gs.jpg","View")</f>
        <v>View</v>
      </c>
      <c r="V3" s="12"/>
      <c r="W3" s="12"/>
      <c r="X3" s="12"/>
      <c r="Y3" s="12"/>
      <c r="Z3" s="12"/>
    </row>
    <row r="4">
      <c r="A4" s="8">
        <v>44220.54082175926</v>
      </c>
      <c r="B4" s="9" t="str">
        <f t="shared" si="1"/>
        <v>@EstefaniaVeloz</v>
      </c>
      <c r="C4" s="10" t="s">
        <v>959</v>
      </c>
      <c r="D4" s="10" t="s">
        <v>963</v>
      </c>
      <c r="E4" s="9" t="str">
        <f>HYPERLINK("https://twitter.com/EstefaniaVeloz/status/1353416976157310976","1353416976157310976")</f>
        <v>1353416976157310976</v>
      </c>
      <c r="F4" s="12"/>
      <c r="G4" s="11" t="s">
        <v>964</v>
      </c>
      <c r="H4" s="12"/>
      <c r="I4" s="13">
        <v>100.0</v>
      </c>
      <c r="J4" s="13">
        <v>2212.0</v>
      </c>
      <c r="K4" s="9" t="str">
        <f t="shared" si="2"/>
        <v>Twitter for iPhone</v>
      </c>
      <c r="L4" s="14">
        <v>86421.0</v>
      </c>
      <c r="M4" s="14">
        <v>1331.0</v>
      </c>
      <c r="N4" s="14">
        <v>194.0</v>
      </c>
      <c r="O4" s="15" t="s">
        <v>24</v>
      </c>
      <c r="P4" s="16">
        <v>41035.9128125</v>
      </c>
      <c r="Q4" s="10" t="s">
        <v>478</v>
      </c>
      <c r="R4" s="10" t="s">
        <v>961</v>
      </c>
      <c r="S4" s="11" t="s">
        <v>962</v>
      </c>
      <c r="T4" s="12"/>
      <c r="U4" s="17" t="str">
        <f t="shared" si="3"/>
        <v>View</v>
      </c>
      <c r="V4" s="12"/>
      <c r="W4" s="12"/>
      <c r="X4" s="12"/>
      <c r="Y4" s="12"/>
      <c r="Z4" s="12"/>
    </row>
    <row r="5">
      <c r="A5" s="8">
        <v>44219.67398148148</v>
      </c>
      <c r="B5" s="9" t="str">
        <f t="shared" si="1"/>
        <v>@EstefaniaVeloz</v>
      </c>
      <c r="C5" s="10" t="s">
        <v>959</v>
      </c>
      <c r="D5" s="10" t="s">
        <v>965</v>
      </c>
      <c r="E5" s="9" t="str">
        <f>HYPERLINK("https://twitter.com/EstefaniaVeloz/status/1353102847009820679","1353102847009820679")</f>
        <v>1353102847009820679</v>
      </c>
      <c r="F5" s="12"/>
      <c r="G5" s="12"/>
      <c r="H5" s="12"/>
      <c r="I5" s="13">
        <v>633.0</v>
      </c>
      <c r="J5" s="13">
        <v>3279.0</v>
      </c>
      <c r="K5" s="9" t="str">
        <f t="shared" si="2"/>
        <v>Twitter for iPhone</v>
      </c>
      <c r="L5" s="14">
        <v>86421.0</v>
      </c>
      <c r="M5" s="14">
        <v>1331.0</v>
      </c>
      <c r="N5" s="14">
        <v>194.0</v>
      </c>
      <c r="O5" s="15" t="s">
        <v>24</v>
      </c>
      <c r="P5" s="16">
        <v>41035.9128125</v>
      </c>
      <c r="Q5" s="10" t="s">
        <v>478</v>
      </c>
      <c r="R5" s="10" t="s">
        <v>961</v>
      </c>
      <c r="S5" s="11" t="s">
        <v>962</v>
      </c>
      <c r="T5" s="12"/>
      <c r="U5" s="17" t="str">
        <f t="shared" si="3"/>
        <v>View</v>
      </c>
      <c r="V5" s="12"/>
      <c r="W5" s="12"/>
      <c r="X5" s="12"/>
      <c r="Y5" s="12"/>
      <c r="Z5" s="12"/>
    </row>
    <row r="6">
      <c r="A6" s="8">
        <v>44217.862708333334</v>
      </c>
      <c r="B6" s="9" t="str">
        <f t="shared" si="1"/>
        <v>@EstefaniaVeloz</v>
      </c>
      <c r="C6" s="10" t="s">
        <v>959</v>
      </c>
      <c r="D6" s="10" t="s">
        <v>966</v>
      </c>
      <c r="E6" s="9" t="str">
        <f>HYPERLINK("https://twitter.com/EstefaniaVeloz/status/1352446463272484864","1352446463272484864")</f>
        <v>1352446463272484864</v>
      </c>
      <c r="F6" s="12"/>
      <c r="G6" s="12"/>
      <c r="H6" s="12"/>
      <c r="I6" s="13">
        <v>1849.0</v>
      </c>
      <c r="J6" s="13">
        <v>6772.0</v>
      </c>
      <c r="K6" s="9" t="str">
        <f t="shared" si="2"/>
        <v>Twitter for iPhone</v>
      </c>
      <c r="L6" s="14">
        <v>86421.0</v>
      </c>
      <c r="M6" s="14">
        <v>1331.0</v>
      </c>
      <c r="N6" s="14">
        <v>194.0</v>
      </c>
      <c r="O6" s="15" t="s">
        <v>24</v>
      </c>
      <c r="P6" s="16">
        <v>41035.9128125</v>
      </c>
      <c r="Q6" s="10" t="s">
        <v>478</v>
      </c>
      <c r="R6" s="10" t="s">
        <v>961</v>
      </c>
      <c r="S6" s="11" t="s">
        <v>962</v>
      </c>
      <c r="T6" s="12"/>
      <c r="U6" s="17" t="str">
        <f t="shared" si="3"/>
        <v>View</v>
      </c>
      <c r="V6" s="12"/>
      <c r="W6" s="12"/>
      <c r="X6" s="12"/>
      <c r="Y6" s="12"/>
      <c r="Z6" s="12"/>
    </row>
    <row r="7">
      <c r="A7" s="8">
        <v>44217.8187037037</v>
      </c>
      <c r="B7" s="9" t="str">
        <f t="shared" si="1"/>
        <v>@EstefaniaVeloz</v>
      </c>
      <c r="C7" s="10" t="s">
        <v>959</v>
      </c>
      <c r="D7" s="10" t="s">
        <v>967</v>
      </c>
      <c r="E7" s="9" t="str">
        <f>HYPERLINK("https://twitter.com/EstefaniaVeloz/status/1352430514381197312","1352430514381197312")</f>
        <v>1352430514381197312</v>
      </c>
      <c r="F7" s="11" t="s">
        <v>968</v>
      </c>
      <c r="G7" s="12"/>
      <c r="H7" s="12"/>
      <c r="I7" s="13">
        <v>25.0</v>
      </c>
      <c r="J7" s="13">
        <v>150.0</v>
      </c>
      <c r="K7" s="9" t="str">
        <f t="shared" si="2"/>
        <v>Twitter for iPhone</v>
      </c>
      <c r="L7" s="14">
        <v>86421.0</v>
      </c>
      <c r="M7" s="14">
        <v>1331.0</v>
      </c>
      <c r="N7" s="14">
        <v>194.0</v>
      </c>
      <c r="O7" s="15" t="s">
        <v>24</v>
      </c>
      <c r="P7" s="16">
        <v>41035.9128125</v>
      </c>
      <c r="Q7" s="10" t="s">
        <v>478</v>
      </c>
      <c r="R7" s="10" t="s">
        <v>961</v>
      </c>
      <c r="S7" s="11" t="s">
        <v>962</v>
      </c>
      <c r="T7" s="12"/>
      <c r="U7" s="17" t="str">
        <f t="shared" si="3"/>
        <v>View</v>
      </c>
      <c r="V7" s="12"/>
      <c r="W7" s="12"/>
      <c r="X7" s="12"/>
      <c r="Y7" s="12"/>
      <c r="Z7" s="12"/>
    </row>
    <row r="8">
      <c r="A8" s="8">
        <v>44217.80471064815</v>
      </c>
      <c r="B8" s="9" t="str">
        <f t="shared" si="1"/>
        <v>@EstefaniaVeloz</v>
      </c>
      <c r="C8" s="10" t="s">
        <v>959</v>
      </c>
      <c r="D8" s="10" t="s">
        <v>969</v>
      </c>
      <c r="E8" s="9" t="str">
        <f>HYPERLINK("https://twitter.com/EstefaniaVeloz/status/1352425443492818950","1352425443492818950")</f>
        <v>1352425443492818950</v>
      </c>
      <c r="F8" s="11" t="s">
        <v>970</v>
      </c>
      <c r="G8" s="11" t="s">
        <v>971</v>
      </c>
      <c r="H8" s="12"/>
      <c r="I8" s="13">
        <v>36.0</v>
      </c>
      <c r="J8" s="13">
        <v>134.0</v>
      </c>
      <c r="K8" s="9" t="str">
        <f t="shared" si="2"/>
        <v>Twitter for iPhone</v>
      </c>
      <c r="L8" s="14">
        <v>86421.0</v>
      </c>
      <c r="M8" s="14">
        <v>1331.0</v>
      </c>
      <c r="N8" s="14">
        <v>194.0</v>
      </c>
      <c r="O8" s="15" t="s">
        <v>24</v>
      </c>
      <c r="P8" s="16">
        <v>41035.9128125</v>
      </c>
      <c r="Q8" s="10" t="s">
        <v>478</v>
      </c>
      <c r="R8" s="10" t="s">
        <v>961</v>
      </c>
      <c r="S8" s="11" t="s">
        <v>962</v>
      </c>
      <c r="T8" s="12"/>
      <c r="U8" s="17" t="str">
        <f t="shared" si="3"/>
        <v>View</v>
      </c>
      <c r="V8" s="12"/>
      <c r="W8" s="12"/>
      <c r="X8" s="12"/>
      <c r="Y8" s="12"/>
      <c r="Z8" s="12"/>
    </row>
    <row r="9">
      <c r="A9" s="8">
        <v>44217.64644675926</v>
      </c>
      <c r="B9" s="9" t="str">
        <f t="shared" si="1"/>
        <v>@EstefaniaVeloz</v>
      </c>
      <c r="C9" s="10" t="s">
        <v>959</v>
      </c>
      <c r="D9" s="10" t="s">
        <v>972</v>
      </c>
      <c r="E9" s="9" t="str">
        <f>HYPERLINK("https://twitter.com/EstefaniaVeloz/status/1352368091150299136","1352368091150299136")</f>
        <v>1352368091150299136</v>
      </c>
      <c r="F9" s="12"/>
      <c r="G9" s="12"/>
      <c r="H9" s="12"/>
      <c r="I9" s="13">
        <v>655.0</v>
      </c>
      <c r="J9" s="13">
        <v>2810.0</v>
      </c>
      <c r="K9" s="9" t="str">
        <f t="shared" si="2"/>
        <v>Twitter for iPhone</v>
      </c>
      <c r="L9" s="14">
        <v>86421.0</v>
      </c>
      <c r="M9" s="14">
        <v>1331.0</v>
      </c>
      <c r="N9" s="14">
        <v>194.0</v>
      </c>
      <c r="O9" s="15" t="s">
        <v>24</v>
      </c>
      <c r="P9" s="16">
        <v>41035.9128125</v>
      </c>
      <c r="Q9" s="10" t="s">
        <v>478</v>
      </c>
      <c r="R9" s="10" t="s">
        <v>961</v>
      </c>
      <c r="S9" s="11" t="s">
        <v>962</v>
      </c>
      <c r="T9" s="12"/>
      <c r="U9" s="17" t="str">
        <f t="shared" si="3"/>
        <v>View</v>
      </c>
      <c r="V9" s="12"/>
      <c r="W9" s="12"/>
      <c r="X9" s="12"/>
      <c r="Y9" s="12"/>
      <c r="Z9" s="12"/>
    </row>
    <row r="10">
      <c r="A10" s="8">
        <v>44217.613750000004</v>
      </c>
      <c r="B10" s="9" t="str">
        <f t="shared" si="1"/>
        <v>@EstefaniaVeloz</v>
      </c>
      <c r="C10" s="10" t="s">
        <v>959</v>
      </c>
      <c r="D10" s="10" t="s">
        <v>973</v>
      </c>
      <c r="E10" s="9" t="str">
        <f>HYPERLINK("https://twitter.com/EstefaniaVeloz/status/1352356242686001155","1352356242686001155")</f>
        <v>1352356242686001155</v>
      </c>
      <c r="F10" s="11" t="s">
        <v>974</v>
      </c>
      <c r="G10" s="11" t="s">
        <v>975</v>
      </c>
      <c r="H10" s="12"/>
      <c r="I10" s="13">
        <v>65.0</v>
      </c>
      <c r="J10" s="13">
        <v>179.0</v>
      </c>
      <c r="K10" s="9" t="str">
        <f t="shared" si="2"/>
        <v>Twitter for iPhone</v>
      </c>
      <c r="L10" s="14">
        <v>86421.0</v>
      </c>
      <c r="M10" s="14">
        <v>1331.0</v>
      </c>
      <c r="N10" s="14">
        <v>194.0</v>
      </c>
      <c r="O10" s="15" t="s">
        <v>24</v>
      </c>
      <c r="P10" s="16">
        <v>41035.9128125</v>
      </c>
      <c r="Q10" s="10" t="s">
        <v>478</v>
      </c>
      <c r="R10" s="10" t="s">
        <v>961</v>
      </c>
      <c r="S10" s="11" t="s">
        <v>962</v>
      </c>
      <c r="T10" s="12"/>
      <c r="U10" s="17" t="str">
        <f t="shared" si="3"/>
        <v>View</v>
      </c>
      <c r="V10" s="12"/>
      <c r="W10" s="12"/>
      <c r="X10" s="12"/>
      <c r="Y10" s="12"/>
      <c r="Z10" s="12"/>
    </row>
    <row r="11">
      <c r="A11" s="8">
        <v>44217.591736111106</v>
      </c>
      <c r="B11" s="9" t="str">
        <f t="shared" si="1"/>
        <v>@EstefaniaVeloz</v>
      </c>
      <c r="C11" s="10" t="s">
        <v>959</v>
      </c>
      <c r="D11" s="10" t="s">
        <v>976</v>
      </c>
      <c r="E11" s="9" t="str">
        <f>HYPERLINK("https://twitter.com/EstefaniaVeloz/status/1352348265887498244","1352348265887498244")</f>
        <v>1352348265887498244</v>
      </c>
      <c r="F11" s="12"/>
      <c r="G11" s="12"/>
      <c r="H11" s="12"/>
      <c r="I11" s="13">
        <v>266.0</v>
      </c>
      <c r="J11" s="13">
        <v>948.0</v>
      </c>
      <c r="K11" s="9" t="str">
        <f t="shared" si="2"/>
        <v>Twitter for iPhone</v>
      </c>
      <c r="L11" s="14">
        <v>86421.0</v>
      </c>
      <c r="M11" s="14">
        <v>1331.0</v>
      </c>
      <c r="N11" s="14">
        <v>194.0</v>
      </c>
      <c r="O11" s="15" t="s">
        <v>24</v>
      </c>
      <c r="P11" s="16">
        <v>41035.9128125</v>
      </c>
      <c r="Q11" s="10" t="s">
        <v>478</v>
      </c>
      <c r="R11" s="10" t="s">
        <v>961</v>
      </c>
      <c r="S11" s="11" t="s">
        <v>962</v>
      </c>
      <c r="T11" s="12"/>
      <c r="U11" s="17" t="str">
        <f t="shared" si="3"/>
        <v>View</v>
      </c>
      <c r="V11" s="12"/>
      <c r="W11" s="12"/>
      <c r="X11" s="12"/>
      <c r="Y11" s="12"/>
      <c r="Z11" s="12"/>
    </row>
    <row r="12">
      <c r="A12" s="8">
        <v>44217.588425925926</v>
      </c>
      <c r="B12" s="9" t="str">
        <f t="shared" si="1"/>
        <v>@EstefaniaVeloz</v>
      </c>
      <c r="C12" s="10" t="s">
        <v>959</v>
      </c>
      <c r="D12" s="10" t="s">
        <v>977</v>
      </c>
      <c r="E12" s="9" t="str">
        <f>HYPERLINK("https://twitter.com/EstefaniaVeloz/status/1352347065616052225","1352347065616052225")</f>
        <v>1352347065616052225</v>
      </c>
      <c r="F12" s="11" t="s">
        <v>978</v>
      </c>
      <c r="G12" s="12"/>
      <c r="H12" s="12"/>
      <c r="I12" s="13">
        <v>8.0</v>
      </c>
      <c r="J12" s="13">
        <v>46.0</v>
      </c>
      <c r="K12" s="9" t="str">
        <f t="shared" si="2"/>
        <v>Twitter for iPhone</v>
      </c>
      <c r="L12" s="14">
        <v>86421.0</v>
      </c>
      <c r="M12" s="14">
        <v>1331.0</v>
      </c>
      <c r="N12" s="14">
        <v>194.0</v>
      </c>
      <c r="O12" s="15" t="s">
        <v>24</v>
      </c>
      <c r="P12" s="16">
        <v>41035.9128125</v>
      </c>
      <c r="Q12" s="10" t="s">
        <v>478</v>
      </c>
      <c r="R12" s="10" t="s">
        <v>961</v>
      </c>
      <c r="S12" s="11" t="s">
        <v>962</v>
      </c>
      <c r="T12" s="12"/>
      <c r="U12" s="17" t="str">
        <f t="shared" si="3"/>
        <v>View</v>
      </c>
      <c r="V12" s="12"/>
      <c r="W12" s="12"/>
      <c r="X12" s="12"/>
      <c r="Y12" s="12"/>
      <c r="Z12" s="12"/>
    </row>
    <row r="13">
      <c r="A13" s="8">
        <v>44217.585486111115</v>
      </c>
      <c r="B13" s="9" t="str">
        <f t="shared" si="1"/>
        <v>@EstefaniaVeloz</v>
      </c>
      <c r="C13" s="10" t="s">
        <v>959</v>
      </c>
      <c r="D13" s="10" t="s">
        <v>979</v>
      </c>
      <c r="E13" s="9" t="str">
        <f>HYPERLINK("https://twitter.com/EstefaniaVeloz/status/1352346002141884417","1352346002141884417")</f>
        <v>1352346002141884417</v>
      </c>
      <c r="F13" s="12"/>
      <c r="G13" s="12"/>
      <c r="H13" s="12"/>
      <c r="I13" s="13">
        <v>1377.0</v>
      </c>
      <c r="J13" s="13">
        <v>3779.0</v>
      </c>
      <c r="K13" s="9" t="str">
        <f t="shared" si="2"/>
        <v>Twitter for iPhone</v>
      </c>
      <c r="L13" s="14">
        <v>86421.0</v>
      </c>
      <c r="M13" s="14">
        <v>1331.0</v>
      </c>
      <c r="N13" s="14">
        <v>194.0</v>
      </c>
      <c r="O13" s="15" t="s">
        <v>24</v>
      </c>
      <c r="P13" s="16">
        <v>41035.9128125</v>
      </c>
      <c r="Q13" s="10" t="s">
        <v>478</v>
      </c>
      <c r="R13" s="10" t="s">
        <v>961</v>
      </c>
      <c r="S13" s="11" t="s">
        <v>962</v>
      </c>
      <c r="T13" s="12"/>
      <c r="U13" s="17" t="str">
        <f t="shared" si="3"/>
        <v>View</v>
      </c>
      <c r="V13" s="12"/>
      <c r="W13" s="12"/>
      <c r="X13" s="12"/>
      <c r="Y13" s="12"/>
      <c r="Z13" s="12"/>
    </row>
    <row r="14">
      <c r="A14" s="8">
        <v>44217.57167824074</v>
      </c>
      <c r="B14" s="9" t="str">
        <f t="shared" si="1"/>
        <v>@EstefaniaVeloz</v>
      </c>
      <c r="C14" s="10" t="s">
        <v>959</v>
      </c>
      <c r="D14" s="10" t="s">
        <v>980</v>
      </c>
      <c r="E14" s="9" t="str">
        <f>HYPERLINK("https://twitter.com/EstefaniaVeloz/status/1352340994935709696","1352340994935709696")</f>
        <v>1352340994935709696</v>
      </c>
      <c r="F14" s="12"/>
      <c r="G14" s="12"/>
      <c r="H14" s="12"/>
      <c r="I14" s="13">
        <v>485.0</v>
      </c>
      <c r="J14" s="13">
        <v>1509.0</v>
      </c>
      <c r="K14" s="9" t="str">
        <f t="shared" si="2"/>
        <v>Twitter for iPhone</v>
      </c>
      <c r="L14" s="14">
        <v>86421.0</v>
      </c>
      <c r="M14" s="14">
        <v>1331.0</v>
      </c>
      <c r="N14" s="14">
        <v>194.0</v>
      </c>
      <c r="O14" s="15" t="s">
        <v>24</v>
      </c>
      <c r="P14" s="16">
        <v>41035.9128125</v>
      </c>
      <c r="Q14" s="10" t="s">
        <v>478</v>
      </c>
      <c r="R14" s="10" t="s">
        <v>961</v>
      </c>
      <c r="S14" s="11" t="s">
        <v>962</v>
      </c>
      <c r="T14" s="12"/>
      <c r="U14" s="17" t="str">
        <f t="shared" si="3"/>
        <v>View</v>
      </c>
      <c r="V14" s="12"/>
      <c r="W14" s="12"/>
      <c r="X14" s="12"/>
      <c r="Y14" s="12"/>
      <c r="Z14" s="12"/>
    </row>
    <row r="15">
      <c r="A15" s="8">
        <v>44217.54790509259</v>
      </c>
      <c r="B15" s="9" t="str">
        <f t="shared" si="1"/>
        <v>@EstefaniaVeloz</v>
      </c>
      <c r="C15" s="10" t="s">
        <v>959</v>
      </c>
      <c r="D15" s="10" t="s">
        <v>981</v>
      </c>
      <c r="E15" s="9" t="str">
        <f>HYPERLINK("https://twitter.com/EstefaniaVeloz/status/1352332381626232839","1352332381626232839")</f>
        <v>1352332381626232839</v>
      </c>
      <c r="F15" s="12"/>
      <c r="G15" s="12"/>
      <c r="H15" s="12"/>
      <c r="I15" s="13">
        <v>554.0</v>
      </c>
      <c r="J15" s="13">
        <v>2169.0</v>
      </c>
      <c r="K15" s="9" t="str">
        <f t="shared" si="2"/>
        <v>Twitter for iPhone</v>
      </c>
      <c r="L15" s="14">
        <v>86421.0</v>
      </c>
      <c r="M15" s="14">
        <v>1331.0</v>
      </c>
      <c r="N15" s="14">
        <v>194.0</v>
      </c>
      <c r="O15" s="15" t="s">
        <v>24</v>
      </c>
      <c r="P15" s="16">
        <v>41035.9128125</v>
      </c>
      <c r="Q15" s="10" t="s">
        <v>478</v>
      </c>
      <c r="R15" s="10" t="s">
        <v>961</v>
      </c>
      <c r="S15" s="11" t="s">
        <v>962</v>
      </c>
      <c r="T15" s="12"/>
      <c r="U15" s="17" t="str">
        <f t="shared" si="3"/>
        <v>View</v>
      </c>
      <c r="V15" s="12"/>
      <c r="W15" s="12"/>
      <c r="X15" s="12"/>
      <c r="Y15" s="12"/>
      <c r="Z15" s="12"/>
    </row>
    <row r="16">
      <c r="A16" s="8">
        <v>44217.384780092594</v>
      </c>
      <c r="B16" s="9" t="str">
        <f t="shared" si="1"/>
        <v>@EstefaniaVeloz</v>
      </c>
      <c r="C16" s="10" t="s">
        <v>959</v>
      </c>
      <c r="D16" s="10" t="s">
        <v>982</v>
      </c>
      <c r="E16" s="9" t="str">
        <f>HYPERLINK("https://twitter.com/EstefaniaVeloz/status/1352273268942598144","1352273268942598144")</f>
        <v>1352273268942598144</v>
      </c>
      <c r="F16" s="10" t="s">
        <v>983</v>
      </c>
      <c r="G16" s="12"/>
      <c r="H16" s="12"/>
      <c r="I16" s="13">
        <v>7.0</v>
      </c>
      <c r="J16" s="13">
        <v>99.0</v>
      </c>
      <c r="K16" s="9" t="str">
        <f t="shared" si="2"/>
        <v>Twitter for iPhone</v>
      </c>
      <c r="L16" s="14">
        <v>86421.0</v>
      </c>
      <c r="M16" s="14">
        <v>1331.0</v>
      </c>
      <c r="N16" s="14">
        <v>194.0</v>
      </c>
      <c r="O16" s="15" t="s">
        <v>24</v>
      </c>
      <c r="P16" s="16">
        <v>41035.9128125</v>
      </c>
      <c r="Q16" s="10" t="s">
        <v>478</v>
      </c>
      <c r="R16" s="10" t="s">
        <v>961</v>
      </c>
      <c r="S16" s="11" t="s">
        <v>962</v>
      </c>
      <c r="T16" s="12"/>
      <c r="U16" s="17" t="str">
        <f t="shared" si="3"/>
        <v>View</v>
      </c>
      <c r="V16" s="12"/>
      <c r="W16" s="12"/>
      <c r="X16" s="12"/>
      <c r="Y16" s="12"/>
      <c r="Z16" s="12"/>
    </row>
    <row r="17">
      <c r="A17" s="8">
        <v>44217.359201388885</v>
      </c>
      <c r="B17" s="9" t="str">
        <f t="shared" si="1"/>
        <v>@EstefaniaVeloz</v>
      </c>
      <c r="C17" s="10" t="s">
        <v>959</v>
      </c>
      <c r="D17" s="10" t="s">
        <v>984</v>
      </c>
      <c r="E17" s="9" t="str">
        <f>HYPERLINK("https://twitter.com/EstefaniaVeloz/status/1352263995772702722","1352263995772702722")</f>
        <v>1352263995772702722</v>
      </c>
      <c r="F17" s="10" t="s">
        <v>985</v>
      </c>
      <c r="G17" s="11" t="s">
        <v>986</v>
      </c>
      <c r="H17" s="12"/>
      <c r="I17" s="13">
        <v>13.0</v>
      </c>
      <c r="J17" s="13">
        <v>55.0</v>
      </c>
      <c r="K17" s="9" t="str">
        <f t="shared" si="2"/>
        <v>Twitter for iPhone</v>
      </c>
      <c r="L17" s="14">
        <v>86421.0</v>
      </c>
      <c r="M17" s="14">
        <v>1331.0</v>
      </c>
      <c r="N17" s="14">
        <v>194.0</v>
      </c>
      <c r="O17" s="15" t="s">
        <v>24</v>
      </c>
      <c r="P17" s="16">
        <v>41035.9128125</v>
      </c>
      <c r="Q17" s="10" t="s">
        <v>478</v>
      </c>
      <c r="R17" s="10" t="s">
        <v>961</v>
      </c>
      <c r="S17" s="11" t="s">
        <v>962</v>
      </c>
      <c r="T17" s="12"/>
      <c r="U17" s="17" t="str">
        <f t="shared" si="3"/>
        <v>View</v>
      </c>
      <c r="V17" s="12"/>
      <c r="W17" s="12"/>
      <c r="X17" s="12"/>
      <c r="Y17" s="12"/>
      <c r="Z17" s="12"/>
    </row>
    <row r="18">
      <c r="A18" s="8">
        <v>44217.32642361111</v>
      </c>
      <c r="B18" s="9" t="str">
        <f t="shared" si="1"/>
        <v>@EstefaniaVeloz</v>
      </c>
      <c r="C18" s="10" t="s">
        <v>959</v>
      </c>
      <c r="D18" s="10" t="s">
        <v>987</v>
      </c>
      <c r="E18" s="9" t="str">
        <f>HYPERLINK("https://twitter.com/EstefaniaVeloz/status/1352252120846659587","1352252120846659587")</f>
        <v>1352252120846659587</v>
      </c>
      <c r="F18" s="12"/>
      <c r="G18" s="12"/>
      <c r="H18" s="12"/>
      <c r="I18" s="13">
        <v>176.0</v>
      </c>
      <c r="J18" s="13">
        <v>1035.0</v>
      </c>
      <c r="K18" s="9" t="str">
        <f t="shared" si="2"/>
        <v>Twitter for iPhone</v>
      </c>
      <c r="L18" s="14">
        <v>86421.0</v>
      </c>
      <c r="M18" s="14">
        <v>1331.0</v>
      </c>
      <c r="N18" s="14">
        <v>194.0</v>
      </c>
      <c r="O18" s="15" t="s">
        <v>24</v>
      </c>
      <c r="P18" s="16">
        <v>41035.9128125</v>
      </c>
      <c r="Q18" s="10" t="s">
        <v>478</v>
      </c>
      <c r="R18" s="10" t="s">
        <v>961</v>
      </c>
      <c r="S18" s="11" t="s">
        <v>962</v>
      </c>
      <c r="T18" s="12"/>
      <c r="U18" s="17" t="str">
        <f t="shared" si="3"/>
        <v>View</v>
      </c>
      <c r="V18" s="12"/>
      <c r="W18" s="12"/>
      <c r="X18" s="12"/>
      <c r="Y18" s="12"/>
      <c r="Z18" s="12"/>
    </row>
    <row r="19">
      <c r="A19" s="8">
        <v>44216.744988425926</v>
      </c>
      <c r="B19" s="9" t="str">
        <f t="shared" si="1"/>
        <v>@EstefaniaVeloz</v>
      </c>
      <c r="C19" s="10" t="s">
        <v>959</v>
      </c>
      <c r="D19" s="10" t="s">
        <v>988</v>
      </c>
      <c r="E19" s="9" t="str">
        <f>HYPERLINK("https://twitter.com/EstefaniaVeloz/status/1352041415006674944","1352041415006674944")</f>
        <v>1352041415006674944</v>
      </c>
      <c r="F19" s="12"/>
      <c r="G19" s="12"/>
      <c r="H19" s="12"/>
      <c r="I19" s="13">
        <v>1081.0</v>
      </c>
      <c r="J19" s="13">
        <v>5100.0</v>
      </c>
      <c r="K19" s="9" t="str">
        <f t="shared" si="2"/>
        <v>Twitter for iPhone</v>
      </c>
      <c r="L19" s="14">
        <v>86421.0</v>
      </c>
      <c r="M19" s="14">
        <v>1331.0</v>
      </c>
      <c r="N19" s="14">
        <v>194.0</v>
      </c>
      <c r="O19" s="15" t="s">
        <v>24</v>
      </c>
      <c r="P19" s="16">
        <v>41035.9128125</v>
      </c>
      <c r="Q19" s="10" t="s">
        <v>478</v>
      </c>
      <c r="R19" s="10" t="s">
        <v>961</v>
      </c>
      <c r="S19" s="11" t="s">
        <v>962</v>
      </c>
      <c r="T19" s="12"/>
      <c r="U19" s="17" t="str">
        <f t="shared" si="3"/>
        <v>View</v>
      </c>
      <c r="V19" s="12"/>
      <c r="W19" s="12"/>
      <c r="X19" s="12"/>
      <c r="Y19" s="12"/>
      <c r="Z19" s="12"/>
    </row>
    <row r="20">
      <c r="A20" s="8">
        <v>44216.4657175926</v>
      </c>
      <c r="B20" s="9" t="str">
        <f t="shared" si="1"/>
        <v>@EstefaniaVeloz</v>
      </c>
      <c r="C20" s="10" t="s">
        <v>959</v>
      </c>
      <c r="D20" s="10" t="s">
        <v>989</v>
      </c>
      <c r="E20" s="9" t="str">
        <f>HYPERLINK("https://twitter.com/EstefaniaVeloz/status/1351940209454157834","1351940209454157834")</f>
        <v>1351940209454157834</v>
      </c>
      <c r="F20" s="12"/>
      <c r="G20" s="12"/>
      <c r="H20" s="12"/>
      <c r="I20" s="13">
        <v>1724.0</v>
      </c>
      <c r="J20" s="13">
        <v>5857.0</v>
      </c>
      <c r="K20" s="9" t="str">
        <f t="shared" si="2"/>
        <v>Twitter for iPhone</v>
      </c>
      <c r="L20" s="14">
        <v>86421.0</v>
      </c>
      <c r="M20" s="14">
        <v>1331.0</v>
      </c>
      <c r="N20" s="14">
        <v>194.0</v>
      </c>
      <c r="O20" s="15" t="s">
        <v>24</v>
      </c>
      <c r="P20" s="16">
        <v>41035.9128125</v>
      </c>
      <c r="Q20" s="10" t="s">
        <v>478</v>
      </c>
      <c r="R20" s="10" t="s">
        <v>961</v>
      </c>
      <c r="S20" s="11" t="s">
        <v>962</v>
      </c>
      <c r="T20" s="12"/>
      <c r="U20" s="17" t="str">
        <f t="shared" si="3"/>
        <v>View</v>
      </c>
      <c r="V20" s="12"/>
      <c r="W20" s="12"/>
      <c r="X20" s="12"/>
      <c r="Y20" s="12"/>
      <c r="Z20" s="12"/>
    </row>
    <row r="21">
      <c r="A21" s="8">
        <v>44216.3654050926</v>
      </c>
      <c r="B21" s="9" t="str">
        <f t="shared" si="1"/>
        <v>@EstefaniaVeloz</v>
      </c>
      <c r="C21" s="10" t="s">
        <v>959</v>
      </c>
      <c r="D21" s="10" t="s">
        <v>990</v>
      </c>
      <c r="E21" s="9" t="str">
        <f>HYPERLINK("https://twitter.com/EstefaniaVeloz/status/1351903857593475077","1351903857593475077")</f>
        <v>1351903857593475077</v>
      </c>
      <c r="F21" s="10" t="s">
        <v>991</v>
      </c>
      <c r="G21" s="11" t="s">
        <v>992</v>
      </c>
      <c r="H21" s="12"/>
      <c r="I21" s="13">
        <v>24.0</v>
      </c>
      <c r="J21" s="13">
        <v>137.0</v>
      </c>
      <c r="K21" s="9" t="str">
        <f t="shared" si="2"/>
        <v>Twitter for iPhone</v>
      </c>
      <c r="L21" s="14">
        <v>86421.0</v>
      </c>
      <c r="M21" s="14">
        <v>1331.0</v>
      </c>
      <c r="N21" s="14">
        <v>194.0</v>
      </c>
      <c r="O21" s="15" t="s">
        <v>24</v>
      </c>
      <c r="P21" s="16">
        <v>41035.9128125</v>
      </c>
      <c r="Q21" s="10" t="s">
        <v>478</v>
      </c>
      <c r="R21" s="10" t="s">
        <v>961</v>
      </c>
      <c r="S21" s="11" t="s">
        <v>962</v>
      </c>
      <c r="T21" s="12"/>
      <c r="U21" s="17" t="str">
        <f t="shared" si="3"/>
        <v>View</v>
      </c>
      <c r="V21" s="12"/>
      <c r="W21" s="12"/>
      <c r="X21" s="12"/>
      <c r="Y21" s="12"/>
      <c r="Z21" s="12"/>
    </row>
    <row r="22">
      <c r="A22" s="8">
        <v>44216.36106481482</v>
      </c>
      <c r="B22" s="9" t="str">
        <f t="shared" si="1"/>
        <v>@EstefaniaVeloz</v>
      </c>
      <c r="C22" s="10" t="s">
        <v>959</v>
      </c>
      <c r="D22" s="10" t="s">
        <v>993</v>
      </c>
      <c r="E22" s="9" t="str">
        <f>HYPERLINK("https://twitter.com/EstefaniaVeloz/status/1351902286000386055","1351902286000386055")</f>
        <v>1351902286000386055</v>
      </c>
      <c r="F22" s="10" t="s">
        <v>994</v>
      </c>
      <c r="G22" s="11" t="s">
        <v>995</v>
      </c>
      <c r="H22" s="12"/>
      <c r="I22" s="13">
        <v>42.0</v>
      </c>
      <c r="J22" s="13">
        <v>301.0</v>
      </c>
      <c r="K22" s="9" t="str">
        <f t="shared" si="2"/>
        <v>Twitter for iPhone</v>
      </c>
      <c r="L22" s="14">
        <v>86421.0</v>
      </c>
      <c r="M22" s="14">
        <v>1331.0</v>
      </c>
      <c r="N22" s="14">
        <v>194.0</v>
      </c>
      <c r="O22" s="15" t="s">
        <v>24</v>
      </c>
      <c r="P22" s="16">
        <v>41035.9128125</v>
      </c>
      <c r="Q22" s="10" t="s">
        <v>478</v>
      </c>
      <c r="R22" s="10" t="s">
        <v>961</v>
      </c>
      <c r="S22" s="11" t="s">
        <v>962</v>
      </c>
      <c r="T22" s="12"/>
      <c r="U22" s="17" t="str">
        <f t="shared" si="3"/>
        <v>View</v>
      </c>
      <c r="V22" s="12"/>
      <c r="W22" s="12"/>
      <c r="X22" s="12"/>
      <c r="Y22" s="12"/>
      <c r="Z22" s="12"/>
    </row>
    <row r="23">
      <c r="A23" s="18"/>
      <c r="B23" s="12"/>
      <c r="C23" s="12"/>
      <c r="D23" s="12"/>
      <c r="E23" s="12"/>
      <c r="F23" s="12"/>
      <c r="G23" s="12"/>
      <c r="H23" s="12"/>
      <c r="I23" s="12"/>
      <c r="J23" s="12"/>
      <c r="K23" s="12"/>
      <c r="L23" s="19"/>
      <c r="M23" s="19"/>
      <c r="N23" s="19"/>
      <c r="O23" s="19"/>
      <c r="P23" s="19"/>
      <c r="Q23" s="12"/>
      <c r="R23" s="12"/>
      <c r="S23" s="12"/>
      <c r="T23" s="12"/>
      <c r="U23" s="19"/>
      <c r="V23" s="12"/>
      <c r="W23" s="12"/>
      <c r="X23" s="12"/>
      <c r="Y23" s="12"/>
      <c r="Z23" s="12"/>
    </row>
    <row r="24">
      <c r="A24" s="18"/>
      <c r="B24" s="12"/>
      <c r="C24" s="12"/>
      <c r="D24" s="12"/>
      <c r="E24" s="12"/>
      <c r="F24" s="12"/>
      <c r="G24" s="12"/>
      <c r="H24" s="12"/>
      <c r="I24" s="12"/>
      <c r="J24" s="12"/>
      <c r="K24" s="12"/>
      <c r="L24" s="19"/>
      <c r="M24" s="19"/>
      <c r="N24" s="19"/>
      <c r="O24" s="19"/>
      <c r="P24" s="19"/>
      <c r="Q24" s="12"/>
      <c r="R24" s="12"/>
      <c r="S24" s="12"/>
      <c r="T24" s="12"/>
      <c r="U24" s="19"/>
      <c r="V24" s="12"/>
      <c r="W24" s="12"/>
      <c r="X24" s="12"/>
      <c r="Y24" s="12"/>
      <c r="Z24" s="12"/>
    </row>
    <row r="25">
      <c r="A25" s="18"/>
      <c r="B25" s="12"/>
      <c r="C25" s="12"/>
      <c r="D25" s="12"/>
      <c r="E25" s="12"/>
      <c r="F25" s="12"/>
      <c r="G25" s="12"/>
      <c r="H25" s="12"/>
      <c r="I25" s="12"/>
      <c r="J25" s="12"/>
      <c r="K25" s="12"/>
      <c r="L25" s="19"/>
      <c r="M25" s="19"/>
      <c r="N25" s="19"/>
      <c r="O25" s="19"/>
      <c r="P25" s="19"/>
      <c r="Q25" s="12"/>
      <c r="R25" s="12"/>
      <c r="S25" s="12"/>
      <c r="T25" s="12"/>
      <c r="U25" s="19"/>
      <c r="V25" s="12"/>
      <c r="W25" s="12"/>
      <c r="X25" s="12"/>
      <c r="Y25" s="12"/>
      <c r="Z25" s="12"/>
    </row>
    <row r="26">
      <c r="A26" s="18"/>
      <c r="B26" s="12"/>
      <c r="C26" s="12"/>
      <c r="D26" s="12"/>
      <c r="E26" s="12"/>
      <c r="F26" s="12"/>
      <c r="G26" s="12"/>
      <c r="H26" s="12"/>
      <c r="I26" s="12"/>
      <c r="J26" s="12"/>
      <c r="K26" s="12"/>
      <c r="L26" s="19"/>
      <c r="M26" s="19"/>
      <c r="N26" s="19"/>
      <c r="O26" s="19"/>
      <c r="P26" s="19"/>
      <c r="Q26" s="12"/>
      <c r="R26" s="12"/>
      <c r="S26" s="12"/>
      <c r="T26" s="12"/>
      <c r="U26" s="19"/>
      <c r="V26" s="12"/>
      <c r="W26" s="12"/>
      <c r="X26" s="12"/>
      <c r="Y26" s="12"/>
      <c r="Z26" s="12"/>
    </row>
    <row r="27">
      <c r="A27" s="18"/>
      <c r="B27" s="12"/>
      <c r="C27" s="12"/>
      <c r="D27" s="12"/>
      <c r="E27" s="12"/>
      <c r="F27" s="12"/>
      <c r="G27" s="12"/>
      <c r="H27" s="12"/>
      <c r="I27" s="12"/>
      <c r="J27" s="12"/>
      <c r="K27" s="12"/>
      <c r="L27" s="19"/>
      <c r="M27" s="19"/>
      <c r="N27" s="19"/>
      <c r="O27" s="19"/>
      <c r="P27" s="19"/>
      <c r="Q27" s="12"/>
      <c r="R27" s="12"/>
      <c r="S27" s="12"/>
      <c r="T27" s="12"/>
      <c r="U27" s="19"/>
      <c r="V27" s="12"/>
      <c r="W27" s="12"/>
      <c r="X27" s="12"/>
      <c r="Y27" s="12"/>
      <c r="Z27" s="12"/>
    </row>
    <row r="28">
      <c r="A28" s="18"/>
      <c r="B28" s="12"/>
      <c r="C28" s="12"/>
      <c r="D28" s="12"/>
      <c r="E28" s="12"/>
      <c r="F28" s="12"/>
      <c r="G28" s="12"/>
      <c r="H28" s="12"/>
      <c r="I28" s="12"/>
      <c r="J28" s="12"/>
      <c r="K28" s="12"/>
      <c r="L28" s="19"/>
      <c r="M28" s="19"/>
      <c r="N28" s="19"/>
      <c r="O28" s="19"/>
      <c r="P28" s="19"/>
      <c r="Q28" s="12"/>
      <c r="R28" s="12"/>
      <c r="S28" s="12"/>
      <c r="T28" s="12"/>
      <c r="U28" s="19"/>
      <c r="V28" s="12"/>
      <c r="W28" s="12"/>
      <c r="X28" s="12"/>
      <c r="Y28" s="12"/>
      <c r="Z28" s="12"/>
    </row>
    <row r="29">
      <c r="A29" s="18"/>
      <c r="B29" s="12"/>
      <c r="C29" s="12"/>
      <c r="D29" s="12"/>
      <c r="E29" s="12"/>
      <c r="F29" s="12"/>
      <c r="G29" s="12"/>
      <c r="H29" s="12"/>
      <c r="I29" s="12"/>
      <c r="J29" s="12"/>
      <c r="K29" s="12"/>
      <c r="L29" s="19"/>
      <c r="M29" s="19"/>
      <c r="N29" s="19"/>
      <c r="O29" s="19"/>
      <c r="P29" s="19"/>
      <c r="Q29" s="12"/>
      <c r="R29" s="12"/>
      <c r="S29" s="12"/>
      <c r="T29" s="12"/>
      <c r="U29" s="19"/>
      <c r="V29" s="12"/>
      <c r="W29" s="12"/>
      <c r="X29" s="12"/>
      <c r="Y29" s="12"/>
      <c r="Z29" s="12"/>
    </row>
    <row r="30">
      <c r="A30" s="18"/>
      <c r="B30" s="12"/>
      <c r="C30" s="12"/>
      <c r="D30" s="12"/>
      <c r="E30" s="12"/>
      <c r="F30" s="12"/>
      <c r="G30" s="12"/>
      <c r="H30" s="12"/>
      <c r="I30" s="12"/>
      <c r="J30" s="12"/>
      <c r="K30" s="12"/>
      <c r="L30" s="19"/>
      <c r="M30" s="19"/>
      <c r="N30" s="19"/>
      <c r="O30" s="19"/>
      <c r="P30" s="19"/>
      <c r="Q30" s="12"/>
      <c r="R30" s="12"/>
      <c r="S30" s="12"/>
      <c r="T30" s="12"/>
      <c r="U30" s="19"/>
      <c r="V30" s="12"/>
      <c r="W30" s="12"/>
      <c r="X30" s="12"/>
      <c r="Y30" s="12"/>
      <c r="Z30" s="12"/>
    </row>
    <row r="31">
      <c r="A31" s="18"/>
      <c r="B31" s="12"/>
      <c r="C31" s="12"/>
      <c r="D31" s="12"/>
      <c r="E31" s="12"/>
      <c r="F31" s="12"/>
      <c r="G31" s="12"/>
      <c r="H31" s="12"/>
      <c r="I31" s="12"/>
      <c r="J31" s="12"/>
      <c r="K31" s="12"/>
      <c r="L31" s="19"/>
      <c r="M31" s="19"/>
      <c r="N31" s="19"/>
      <c r="O31" s="19"/>
      <c r="P31" s="19"/>
      <c r="Q31" s="12"/>
      <c r="R31" s="12"/>
      <c r="S31" s="12"/>
      <c r="T31" s="12"/>
      <c r="U31" s="19"/>
      <c r="V31" s="12"/>
      <c r="W31" s="12"/>
      <c r="X31" s="12"/>
      <c r="Y31" s="12"/>
      <c r="Z31" s="12"/>
    </row>
    <row r="32">
      <c r="A32" s="18"/>
      <c r="B32" s="12"/>
      <c r="C32" s="12"/>
      <c r="D32" s="12"/>
      <c r="E32" s="12"/>
      <c r="F32" s="12"/>
      <c r="G32" s="12"/>
      <c r="H32" s="12"/>
      <c r="I32" s="12"/>
      <c r="J32" s="12"/>
      <c r="K32" s="12"/>
      <c r="L32" s="19"/>
      <c r="M32" s="19"/>
      <c r="N32" s="19"/>
      <c r="O32" s="19"/>
      <c r="P32" s="19"/>
      <c r="Q32" s="12"/>
      <c r="R32" s="12"/>
      <c r="S32" s="12"/>
      <c r="T32" s="12"/>
      <c r="U32" s="19"/>
      <c r="V32" s="12"/>
      <c r="W32" s="12"/>
      <c r="X32" s="12"/>
      <c r="Y32" s="12"/>
      <c r="Z32" s="12"/>
    </row>
    <row r="33">
      <c r="A33" s="18"/>
      <c r="B33" s="12"/>
      <c r="C33" s="12"/>
      <c r="D33" s="12"/>
      <c r="E33" s="12"/>
      <c r="F33" s="12"/>
      <c r="G33" s="12"/>
      <c r="H33" s="12"/>
      <c r="I33" s="12"/>
      <c r="J33" s="12"/>
      <c r="K33" s="12"/>
      <c r="L33" s="19"/>
      <c r="M33" s="19"/>
      <c r="N33" s="19"/>
      <c r="O33" s="19"/>
      <c r="P33" s="19"/>
      <c r="Q33" s="12"/>
      <c r="R33" s="12"/>
      <c r="S33" s="12"/>
      <c r="T33" s="12"/>
      <c r="U33" s="19"/>
      <c r="V33" s="12"/>
      <c r="W33" s="12"/>
      <c r="X33" s="12"/>
      <c r="Y33" s="12"/>
      <c r="Z33" s="12"/>
    </row>
    <row r="34">
      <c r="A34" s="18"/>
      <c r="B34" s="12"/>
      <c r="C34" s="12"/>
      <c r="D34" s="12"/>
      <c r="E34" s="12"/>
      <c r="F34" s="12"/>
      <c r="G34" s="12"/>
      <c r="H34" s="12"/>
      <c r="I34" s="12"/>
      <c r="J34" s="12"/>
      <c r="K34" s="12"/>
      <c r="L34" s="19"/>
      <c r="M34" s="19"/>
      <c r="N34" s="19"/>
      <c r="O34" s="19"/>
      <c r="P34" s="19"/>
      <c r="Q34" s="12"/>
      <c r="R34" s="12"/>
      <c r="S34" s="12"/>
      <c r="T34" s="12"/>
      <c r="U34" s="19"/>
      <c r="V34" s="12"/>
      <c r="W34" s="12"/>
      <c r="X34" s="12"/>
      <c r="Y34" s="12"/>
      <c r="Z34" s="12"/>
    </row>
    <row r="35">
      <c r="A35" s="18"/>
      <c r="B35" s="12"/>
      <c r="C35" s="12"/>
      <c r="D35" s="12"/>
      <c r="E35" s="12"/>
      <c r="F35" s="12"/>
      <c r="G35" s="12"/>
      <c r="H35" s="12"/>
      <c r="I35" s="12"/>
      <c r="J35" s="12"/>
      <c r="K35" s="12"/>
      <c r="L35" s="19"/>
      <c r="M35" s="19"/>
      <c r="N35" s="19"/>
      <c r="O35" s="19"/>
      <c r="P35" s="19"/>
      <c r="Q35" s="12"/>
      <c r="R35" s="12"/>
      <c r="S35" s="12"/>
      <c r="T35" s="12"/>
      <c r="U35" s="19"/>
      <c r="V35" s="12"/>
      <c r="W35" s="12"/>
      <c r="X35" s="12"/>
      <c r="Y35" s="12"/>
      <c r="Z35" s="12"/>
    </row>
    <row r="36">
      <c r="A36" s="18"/>
      <c r="B36" s="12"/>
      <c r="C36" s="12"/>
      <c r="D36" s="12"/>
      <c r="E36" s="12"/>
      <c r="F36" s="12"/>
      <c r="G36" s="12"/>
      <c r="H36" s="12"/>
      <c r="I36" s="12"/>
      <c r="J36" s="12"/>
      <c r="K36" s="12"/>
      <c r="L36" s="19"/>
      <c r="M36" s="19"/>
      <c r="N36" s="19"/>
      <c r="O36" s="19"/>
      <c r="P36" s="19"/>
      <c r="Q36" s="12"/>
      <c r="R36" s="12"/>
      <c r="S36" s="12"/>
      <c r="T36" s="12"/>
      <c r="U36" s="19"/>
      <c r="V36" s="12"/>
      <c r="W36" s="12"/>
      <c r="X36" s="12"/>
      <c r="Y36" s="12"/>
      <c r="Z36" s="12"/>
    </row>
    <row r="37">
      <c r="A37" s="18"/>
      <c r="B37" s="12"/>
      <c r="C37" s="12"/>
      <c r="D37" s="12"/>
      <c r="E37" s="12"/>
      <c r="F37" s="12"/>
      <c r="G37" s="12"/>
      <c r="H37" s="12"/>
      <c r="I37" s="12"/>
      <c r="J37" s="12"/>
      <c r="K37" s="12"/>
      <c r="L37" s="19"/>
      <c r="M37" s="19"/>
      <c r="N37" s="19"/>
      <c r="O37" s="19"/>
      <c r="P37" s="19"/>
      <c r="Q37" s="12"/>
      <c r="R37" s="12"/>
      <c r="S37" s="12"/>
      <c r="T37" s="12"/>
      <c r="U37" s="19"/>
      <c r="V37" s="12"/>
      <c r="W37" s="12"/>
      <c r="X37" s="12"/>
      <c r="Y37" s="12"/>
      <c r="Z37" s="12"/>
    </row>
    <row r="38">
      <c r="A38" s="18"/>
      <c r="B38" s="12"/>
      <c r="C38" s="12"/>
      <c r="D38" s="12"/>
      <c r="E38" s="12"/>
      <c r="F38" s="12"/>
      <c r="G38" s="12"/>
      <c r="H38" s="12"/>
      <c r="I38" s="12"/>
      <c r="J38" s="12"/>
      <c r="K38" s="12"/>
      <c r="L38" s="19"/>
      <c r="M38" s="19"/>
      <c r="N38" s="19"/>
      <c r="O38" s="19"/>
      <c r="P38" s="19"/>
      <c r="Q38" s="12"/>
      <c r="R38" s="12"/>
      <c r="S38" s="12"/>
      <c r="T38" s="12"/>
      <c r="U38" s="19"/>
      <c r="V38" s="12"/>
      <c r="W38" s="12"/>
      <c r="X38" s="12"/>
      <c r="Y38" s="12"/>
      <c r="Z38" s="12"/>
    </row>
    <row r="39">
      <c r="A39" s="18"/>
      <c r="B39" s="12"/>
      <c r="C39" s="12"/>
      <c r="D39" s="12"/>
      <c r="E39" s="12"/>
      <c r="F39" s="12"/>
      <c r="G39" s="12"/>
      <c r="H39" s="12"/>
      <c r="I39" s="12"/>
      <c r="J39" s="12"/>
      <c r="K39" s="12"/>
      <c r="L39" s="19"/>
      <c r="M39" s="19"/>
      <c r="N39" s="19"/>
      <c r="O39" s="19"/>
      <c r="P39" s="19"/>
      <c r="Q39" s="12"/>
      <c r="R39" s="12"/>
      <c r="S39" s="12"/>
      <c r="T39" s="12"/>
      <c r="U39" s="19"/>
      <c r="V39" s="12"/>
      <c r="W39" s="12"/>
      <c r="X39" s="12"/>
      <c r="Y39" s="12"/>
      <c r="Z39" s="12"/>
    </row>
    <row r="40">
      <c r="A40" s="18"/>
      <c r="B40" s="12"/>
      <c r="C40" s="12"/>
      <c r="D40" s="12"/>
      <c r="E40" s="12"/>
      <c r="F40" s="12"/>
      <c r="G40" s="12"/>
      <c r="H40" s="12"/>
      <c r="I40" s="12"/>
      <c r="J40" s="12"/>
      <c r="K40" s="12"/>
      <c r="L40" s="19"/>
      <c r="M40" s="19"/>
      <c r="N40" s="19"/>
      <c r="O40" s="19"/>
      <c r="P40" s="19"/>
      <c r="Q40" s="12"/>
      <c r="R40" s="12"/>
      <c r="S40" s="12"/>
      <c r="T40" s="12"/>
      <c r="U40" s="19"/>
      <c r="V40" s="12"/>
      <c r="W40" s="12"/>
      <c r="X40" s="12"/>
      <c r="Y40" s="12"/>
      <c r="Z40" s="12"/>
    </row>
    <row r="41">
      <c r="A41" s="18"/>
      <c r="B41" s="12"/>
      <c r="C41" s="12"/>
      <c r="D41" s="12"/>
      <c r="E41" s="12"/>
      <c r="F41" s="12"/>
      <c r="G41" s="12"/>
      <c r="H41" s="12"/>
      <c r="I41" s="12"/>
      <c r="J41" s="12"/>
      <c r="K41" s="12"/>
      <c r="L41" s="19"/>
      <c r="M41" s="19"/>
      <c r="N41" s="19"/>
      <c r="O41" s="19"/>
      <c r="P41" s="19"/>
      <c r="Q41" s="12"/>
      <c r="R41" s="12"/>
      <c r="S41" s="12"/>
      <c r="T41" s="12"/>
      <c r="U41" s="19"/>
      <c r="V41" s="12"/>
      <c r="W41" s="12"/>
      <c r="X41" s="12"/>
      <c r="Y41" s="12"/>
      <c r="Z41" s="12"/>
    </row>
    <row r="42">
      <c r="A42" s="18"/>
      <c r="B42" s="12"/>
      <c r="C42" s="12"/>
      <c r="D42" s="12"/>
      <c r="E42" s="12"/>
      <c r="F42" s="12"/>
      <c r="G42" s="12"/>
      <c r="H42" s="12"/>
      <c r="I42" s="12"/>
      <c r="J42" s="12"/>
      <c r="K42" s="12"/>
      <c r="L42" s="19"/>
      <c r="M42" s="19"/>
      <c r="N42" s="19"/>
      <c r="O42" s="19"/>
      <c r="P42" s="19"/>
      <c r="Q42" s="12"/>
      <c r="R42" s="12"/>
      <c r="S42" s="12"/>
      <c r="T42" s="12"/>
      <c r="U42" s="19"/>
      <c r="V42" s="12"/>
      <c r="W42" s="12"/>
      <c r="X42" s="12"/>
      <c r="Y42" s="12"/>
      <c r="Z42" s="12"/>
    </row>
    <row r="43">
      <c r="A43" s="18"/>
      <c r="B43" s="12"/>
      <c r="C43" s="12"/>
      <c r="D43" s="12"/>
      <c r="E43" s="12"/>
      <c r="F43" s="12"/>
      <c r="G43" s="12"/>
      <c r="H43" s="12"/>
      <c r="I43" s="12"/>
      <c r="J43" s="12"/>
      <c r="K43" s="12"/>
      <c r="L43" s="19"/>
      <c r="M43" s="19"/>
      <c r="N43" s="19"/>
      <c r="O43" s="19"/>
      <c r="P43" s="19"/>
      <c r="Q43" s="12"/>
      <c r="R43" s="12"/>
      <c r="S43" s="12"/>
      <c r="T43" s="12"/>
      <c r="U43" s="19"/>
      <c r="V43" s="12"/>
      <c r="W43" s="12"/>
      <c r="X43" s="12"/>
      <c r="Y43" s="12"/>
      <c r="Z43" s="12"/>
    </row>
    <row r="44">
      <c r="A44" s="18"/>
      <c r="B44" s="12"/>
      <c r="C44" s="12"/>
      <c r="D44" s="12"/>
      <c r="E44" s="12"/>
      <c r="F44" s="12"/>
      <c r="G44" s="12"/>
      <c r="H44" s="12"/>
      <c r="I44" s="12"/>
      <c r="J44" s="12"/>
      <c r="K44" s="12"/>
      <c r="L44" s="19"/>
      <c r="M44" s="19"/>
      <c r="N44" s="19"/>
      <c r="O44" s="19"/>
      <c r="P44" s="19"/>
      <c r="Q44" s="12"/>
      <c r="R44" s="12"/>
      <c r="S44" s="12"/>
      <c r="T44" s="12"/>
      <c r="U44" s="19"/>
      <c r="V44" s="12"/>
      <c r="W44" s="12"/>
      <c r="X44" s="12"/>
      <c r="Y44" s="12"/>
      <c r="Z44" s="12"/>
    </row>
    <row r="45">
      <c r="A45" s="18"/>
      <c r="B45" s="12"/>
      <c r="C45" s="12"/>
      <c r="D45" s="12"/>
      <c r="E45" s="12"/>
      <c r="F45" s="12"/>
      <c r="G45" s="12"/>
      <c r="H45" s="12"/>
      <c r="I45" s="12"/>
      <c r="J45" s="12"/>
      <c r="K45" s="12"/>
      <c r="L45" s="19"/>
      <c r="M45" s="19"/>
      <c r="N45" s="19"/>
      <c r="O45" s="19"/>
      <c r="P45" s="19"/>
      <c r="Q45" s="12"/>
      <c r="R45" s="12"/>
      <c r="S45" s="12"/>
      <c r="T45" s="12"/>
      <c r="U45" s="19"/>
      <c r="V45" s="12"/>
      <c r="W45" s="12"/>
      <c r="X45" s="12"/>
      <c r="Y45" s="12"/>
      <c r="Z45" s="12"/>
    </row>
    <row r="46">
      <c r="A46" s="18"/>
      <c r="B46" s="12"/>
      <c r="C46" s="12"/>
      <c r="D46" s="12"/>
      <c r="E46" s="12"/>
      <c r="F46" s="12"/>
      <c r="G46" s="12"/>
      <c r="H46" s="12"/>
      <c r="I46" s="12"/>
      <c r="J46" s="12"/>
      <c r="K46" s="12"/>
      <c r="L46" s="19"/>
      <c r="M46" s="19"/>
      <c r="N46" s="19"/>
      <c r="O46" s="19"/>
      <c r="P46" s="19"/>
      <c r="Q46" s="12"/>
      <c r="R46" s="12"/>
      <c r="S46" s="12"/>
      <c r="T46" s="12"/>
      <c r="U46" s="19"/>
      <c r="V46" s="12"/>
      <c r="W46" s="12"/>
      <c r="X46" s="12"/>
      <c r="Y46" s="12"/>
      <c r="Z46" s="12"/>
    </row>
    <row r="47">
      <c r="A47" s="18"/>
      <c r="B47" s="12"/>
      <c r="C47" s="12"/>
      <c r="D47" s="12"/>
      <c r="E47" s="12"/>
      <c r="F47" s="12"/>
      <c r="G47" s="12"/>
      <c r="H47" s="12"/>
      <c r="I47" s="12"/>
      <c r="J47" s="12"/>
      <c r="K47" s="12"/>
      <c r="L47" s="19"/>
      <c r="M47" s="19"/>
      <c r="N47" s="19"/>
      <c r="O47" s="19"/>
      <c r="P47" s="19"/>
      <c r="Q47" s="12"/>
      <c r="R47" s="12"/>
      <c r="S47" s="12"/>
      <c r="T47" s="12"/>
      <c r="U47" s="19"/>
      <c r="V47" s="12"/>
      <c r="W47" s="12"/>
      <c r="X47" s="12"/>
      <c r="Y47" s="12"/>
      <c r="Z47" s="12"/>
    </row>
    <row r="48">
      <c r="A48" s="18"/>
      <c r="B48" s="12"/>
      <c r="C48" s="12"/>
      <c r="D48" s="12"/>
      <c r="E48" s="12"/>
      <c r="F48" s="12"/>
      <c r="G48" s="12"/>
      <c r="H48" s="12"/>
      <c r="I48" s="12"/>
      <c r="J48" s="12"/>
      <c r="K48" s="12"/>
      <c r="L48" s="19"/>
      <c r="M48" s="19"/>
      <c r="N48" s="19"/>
      <c r="O48" s="19"/>
      <c r="P48" s="19"/>
      <c r="Q48" s="12"/>
      <c r="R48" s="12"/>
      <c r="S48" s="12"/>
      <c r="T48" s="12"/>
      <c r="U48" s="19"/>
      <c r="V48" s="12"/>
      <c r="W48" s="12"/>
      <c r="X48" s="12"/>
      <c r="Y48" s="12"/>
      <c r="Z48" s="12"/>
    </row>
    <row r="49">
      <c r="A49" s="18"/>
      <c r="B49" s="12"/>
      <c r="C49" s="12"/>
      <c r="D49" s="12"/>
      <c r="E49" s="12"/>
      <c r="F49" s="12"/>
      <c r="G49" s="12"/>
      <c r="H49" s="12"/>
      <c r="I49" s="12"/>
      <c r="J49" s="12"/>
      <c r="K49" s="12"/>
      <c r="L49" s="19"/>
      <c r="M49" s="19"/>
      <c r="N49" s="19"/>
      <c r="O49" s="19"/>
      <c r="P49" s="19"/>
      <c r="Q49" s="12"/>
      <c r="R49" s="12"/>
      <c r="S49" s="12"/>
      <c r="T49" s="12"/>
      <c r="U49" s="19"/>
      <c r="V49" s="12"/>
      <c r="W49" s="12"/>
      <c r="X49" s="12"/>
      <c r="Y49" s="12"/>
      <c r="Z49" s="12"/>
    </row>
    <row r="50">
      <c r="A50" s="18"/>
      <c r="B50" s="12"/>
      <c r="C50" s="12"/>
      <c r="D50" s="12"/>
      <c r="E50" s="12"/>
      <c r="F50" s="12"/>
      <c r="G50" s="12"/>
      <c r="H50" s="12"/>
      <c r="I50" s="12"/>
      <c r="J50" s="12"/>
      <c r="K50" s="12"/>
      <c r="L50" s="19"/>
      <c r="M50" s="19"/>
      <c r="N50" s="19"/>
      <c r="O50" s="19"/>
      <c r="P50" s="19"/>
      <c r="Q50" s="12"/>
      <c r="R50" s="12"/>
      <c r="S50" s="12"/>
      <c r="T50" s="12"/>
      <c r="U50" s="19"/>
      <c r="V50" s="12"/>
      <c r="W50" s="12"/>
      <c r="X50" s="12"/>
      <c r="Y50" s="12"/>
      <c r="Z50" s="12"/>
    </row>
    <row r="51">
      <c r="A51" s="18"/>
      <c r="B51" s="12"/>
      <c r="C51" s="12"/>
      <c r="D51" s="12"/>
      <c r="E51" s="12"/>
      <c r="F51" s="12"/>
      <c r="G51" s="12"/>
      <c r="H51" s="12"/>
      <c r="I51" s="12"/>
      <c r="J51" s="12"/>
      <c r="K51" s="12"/>
      <c r="L51" s="19"/>
      <c r="M51" s="19"/>
      <c r="N51" s="19"/>
      <c r="O51" s="19"/>
      <c r="P51" s="19"/>
      <c r="Q51" s="12"/>
      <c r="R51" s="12"/>
      <c r="S51" s="12"/>
      <c r="T51" s="12"/>
      <c r="U51" s="19"/>
      <c r="V51" s="12"/>
      <c r="W51" s="12"/>
      <c r="X51" s="12"/>
      <c r="Y51" s="12"/>
      <c r="Z51" s="12"/>
    </row>
    <row r="52">
      <c r="A52" s="18"/>
      <c r="B52" s="12"/>
      <c r="C52" s="12"/>
      <c r="D52" s="12"/>
      <c r="E52" s="12"/>
      <c r="F52" s="12"/>
      <c r="G52" s="12"/>
      <c r="H52" s="12"/>
      <c r="I52" s="12"/>
      <c r="J52" s="12"/>
      <c r="K52" s="12"/>
      <c r="L52" s="19"/>
      <c r="M52" s="19"/>
      <c r="N52" s="19"/>
      <c r="O52" s="19"/>
      <c r="P52" s="19"/>
      <c r="Q52" s="12"/>
      <c r="R52" s="12"/>
      <c r="S52" s="12"/>
      <c r="T52" s="12"/>
      <c r="U52" s="19"/>
      <c r="V52" s="12"/>
      <c r="W52" s="12"/>
      <c r="X52" s="12"/>
      <c r="Y52" s="12"/>
      <c r="Z52" s="12"/>
    </row>
    <row r="53">
      <c r="A53" s="18"/>
      <c r="B53" s="12"/>
      <c r="C53" s="12"/>
      <c r="D53" s="12"/>
      <c r="E53" s="12"/>
      <c r="F53" s="12"/>
      <c r="G53" s="12"/>
      <c r="H53" s="12"/>
      <c r="I53" s="12"/>
      <c r="J53" s="12"/>
      <c r="K53" s="12"/>
      <c r="L53" s="19"/>
      <c r="M53" s="19"/>
      <c r="N53" s="19"/>
      <c r="O53" s="19"/>
      <c r="P53" s="19"/>
      <c r="Q53" s="12"/>
      <c r="R53" s="12"/>
      <c r="S53" s="12"/>
      <c r="T53" s="12"/>
      <c r="U53" s="19"/>
      <c r="V53" s="12"/>
      <c r="W53" s="12"/>
      <c r="X53" s="12"/>
      <c r="Y53" s="12"/>
      <c r="Z53" s="12"/>
    </row>
    <row r="54">
      <c r="A54" s="18"/>
      <c r="B54" s="12"/>
      <c r="C54" s="12"/>
      <c r="D54" s="12"/>
      <c r="E54" s="12"/>
      <c r="F54" s="12"/>
      <c r="G54" s="12"/>
      <c r="H54" s="12"/>
      <c r="I54" s="12"/>
      <c r="J54" s="12"/>
      <c r="K54" s="12"/>
      <c r="L54" s="19"/>
      <c r="M54" s="19"/>
      <c r="N54" s="19"/>
      <c r="O54" s="19"/>
      <c r="P54" s="19"/>
      <c r="Q54" s="12"/>
      <c r="R54" s="12"/>
      <c r="S54" s="12"/>
      <c r="T54" s="12"/>
      <c r="U54" s="19"/>
      <c r="V54" s="12"/>
      <c r="W54" s="12"/>
      <c r="X54" s="12"/>
      <c r="Y54" s="12"/>
      <c r="Z54" s="12"/>
    </row>
    <row r="55">
      <c r="A55" s="18"/>
      <c r="B55" s="12"/>
      <c r="C55" s="12"/>
      <c r="D55" s="12"/>
      <c r="E55" s="12"/>
      <c r="F55" s="12"/>
      <c r="G55" s="12"/>
      <c r="H55" s="12"/>
      <c r="I55" s="12"/>
      <c r="J55" s="12"/>
      <c r="K55" s="12"/>
      <c r="L55" s="19"/>
      <c r="M55" s="19"/>
      <c r="N55" s="19"/>
      <c r="O55" s="19"/>
      <c r="P55" s="19"/>
      <c r="Q55" s="12"/>
      <c r="R55" s="12"/>
      <c r="S55" s="12"/>
      <c r="T55" s="12"/>
      <c r="U55" s="19"/>
      <c r="V55" s="12"/>
      <c r="W55" s="12"/>
      <c r="X55" s="12"/>
      <c r="Y55" s="12"/>
      <c r="Z55" s="12"/>
    </row>
    <row r="56">
      <c r="A56" s="18"/>
      <c r="B56" s="12"/>
      <c r="C56" s="12"/>
      <c r="D56" s="12"/>
      <c r="E56" s="12"/>
      <c r="F56" s="12"/>
      <c r="G56" s="12"/>
      <c r="H56" s="12"/>
      <c r="I56" s="12"/>
      <c r="J56" s="12"/>
      <c r="K56" s="12"/>
      <c r="L56" s="19"/>
      <c r="M56" s="19"/>
      <c r="N56" s="19"/>
      <c r="O56" s="19"/>
      <c r="P56" s="19"/>
      <c r="Q56" s="12"/>
      <c r="R56" s="12"/>
      <c r="S56" s="12"/>
      <c r="T56" s="12"/>
      <c r="U56" s="19"/>
      <c r="V56" s="12"/>
      <c r="W56" s="12"/>
      <c r="X56" s="12"/>
      <c r="Y56" s="12"/>
      <c r="Z56" s="12"/>
    </row>
    <row r="57">
      <c r="A57" s="18"/>
      <c r="B57" s="12"/>
      <c r="C57" s="12"/>
      <c r="D57" s="12"/>
      <c r="E57" s="12"/>
      <c r="F57" s="12"/>
      <c r="G57" s="12"/>
      <c r="H57" s="12"/>
      <c r="I57" s="12"/>
      <c r="J57" s="12"/>
      <c r="K57" s="12"/>
      <c r="L57" s="19"/>
      <c r="M57" s="19"/>
      <c r="N57" s="19"/>
      <c r="O57" s="19"/>
      <c r="P57" s="19"/>
      <c r="Q57" s="12"/>
      <c r="R57" s="12"/>
      <c r="S57" s="12"/>
      <c r="T57" s="12"/>
      <c r="U57" s="19"/>
      <c r="V57" s="12"/>
      <c r="W57" s="12"/>
      <c r="X57" s="12"/>
      <c r="Y57" s="12"/>
      <c r="Z57" s="12"/>
    </row>
    <row r="58">
      <c r="A58" s="18"/>
      <c r="B58" s="12"/>
      <c r="C58" s="12"/>
      <c r="D58" s="12"/>
      <c r="E58" s="12"/>
      <c r="F58" s="12"/>
      <c r="G58" s="12"/>
      <c r="H58" s="12"/>
      <c r="I58" s="12"/>
      <c r="J58" s="12"/>
      <c r="K58" s="12"/>
      <c r="L58" s="19"/>
      <c r="M58" s="19"/>
      <c r="N58" s="19"/>
      <c r="O58" s="19"/>
      <c r="P58" s="19"/>
      <c r="Q58" s="12"/>
      <c r="R58" s="12"/>
      <c r="S58" s="12"/>
      <c r="T58" s="12"/>
      <c r="U58" s="19"/>
      <c r="V58" s="12"/>
      <c r="W58" s="12"/>
      <c r="X58" s="12"/>
      <c r="Y58" s="12"/>
      <c r="Z58" s="12"/>
    </row>
    <row r="59">
      <c r="A59" s="18"/>
      <c r="B59" s="12"/>
      <c r="C59" s="12"/>
      <c r="D59" s="12"/>
      <c r="E59" s="12"/>
      <c r="F59" s="12"/>
      <c r="G59" s="12"/>
      <c r="H59" s="12"/>
      <c r="I59" s="12"/>
      <c r="J59" s="12"/>
      <c r="K59" s="12"/>
      <c r="L59" s="19"/>
      <c r="M59" s="19"/>
      <c r="N59" s="19"/>
      <c r="O59" s="19"/>
      <c r="P59" s="19"/>
      <c r="Q59" s="12"/>
      <c r="R59" s="12"/>
      <c r="S59" s="12"/>
      <c r="T59" s="12"/>
      <c r="U59" s="19"/>
      <c r="V59" s="12"/>
      <c r="W59" s="12"/>
      <c r="X59" s="12"/>
      <c r="Y59" s="12"/>
      <c r="Z59" s="12"/>
    </row>
    <row r="60">
      <c r="A60" s="18"/>
      <c r="B60" s="12"/>
      <c r="C60" s="12"/>
      <c r="D60" s="12"/>
      <c r="E60" s="12"/>
      <c r="F60" s="12"/>
      <c r="G60" s="12"/>
      <c r="H60" s="12"/>
      <c r="I60" s="12"/>
      <c r="J60" s="12"/>
      <c r="K60" s="12"/>
      <c r="L60" s="19"/>
      <c r="M60" s="19"/>
      <c r="N60" s="19"/>
      <c r="O60" s="19"/>
      <c r="P60" s="19"/>
      <c r="Q60" s="12"/>
      <c r="R60" s="12"/>
      <c r="S60" s="12"/>
      <c r="T60" s="12"/>
      <c r="U60" s="19"/>
      <c r="V60" s="12"/>
      <c r="W60" s="12"/>
      <c r="X60" s="12"/>
      <c r="Y60" s="12"/>
      <c r="Z60" s="12"/>
    </row>
    <row r="61">
      <c r="A61" s="18"/>
      <c r="B61" s="12"/>
      <c r="C61" s="12"/>
      <c r="D61" s="12"/>
      <c r="E61" s="12"/>
      <c r="F61" s="12"/>
      <c r="G61" s="12"/>
      <c r="H61" s="12"/>
      <c r="I61" s="12"/>
      <c r="J61" s="12"/>
      <c r="K61" s="12"/>
      <c r="L61" s="19"/>
      <c r="M61" s="19"/>
      <c r="N61" s="19"/>
      <c r="O61" s="19"/>
      <c r="P61" s="19"/>
      <c r="Q61" s="12"/>
      <c r="R61" s="12"/>
      <c r="S61" s="12"/>
      <c r="T61" s="12"/>
      <c r="U61" s="19"/>
      <c r="V61" s="12"/>
      <c r="W61" s="12"/>
      <c r="X61" s="12"/>
      <c r="Y61" s="12"/>
      <c r="Z61" s="12"/>
    </row>
    <row r="62">
      <c r="A62" s="18"/>
      <c r="B62" s="12"/>
      <c r="C62" s="12"/>
      <c r="D62" s="12"/>
      <c r="E62" s="12"/>
      <c r="F62" s="12"/>
      <c r="G62" s="12"/>
      <c r="H62" s="12"/>
      <c r="I62" s="12"/>
      <c r="J62" s="12"/>
      <c r="K62" s="12"/>
      <c r="L62" s="19"/>
      <c r="M62" s="19"/>
      <c r="N62" s="19"/>
      <c r="O62" s="19"/>
      <c r="P62" s="19"/>
      <c r="Q62" s="12"/>
      <c r="R62" s="12"/>
      <c r="S62" s="12"/>
      <c r="T62" s="12"/>
      <c r="U62" s="19"/>
      <c r="V62" s="12"/>
      <c r="W62" s="12"/>
      <c r="X62" s="12"/>
      <c r="Y62" s="12"/>
      <c r="Z62" s="12"/>
    </row>
    <row r="63">
      <c r="A63" s="18"/>
      <c r="B63" s="12"/>
      <c r="C63" s="12"/>
      <c r="D63" s="12"/>
      <c r="E63" s="12"/>
      <c r="F63" s="12"/>
      <c r="G63" s="12"/>
      <c r="H63" s="12"/>
      <c r="I63" s="12"/>
      <c r="J63" s="12"/>
      <c r="K63" s="12"/>
      <c r="L63" s="19"/>
      <c r="M63" s="19"/>
      <c r="N63" s="19"/>
      <c r="O63" s="19"/>
      <c r="P63" s="19"/>
      <c r="Q63" s="12"/>
      <c r="R63" s="12"/>
      <c r="S63" s="12"/>
      <c r="T63" s="12"/>
      <c r="U63" s="19"/>
      <c r="V63" s="12"/>
      <c r="W63" s="12"/>
      <c r="X63" s="12"/>
      <c r="Y63" s="12"/>
      <c r="Z63" s="12"/>
    </row>
    <row r="64">
      <c r="A64" s="18"/>
      <c r="B64" s="12"/>
      <c r="C64" s="12"/>
      <c r="D64" s="12"/>
      <c r="E64" s="12"/>
      <c r="F64" s="12"/>
      <c r="G64" s="12"/>
      <c r="H64" s="12"/>
      <c r="I64" s="12"/>
      <c r="J64" s="12"/>
      <c r="K64" s="12"/>
      <c r="L64" s="19"/>
      <c r="M64" s="19"/>
      <c r="N64" s="19"/>
      <c r="O64" s="19"/>
      <c r="P64" s="19"/>
      <c r="Q64" s="12"/>
      <c r="R64" s="12"/>
      <c r="S64" s="12"/>
      <c r="T64" s="12"/>
      <c r="U64" s="19"/>
      <c r="V64" s="12"/>
      <c r="W64" s="12"/>
      <c r="X64" s="12"/>
      <c r="Y64" s="12"/>
      <c r="Z64" s="12"/>
    </row>
    <row r="65">
      <c r="A65" s="18"/>
      <c r="B65" s="12"/>
      <c r="C65" s="12"/>
      <c r="D65" s="12"/>
      <c r="E65" s="12"/>
      <c r="F65" s="12"/>
      <c r="G65" s="12"/>
      <c r="H65" s="12"/>
      <c r="I65" s="12"/>
      <c r="J65" s="12"/>
      <c r="K65" s="12"/>
      <c r="L65" s="19"/>
      <c r="M65" s="19"/>
      <c r="N65" s="19"/>
      <c r="O65" s="19"/>
      <c r="P65" s="19"/>
      <c r="Q65" s="12"/>
      <c r="R65" s="12"/>
      <c r="S65" s="12"/>
      <c r="T65" s="12"/>
      <c r="U65" s="19"/>
      <c r="V65" s="12"/>
      <c r="W65" s="12"/>
      <c r="X65" s="12"/>
      <c r="Y65" s="12"/>
      <c r="Z65" s="12"/>
    </row>
    <row r="66">
      <c r="A66" s="18"/>
      <c r="B66" s="12"/>
      <c r="C66" s="12"/>
      <c r="D66" s="12"/>
      <c r="E66" s="12"/>
      <c r="F66" s="12"/>
      <c r="G66" s="12"/>
      <c r="H66" s="12"/>
      <c r="I66" s="12"/>
      <c r="J66" s="12"/>
      <c r="K66" s="12"/>
      <c r="L66" s="19"/>
      <c r="M66" s="19"/>
      <c r="N66" s="19"/>
      <c r="O66" s="19"/>
      <c r="P66" s="19"/>
      <c r="Q66" s="12"/>
      <c r="R66" s="12"/>
      <c r="S66" s="12"/>
      <c r="T66" s="12"/>
      <c r="U66" s="19"/>
      <c r="V66" s="12"/>
      <c r="W66" s="12"/>
      <c r="X66" s="12"/>
      <c r="Y66" s="12"/>
      <c r="Z66" s="12"/>
    </row>
    <row r="67">
      <c r="A67" s="18"/>
      <c r="B67" s="12"/>
      <c r="C67" s="12"/>
      <c r="D67" s="12"/>
      <c r="E67" s="12"/>
      <c r="F67" s="12"/>
      <c r="G67" s="12"/>
      <c r="H67" s="12"/>
      <c r="I67" s="12"/>
      <c r="J67" s="12"/>
      <c r="K67" s="12"/>
      <c r="L67" s="19"/>
      <c r="M67" s="19"/>
      <c r="N67" s="19"/>
      <c r="O67" s="19"/>
      <c r="P67" s="19"/>
      <c r="Q67" s="12"/>
      <c r="R67" s="12"/>
      <c r="S67" s="12"/>
      <c r="T67" s="12"/>
      <c r="U67" s="19"/>
      <c r="V67" s="12"/>
      <c r="W67" s="12"/>
      <c r="X67" s="12"/>
      <c r="Y67" s="12"/>
      <c r="Z67" s="12"/>
    </row>
    <row r="68">
      <c r="A68" s="18"/>
      <c r="B68" s="12"/>
      <c r="C68" s="12"/>
      <c r="D68" s="12"/>
      <c r="E68" s="12"/>
      <c r="F68" s="12"/>
      <c r="G68" s="12"/>
      <c r="H68" s="12"/>
      <c r="I68" s="12"/>
      <c r="J68" s="12"/>
      <c r="K68" s="12"/>
      <c r="L68" s="19"/>
      <c r="M68" s="19"/>
      <c r="N68" s="19"/>
      <c r="O68" s="19"/>
      <c r="P68" s="19"/>
      <c r="Q68" s="12"/>
      <c r="R68" s="12"/>
      <c r="S68" s="12"/>
      <c r="T68" s="12"/>
      <c r="U68" s="19"/>
      <c r="V68" s="12"/>
      <c r="W68" s="12"/>
      <c r="X68" s="12"/>
      <c r="Y68" s="12"/>
      <c r="Z68" s="12"/>
    </row>
    <row r="69">
      <c r="A69" s="18"/>
      <c r="B69" s="12"/>
      <c r="C69" s="12"/>
      <c r="D69" s="12"/>
      <c r="E69" s="12"/>
      <c r="F69" s="12"/>
      <c r="G69" s="12"/>
      <c r="H69" s="12"/>
      <c r="I69" s="12"/>
      <c r="J69" s="12"/>
      <c r="K69" s="12"/>
      <c r="L69" s="19"/>
      <c r="M69" s="19"/>
      <c r="N69" s="19"/>
      <c r="O69" s="19"/>
      <c r="P69" s="19"/>
      <c r="Q69" s="12"/>
      <c r="R69" s="12"/>
      <c r="S69" s="12"/>
      <c r="T69" s="12"/>
      <c r="U69" s="19"/>
      <c r="V69" s="12"/>
      <c r="W69" s="12"/>
      <c r="X69" s="12"/>
      <c r="Y69" s="12"/>
      <c r="Z69" s="12"/>
    </row>
    <row r="70">
      <c r="A70" s="18"/>
      <c r="B70" s="12"/>
      <c r="C70" s="12"/>
      <c r="D70" s="12"/>
      <c r="E70" s="12"/>
      <c r="F70" s="12"/>
      <c r="G70" s="12"/>
      <c r="H70" s="12"/>
      <c r="I70" s="12"/>
      <c r="J70" s="12"/>
      <c r="K70" s="12"/>
      <c r="L70" s="19"/>
      <c r="M70" s="19"/>
      <c r="N70" s="19"/>
      <c r="O70" s="19"/>
      <c r="P70" s="19"/>
      <c r="Q70" s="12"/>
      <c r="R70" s="12"/>
      <c r="S70" s="12"/>
      <c r="T70" s="12"/>
      <c r="U70" s="19"/>
      <c r="V70" s="12"/>
      <c r="W70" s="12"/>
      <c r="X70" s="12"/>
      <c r="Y70" s="12"/>
      <c r="Z70" s="12"/>
    </row>
    <row r="71">
      <c r="A71" s="18"/>
      <c r="B71" s="12"/>
      <c r="C71" s="12"/>
      <c r="D71" s="12"/>
      <c r="E71" s="12"/>
      <c r="F71" s="12"/>
      <c r="G71" s="12"/>
      <c r="H71" s="12"/>
      <c r="I71" s="12"/>
      <c r="J71" s="12"/>
      <c r="K71" s="12"/>
      <c r="L71" s="19"/>
      <c r="M71" s="19"/>
      <c r="N71" s="19"/>
      <c r="O71" s="19"/>
      <c r="P71" s="19"/>
      <c r="Q71" s="12"/>
      <c r="R71" s="12"/>
      <c r="S71" s="12"/>
      <c r="T71" s="12"/>
      <c r="U71" s="19"/>
      <c r="V71" s="12"/>
      <c r="W71" s="12"/>
      <c r="X71" s="12"/>
      <c r="Y71" s="12"/>
      <c r="Z71" s="12"/>
    </row>
    <row r="72">
      <c r="A72" s="18"/>
      <c r="B72" s="12"/>
      <c r="C72" s="12"/>
      <c r="D72" s="12"/>
      <c r="E72" s="12"/>
      <c r="F72" s="12"/>
      <c r="G72" s="12"/>
      <c r="H72" s="12"/>
      <c r="I72" s="12"/>
      <c r="J72" s="12"/>
      <c r="K72" s="12"/>
      <c r="L72" s="19"/>
      <c r="M72" s="19"/>
      <c r="N72" s="19"/>
      <c r="O72" s="19"/>
      <c r="P72" s="19"/>
      <c r="Q72" s="12"/>
      <c r="R72" s="12"/>
      <c r="S72" s="12"/>
      <c r="T72" s="12"/>
      <c r="U72" s="19"/>
      <c r="V72" s="12"/>
      <c r="W72" s="12"/>
      <c r="X72" s="12"/>
      <c r="Y72" s="12"/>
      <c r="Z72" s="12"/>
    </row>
    <row r="73">
      <c r="A73" s="18"/>
      <c r="B73" s="12"/>
      <c r="C73" s="12"/>
      <c r="D73" s="12"/>
      <c r="E73" s="12"/>
      <c r="F73" s="12"/>
      <c r="G73" s="12"/>
      <c r="H73" s="12"/>
      <c r="I73" s="12"/>
      <c r="J73" s="12"/>
      <c r="K73" s="12"/>
      <c r="L73" s="19"/>
      <c r="M73" s="19"/>
      <c r="N73" s="19"/>
      <c r="O73" s="19"/>
      <c r="P73" s="19"/>
      <c r="Q73" s="12"/>
      <c r="R73" s="12"/>
      <c r="S73" s="12"/>
      <c r="T73" s="12"/>
      <c r="U73" s="19"/>
      <c r="V73" s="12"/>
      <c r="W73" s="12"/>
      <c r="X73" s="12"/>
      <c r="Y73" s="12"/>
      <c r="Z73" s="12"/>
    </row>
    <row r="74">
      <c r="A74" s="18"/>
      <c r="B74" s="12"/>
      <c r="C74" s="12"/>
      <c r="D74" s="12"/>
      <c r="E74" s="12"/>
      <c r="F74" s="12"/>
      <c r="G74" s="12"/>
      <c r="H74" s="12"/>
      <c r="I74" s="12"/>
      <c r="J74" s="12"/>
      <c r="K74" s="12"/>
      <c r="L74" s="19"/>
      <c r="M74" s="19"/>
      <c r="N74" s="19"/>
      <c r="O74" s="19"/>
      <c r="P74" s="19"/>
      <c r="Q74" s="12"/>
      <c r="R74" s="12"/>
      <c r="S74" s="12"/>
      <c r="T74" s="12"/>
      <c r="U74" s="19"/>
      <c r="V74" s="12"/>
      <c r="W74" s="12"/>
      <c r="X74" s="12"/>
      <c r="Y74" s="12"/>
      <c r="Z74" s="12"/>
    </row>
    <row r="75">
      <c r="A75" s="18"/>
      <c r="B75" s="12"/>
      <c r="C75" s="12"/>
      <c r="D75" s="12"/>
      <c r="E75" s="12"/>
      <c r="F75" s="12"/>
      <c r="G75" s="12"/>
      <c r="H75" s="12"/>
      <c r="I75" s="12"/>
      <c r="J75" s="12"/>
      <c r="K75" s="12"/>
      <c r="L75" s="19"/>
      <c r="M75" s="19"/>
      <c r="N75" s="19"/>
      <c r="O75" s="19"/>
      <c r="P75" s="19"/>
      <c r="Q75" s="12"/>
      <c r="R75" s="12"/>
      <c r="S75" s="12"/>
      <c r="T75" s="12"/>
      <c r="U75" s="19"/>
      <c r="V75" s="12"/>
      <c r="W75" s="12"/>
      <c r="X75" s="12"/>
      <c r="Y75" s="12"/>
      <c r="Z75" s="12"/>
    </row>
    <row r="76">
      <c r="A76" s="18"/>
      <c r="B76" s="12"/>
      <c r="C76" s="12"/>
      <c r="D76" s="12"/>
      <c r="E76" s="12"/>
      <c r="F76" s="12"/>
      <c r="G76" s="12"/>
      <c r="H76" s="12"/>
      <c r="I76" s="12"/>
      <c r="J76" s="12"/>
      <c r="K76" s="12"/>
      <c r="L76" s="19"/>
      <c r="M76" s="19"/>
      <c r="N76" s="19"/>
      <c r="O76" s="19"/>
      <c r="P76" s="19"/>
      <c r="Q76" s="12"/>
      <c r="R76" s="12"/>
      <c r="S76" s="12"/>
      <c r="T76" s="12"/>
      <c r="U76" s="19"/>
      <c r="V76" s="12"/>
      <c r="W76" s="12"/>
      <c r="X76" s="12"/>
      <c r="Y76" s="12"/>
      <c r="Z76" s="12"/>
    </row>
    <row r="77">
      <c r="A77" s="18"/>
      <c r="B77" s="12"/>
      <c r="C77" s="12"/>
      <c r="D77" s="12"/>
      <c r="E77" s="12"/>
      <c r="F77" s="12"/>
      <c r="G77" s="12"/>
      <c r="H77" s="12"/>
      <c r="I77" s="12"/>
      <c r="J77" s="12"/>
      <c r="K77" s="12"/>
      <c r="L77" s="19"/>
      <c r="M77" s="19"/>
      <c r="N77" s="19"/>
      <c r="O77" s="19"/>
      <c r="P77" s="19"/>
      <c r="Q77" s="12"/>
      <c r="R77" s="12"/>
      <c r="S77" s="12"/>
      <c r="T77" s="12"/>
      <c r="U77" s="19"/>
      <c r="V77" s="12"/>
      <c r="W77" s="12"/>
      <c r="X77" s="12"/>
      <c r="Y77" s="12"/>
      <c r="Z77" s="12"/>
    </row>
    <row r="78">
      <c r="A78" s="18"/>
      <c r="B78" s="12"/>
      <c r="C78" s="12"/>
      <c r="D78" s="12"/>
      <c r="E78" s="12"/>
      <c r="F78" s="12"/>
      <c r="G78" s="12"/>
      <c r="H78" s="12"/>
      <c r="I78" s="12"/>
      <c r="J78" s="12"/>
      <c r="K78" s="12"/>
      <c r="L78" s="19"/>
      <c r="M78" s="19"/>
      <c r="N78" s="19"/>
      <c r="O78" s="19"/>
      <c r="P78" s="19"/>
      <c r="Q78" s="12"/>
      <c r="R78" s="12"/>
      <c r="S78" s="12"/>
      <c r="T78" s="12"/>
      <c r="U78" s="19"/>
      <c r="V78" s="12"/>
      <c r="W78" s="12"/>
      <c r="X78" s="12"/>
      <c r="Y78" s="12"/>
      <c r="Z78" s="12"/>
    </row>
    <row r="79">
      <c r="A79" s="18"/>
      <c r="B79" s="12"/>
      <c r="C79" s="12"/>
      <c r="D79" s="12"/>
      <c r="E79" s="12"/>
      <c r="F79" s="12"/>
      <c r="G79" s="12"/>
      <c r="H79" s="12"/>
      <c r="I79" s="12"/>
      <c r="J79" s="12"/>
      <c r="K79" s="12"/>
      <c r="L79" s="19"/>
      <c r="M79" s="19"/>
      <c r="N79" s="19"/>
      <c r="O79" s="19"/>
      <c r="P79" s="19"/>
      <c r="Q79" s="12"/>
      <c r="R79" s="12"/>
      <c r="S79" s="12"/>
      <c r="T79" s="12"/>
      <c r="U79" s="19"/>
      <c r="V79" s="12"/>
      <c r="W79" s="12"/>
      <c r="X79" s="12"/>
      <c r="Y79" s="12"/>
      <c r="Z79" s="12"/>
    </row>
    <row r="80">
      <c r="A80" s="18"/>
      <c r="B80" s="12"/>
      <c r="C80" s="12"/>
      <c r="D80" s="12"/>
      <c r="E80" s="12"/>
      <c r="F80" s="12"/>
      <c r="G80" s="12"/>
      <c r="H80" s="12"/>
      <c r="I80" s="12"/>
      <c r="J80" s="12"/>
      <c r="K80" s="12"/>
      <c r="L80" s="19"/>
      <c r="M80" s="19"/>
      <c r="N80" s="19"/>
      <c r="O80" s="19"/>
      <c r="P80" s="19"/>
      <c r="Q80" s="12"/>
      <c r="R80" s="12"/>
      <c r="S80" s="12"/>
      <c r="T80" s="12"/>
      <c r="U80" s="19"/>
      <c r="V80" s="12"/>
      <c r="W80" s="12"/>
      <c r="X80" s="12"/>
      <c r="Y80" s="12"/>
      <c r="Z80" s="12"/>
    </row>
    <row r="81">
      <c r="A81" s="18"/>
      <c r="B81" s="12"/>
      <c r="C81" s="12"/>
      <c r="D81" s="12"/>
      <c r="E81" s="12"/>
      <c r="F81" s="12"/>
      <c r="G81" s="12"/>
      <c r="H81" s="12"/>
      <c r="I81" s="12"/>
      <c r="J81" s="12"/>
      <c r="K81" s="12"/>
      <c r="L81" s="19"/>
      <c r="M81" s="19"/>
      <c r="N81" s="19"/>
      <c r="O81" s="19"/>
      <c r="P81" s="19"/>
      <c r="Q81" s="12"/>
      <c r="R81" s="12"/>
      <c r="S81" s="12"/>
      <c r="T81" s="12"/>
      <c r="U81" s="19"/>
      <c r="V81" s="12"/>
      <c r="W81" s="12"/>
      <c r="X81" s="12"/>
      <c r="Y81" s="12"/>
      <c r="Z81" s="12"/>
    </row>
    <row r="82">
      <c r="A82" s="18"/>
      <c r="B82" s="12"/>
      <c r="C82" s="12"/>
      <c r="D82" s="12"/>
      <c r="E82" s="12"/>
      <c r="F82" s="12"/>
      <c r="G82" s="12"/>
      <c r="H82" s="12"/>
      <c r="I82" s="12"/>
      <c r="J82" s="12"/>
      <c r="K82" s="12"/>
      <c r="L82" s="19"/>
      <c r="M82" s="19"/>
      <c r="N82" s="19"/>
      <c r="O82" s="19"/>
      <c r="P82" s="19"/>
      <c r="Q82" s="12"/>
      <c r="R82" s="12"/>
      <c r="S82" s="12"/>
      <c r="T82" s="12"/>
      <c r="U82" s="19"/>
      <c r="V82" s="12"/>
      <c r="W82" s="12"/>
      <c r="X82" s="12"/>
      <c r="Y82" s="12"/>
      <c r="Z82" s="12"/>
    </row>
    <row r="83">
      <c r="A83" s="18"/>
      <c r="B83" s="12"/>
      <c r="C83" s="12"/>
      <c r="D83" s="12"/>
      <c r="E83" s="12"/>
      <c r="F83" s="12"/>
      <c r="G83" s="12"/>
      <c r="H83" s="12"/>
      <c r="I83" s="12"/>
      <c r="J83" s="12"/>
      <c r="K83" s="12"/>
      <c r="L83" s="19"/>
      <c r="M83" s="19"/>
      <c r="N83" s="19"/>
      <c r="O83" s="19"/>
      <c r="P83" s="19"/>
      <c r="Q83" s="12"/>
      <c r="R83" s="12"/>
      <c r="S83" s="12"/>
      <c r="T83" s="12"/>
      <c r="U83" s="19"/>
      <c r="V83" s="12"/>
      <c r="W83" s="12"/>
      <c r="X83" s="12"/>
      <c r="Y83" s="12"/>
      <c r="Z83" s="12"/>
    </row>
    <row r="84">
      <c r="A84" s="18"/>
      <c r="B84" s="12"/>
      <c r="C84" s="12"/>
      <c r="D84" s="12"/>
      <c r="E84" s="12"/>
      <c r="F84" s="12"/>
      <c r="G84" s="12"/>
      <c r="H84" s="12"/>
      <c r="I84" s="12"/>
      <c r="J84" s="12"/>
      <c r="K84" s="12"/>
      <c r="L84" s="19"/>
      <c r="M84" s="19"/>
      <c r="N84" s="19"/>
      <c r="O84" s="19"/>
      <c r="P84" s="19"/>
      <c r="Q84" s="12"/>
      <c r="R84" s="12"/>
      <c r="S84" s="12"/>
      <c r="T84" s="12"/>
      <c r="U84" s="19"/>
      <c r="V84" s="12"/>
      <c r="W84" s="12"/>
      <c r="X84" s="12"/>
      <c r="Y84" s="12"/>
      <c r="Z84" s="12"/>
    </row>
    <row r="85">
      <c r="A85" s="18"/>
      <c r="B85" s="12"/>
      <c r="C85" s="12"/>
      <c r="D85" s="12"/>
      <c r="E85" s="12"/>
      <c r="F85" s="12"/>
      <c r="G85" s="12"/>
      <c r="H85" s="12"/>
      <c r="I85" s="12"/>
      <c r="J85" s="12"/>
      <c r="K85" s="12"/>
      <c r="L85" s="19"/>
      <c r="M85" s="19"/>
      <c r="N85" s="19"/>
      <c r="O85" s="19"/>
      <c r="P85" s="19"/>
      <c r="Q85" s="12"/>
      <c r="R85" s="12"/>
      <c r="S85" s="12"/>
      <c r="T85" s="12"/>
      <c r="U85" s="19"/>
      <c r="V85" s="12"/>
      <c r="W85" s="12"/>
      <c r="X85" s="12"/>
      <c r="Y85" s="12"/>
      <c r="Z85" s="12"/>
    </row>
    <row r="86">
      <c r="A86" s="18"/>
      <c r="B86" s="12"/>
      <c r="C86" s="12"/>
      <c r="D86" s="12"/>
      <c r="E86" s="12"/>
      <c r="F86" s="12"/>
      <c r="G86" s="12"/>
      <c r="H86" s="12"/>
      <c r="I86" s="12"/>
      <c r="J86" s="12"/>
      <c r="K86" s="12"/>
      <c r="L86" s="19"/>
      <c r="M86" s="19"/>
      <c r="N86" s="19"/>
      <c r="O86" s="19"/>
      <c r="P86" s="19"/>
      <c r="Q86" s="12"/>
      <c r="R86" s="12"/>
      <c r="S86" s="12"/>
      <c r="T86" s="12"/>
      <c r="U86" s="19"/>
      <c r="V86" s="12"/>
      <c r="W86" s="12"/>
      <c r="X86" s="12"/>
      <c r="Y86" s="12"/>
      <c r="Z86" s="12"/>
    </row>
    <row r="87">
      <c r="A87" s="18"/>
      <c r="B87" s="12"/>
      <c r="C87" s="12"/>
      <c r="D87" s="12"/>
      <c r="E87" s="12"/>
      <c r="F87" s="12"/>
      <c r="G87" s="12"/>
      <c r="H87" s="12"/>
      <c r="I87" s="12"/>
      <c r="J87" s="12"/>
      <c r="K87" s="12"/>
      <c r="L87" s="19"/>
      <c r="M87" s="19"/>
      <c r="N87" s="19"/>
      <c r="O87" s="19"/>
      <c r="P87" s="19"/>
      <c r="Q87" s="12"/>
      <c r="R87" s="12"/>
      <c r="S87" s="12"/>
      <c r="T87" s="12"/>
      <c r="U87" s="19"/>
      <c r="V87" s="12"/>
      <c r="W87" s="12"/>
      <c r="X87" s="12"/>
      <c r="Y87" s="12"/>
      <c r="Z87" s="12"/>
    </row>
    <row r="88">
      <c r="A88" s="18"/>
      <c r="B88" s="12"/>
      <c r="C88" s="12"/>
      <c r="D88" s="12"/>
      <c r="E88" s="12"/>
      <c r="F88" s="12"/>
      <c r="G88" s="12"/>
      <c r="H88" s="12"/>
      <c r="I88" s="12"/>
      <c r="J88" s="12"/>
      <c r="K88" s="12"/>
      <c r="L88" s="19"/>
      <c r="M88" s="19"/>
      <c r="N88" s="19"/>
      <c r="O88" s="19"/>
      <c r="P88" s="19"/>
      <c r="Q88" s="12"/>
      <c r="R88" s="12"/>
      <c r="S88" s="12"/>
      <c r="T88" s="12"/>
      <c r="U88" s="19"/>
      <c r="V88" s="12"/>
      <c r="W88" s="12"/>
      <c r="X88" s="12"/>
      <c r="Y88" s="12"/>
      <c r="Z88" s="12"/>
    </row>
    <row r="89">
      <c r="A89" s="18"/>
      <c r="B89" s="12"/>
      <c r="C89" s="12"/>
      <c r="D89" s="12"/>
      <c r="E89" s="12"/>
      <c r="F89" s="12"/>
      <c r="G89" s="12"/>
      <c r="H89" s="12"/>
      <c r="I89" s="12"/>
      <c r="J89" s="12"/>
      <c r="K89" s="12"/>
      <c r="L89" s="19"/>
      <c r="M89" s="19"/>
      <c r="N89" s="19"/>
      <c r="O89" s="19"/>
      <c r="P89" s="19"/>
      <c r="Q89" s="12"/>
      <c r="R89" s="12"/>
      <c r="S89" s="12"/>
      <c r="T89" s="12"/>
      <c r="U89" s="19"/>
      <c r="V89" s="12"/>
      <c r="W89" s="12"/>
      <c r="X89" s="12"/>
      <c r="Y89" s="12"/>
      <c r="Z89" s="12"/>
    </row>
    <row r="90">
      <c r="A90" s="18"/>
      <c r="B90" s="12"/>
      <c r="C90" s="12"/>
      <c r="D90" s="12"/>
      <c r="E90" s="12"/>
      <c r="F90" s="12"/>
      <c r="G90" s="12"/>
      <c r="H90" s="12"/>
      <c r="I90" s="12"/>
      <c r="J90" s="12"/>
      <c r="K90" s="12"/>
      <c r="L90" s="19"/>
      <c r="M90" s="19"/>
      <c r="N90" s="19"/>
      <c r="O90" s="19"/>
      <c r="P90" s="19"/>
      <c r="Q90" s="12"/>
      <c r="R90" s="12"/>
      <c r="S90" s="12"/>
      <c r="T90" s="12"/>
      <c r="U90" s="19"/>
      <c r="V90" s="12"/>
      <c r="W90" s="12"/>
      <c r="X90" s="12"/>
      <c r="Y90" s="12"/>
      <c r="Z90" s="12"/>
    </row>
    <row r="91">
      <c r="A91" s="18"/>
      <c r="B91" s="12"/>
      <c r="C91" s="12"/>
      <c r="D91" s="12"/>
      <c r="E91" s="12"/>
      <c r="F91" s="12"/>
      <c r="G91" s="12"/>
      <c r="H91" s="12"/>
      <c r="I91" s="12"/>
      <c r="J91" s="12"/>
      <c r="K91" s="12"/>
      <c r="L91" s="19"/>
      <c r="M91" s="19"/>
      <c r="N91" s="19"/>
      <c r="O91" s="19"/>
      <c r="P91" s="19"/>
      <c r="Q91" s="12"/>
      <c r="R91" s="12"/>
      <c r="S91" s="12"/>
      <c r="T91" s="12"/>
      <c r="U91" s="19"/>
      <c r="V91" s="12"/>
      <c r="W91" s="12"/>
      <c r="X91" s="12"/>
      <c r="Y91" s="12"/>
      <c r="Z91" s="12"/>
    </row>
    <row r="92">
      <c r="A92" s="18"/>
      <c r="B92" s="12"/>
      <c r="C92" s="12"/>
      <c r="D92" s="12"/>
      <c r="E92" s="12"/>
      <c r="F92" s="12"/>
      <c r="G92" s="12"/>
      <c r="H92" s="12"/>
      <c r="I92" s="12"/>
      <c r="J92" s="12"/>
      <c r="K92" s="12"/>
      <c r="L92" s="19"/>
      <c r="M92" s="19"/>
      <c r="N92" s="19"/>
      <c r="O92" s="19"/>
      <c r="P92" s="19"/>
      <c r="Q92" s="12"/>
      <c r="R92" s="12"/>
      <c r="S92" s="12"/>
      <c r="T92" s="12"/>
      <c r="U92" s="19"/>
      <c r="V92" s="12"/>
      <c r="W92" s="12"/>
      <c r="X92" s="12"/>
      <c r="Y92" s="12"/>
      <c r="Z92" s="12"/>
    </row>
    <row r="93">
      <c r="A93" s="18"/>
      <c r="B93" s="12"/>
      <c r="C93" s="12"/>
      <c r="D93" s="12"/>
      <c r="E93" s="12"/>
      <c r="F93" s="12"/>
      <c r="G93" s="12"/>
      <c r="H93" s="12"/>
      <c r="I93" s="12"/>
      <c r="J93" s="12"/>
      <c r="K93" s="12"/>
      <c r="L93" s="19"/>
      <c r="M93" s="19"/>
      <c r="N93" s="19"/>
      <c r="O93" s="19"/>
      <c r="P93" s="19"/>
      <c r="Q93" s="12"/>
      <c r="R93" s="12"/>
      <c r="S93" s="12"/>
      <c r="T93" s="12"/>
      <c r="U93" s="19"/>
      <c r="V93" s="12"/>
      <c r="W93" s="12"/>
      <c r="X93" s="12"/>
      <c r="Y93" s="12"/>
      <c r="Z93" s="12"/>
    </row>
    <row r="94">
      <c r="A94" s="18"/>
      <c r="B94" s="12"/>
      <c r="C94" s="12"/>
      <c r="D94" s="12"/>
      <c r="E94" s="12"/>
      <c r="F94" s="12"/>
      <c r="G94" s="12"/>
      <c r="H94" s="12"/>
      <c r="I94" s="12"/>
      <c r="J94" s="12"/>
      <c r="K94" s="12"/>
      <c r="L94" s="19"/>
      <c r="M94" s="19"/>
      <c r="N94" s="19"/>
      <c r="O94" s="19"/>
      <c r="P94" s="19"/>
      <c r="Q94" s="12"/>
      <c r="R94" s="12"/>
      <c r="S94" s="12"/>
      <c r="T94" s="12"/>
      <c r="U94" s="19"/>
      <c r="V94" s="12"/>
      <c r="W94" s="12"/>
      <c r="X94" s="12"/>
      <c r="Y94" s="12"/>
      <c r="Z94" s="12"/>
    </row>
    <row r="95">
      <c r="A95" s="18"/>
      <c r="B95" s="12"/>
      <c r="C95" s="12"/>
      <c r="D95" s="12"/>
      <c r="E95" s="12"/>
      <c r="F95" s="12"/>
      <c r="G95" s="12"/>
      <c r="H95" s="12"/>
      <c r="I95" s="12"/>
      <c r="J95" s="12"/>
      <c r="K95" s="12"/>
      <c r="L95" s="19"/>
      <c r="M95" s="19"/>
      <c r="N95" s="19"/>
      <c r="O95" s="19"/>
      <c r="P95" s="19"/>
      <c r="Q95" s="12"/>
      <c r="R95" s="12"/>
      <c r="S95" s="12"/>
      <c r="T95" s="12"/>
      <c r="U95" s="19"/>
      <c r="V95" s="12"/>
      <c r="W95" s="12"/>
      <c r="X95" s="12"/>
      <c r="Y95" s="12"/>
      <c r="Z95" s="12"/>
    </row>
    <row r="96">
      <c r="A96" s="18"/>
      <c r="B96" s="12"/>
      <c r="C96" s="12"/>
      <c r="D96" s="12"/>
      <c r="E96" s="12"/>
      <c r="F96" s="12"/>
      <c r="G96" s="12"/>
      <c r="H96" s="12"/>
      <c r="I96" s="12"/>
      <c r="J96" s="12"/>
      <c r="K96" s="12"/>
      <c r="L96" s="19"/>
      <c r="M96" s="19"/>
      <c r="N96" s="19"/>
      <c r="O96" s="19"/>
      <c r="P96" s="19"/>
      <c r="Q96" s="12"/>
      <c r="R96" s="12"/>
      <c r="S96" s="12"/>
      <c r="T96" s="12"/>
      <c r="U96" s="19"/>
      <c r="V96" s="12"/>
      <c r="W96" s="12"/>
      <c r="X96" s="12"/>
      <c r="Y96" s="12"/>
      <c r="Z96" s="12"/>
    </row>
    <row r="97">
      <c r="A97" s="18"/>
      <c r="B97" s="12"/>
      <c r="C97" s="12"/>
      <c r="D97" s="12"/>
      <c r="E97" s="12"/>
      <c r="F97" s="12"/>
      <c r="G97" s="12"/>
      <c r="H97" s="12"/>
      <c r="I97" s="12"/>
      <c r="J97" s="12"/>
      <c r="K97" s="12"/>
      <c r="L97" s="19"/>
      <c r="M97" s="19"/>
      <c r="N97" s="19"/>
      <c r="O97" s="19"/>
      <c r="P97" s="19"/>
      <c r="Q97" s="12"/>
      <c r="R97" s="12"/>
      <c r="S97" s="12"/>
      <c r="T97" s="12"/>
      <c r="U97" s="19"/>
      <c r="V97" s="12"/>
      <c r="W97" s="12"/>
      <c r="X97" s="12"/>
      <c r="Y97" s="12"/>
      <c r="Z97" s="12"/>
    </row>
    <row r="98">
      <c r="A98" s="18"/>
      <c r="B98" s="12"/>
      <c r="C98" s="12"/>
      <c r="D98" s="12"/>
      <c r="E98" s="12"/>
      <c r="F98" s="12"/>
      <c r="G98" s="12"/>
      <c r="H98" s="12"/>
      <c r="I98" s="12"/>
      <c r="J98" s="12"/>
      <c r="K98" s="12"/>
      <c r="L98" s="19"/>
      <c r="M98" s="19"/>
      <c r="N98" s="19"/>
      <c r="O98" s="19"/>
      <c r="P98" s="19"/>
      <c r="Q98" s="12"/>
      <c r="R98" s="12"/>
      <c r="S98" s="12"/>
      <c r="T98" s="12"/>
      <c r="U98" s="19"/>
      <c r="V98" s="12"/>
      <c r="W98" s="12"/>
      <c r="X98" s="12"/>
      <c r="Y98" s="12"/>
      <c r="Z98" s="12"/>
    </row>
    <row r="99">
      <c r="A99" s="18"/>
      <c r="B99" s="12"/>
      <c r="C99" s="12"/>
      <c r="D99" s="12"/>
      <c r="E99" s="12"/>
      <c r="F99" s="12"/>
      <c r="G99" s="12"/>
      <c r="H99" s="12"/>
      <c r="I99" s="12"/>
      <c r="J99" s="12"/>
      <c r="K99" s="12"/>
      <c r="L99" s="19"/>
      <c r="M99" s="19"/>
      <c r="N99" s="19"/>
      <c r="O99" s="19"/>
      <c r="P99" s="19"/>
      <c r="Q99" s="12"/>
      <c r="R99" s="12"/>
      <c r="S99" s="12"/>
      <c r="T99" s="12"/>
      <c r="U99" s="19"/>
      <c r="V99" s="12"/>
      <c r="W99" s="12"/>
      <c r="X99" s="12"/>
      <c r="Y99" s="12"/>
      <c r="Z99" s="12"/>
    </row>
    <row r="100">
      <c r="A100" s="18"/>
      <c r="B100" s="12"/>
      <c r="C100" s="12"/>
      <c r="D100" s="12"/>
      <c r="E100" s="12"/>
      <c r="F100" s="12"/>
      <c r="G100" s="12"/>
      <c r="H100" s="12"/>
      <c r="I100" s="12"/>
      <c r="J100" s="12"/>
      <c r="K100" s="12"/>
      <c r="L100" s="19"/>
      <c r="M100" s="19"/>
      <c r="N100" s="19"/>
      <c r="O100" s="19"/>
      <c r="P100" s="19"/>
      <c r="Q100" s="12"/>
      <c r="R100" s="12"/>
      <c r="S100" s="12"/>
      <c r="T100" s="12"/>
      <c r="U100" s="19"/>
      <c r="V100" s="12"/>
      <c r="W100" s="12"/>
      <c r="X100" s="12"/>
      <c r="Y100" s="12"/>
      <c r="Z100" s="12"/>
    </row>
    <row r="101">
      <c r="A101" s="18"/>
      <c r="B101" s="12"/>
      <c r="C101" s="12"/>
      <c r="D101" s="12"/>
      <c r="E101" s="12"/>
      <c r="F101" s="12"/>
      <c r="G101" s="12"/>
      <c r="H101" s="12"/>
      <c r="I101" s="12"/>
      <c r="J101" s="12"/>
      <c r="K101" s="12"/>
      <c r="L101" s="19"/>
      <c r="M101" s="19"/>
      <c r="N101" s="19"/>
      <c r="O101" s="19"/>
      <c r="P101" s="19"/>
      <c r="Q101" s="12"/>
      <c r="R101" s="12"/>
      <c r="S101" s="12"/>
      <c r="T101" s="12"/>
      <c r="U101" s="19"/>
      <c r="V101" s="12"/>
      <c r="W101" s="12"/>
      <c r="X101" s="12"/>
      <c r="Y101" s="12"/>
      <c r="Z101" s="12"/>
    </row>
    <row r="102">
      <c r="A102" s="18"/>
      <c r="B102" s="12"/>
      <c r="C102" s="12"/>
      <c r="D102" s="12"/>
      <c r="E102" s="12"/>
      <c r="F102" s="12"/>
      <c r="G102" s="12"/>
      <c r="H102" s="12"/>
      <c r="I102" s="12"/>
      <c r="J102" s="12"/>
      <c r="K102" s="12"/>
      <c r="L102" s="19"/>
      <c r="M102" s="19"/>
      <c r="N102" s="19"/>
      <c r="O102" s="19"/>
      <c r="P102" s="19"/>
      <c r="Q102" s="12"/>
      <c r="R102" s="12"/>
      <c r="S102" s="12"/>
      <c r="T102" s="12"/>
      <c r="U102" s="19"/>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sheetData>
  <hyperlinks>
    <hyperlink r:id="rId1" ref="S3"/>
    <hyperlink r:id="rId2" ref="G4"/>
    <hyperlink r:id="rId3" ref="S4"/>
    <hyperlink r:id="rId4" ref="S5"/>
    <hyperlink r:id="rId5" ref="S6"/>
    <hyperlink r:id="rId6" ref="F7"/>
    <hyperlink r:id="rId7" ref="S7"/>
    <hyperlink r:id="rId8" ref="F8"/>
    <hyperlink r:id="rId9" ref="G8"/>
    <hyperlink r:id="rId10" ref="S8"/>
    <hyperlink r:id="rId11" ref="S9"/>
    <hyperlink r:id="rId12" ref="F10"/>
    <hyperlink r:id="rId13" ref="G10"/>
    <hyperlink r:id="rId14" ref="S10"/>
    <hyperlink r:id="rId15" ref="S11"/>
    <hyperlink r:id="rId16" ref="F12"/>
    <hyperlink r:id="rId17" ref="S12"/>
    <hyperlink r:id="rId18" ref="S13"/>
    <hyperlink r:id="rId19" ref="S14"/>
    <hyperlink r:id="rId20" ref="S15"/>
    <hyperlink r:id="rId21" ref="S16"/>
    <hyperlink r:id="rId22" ref="G17"/>
    <hyperlink r:id="rId23" ref="S17"/>
    <hyperlink r:id="rId24" ref="S18"/>
    <hyperlink r:id="rId25" ref="S19"/>
    <hyperlink r:id="rId26" ref="S20"/>
    <hyperlink r:id="rId27" ref="G21"/>
    <hyperlink r:id="rId28" ref="S21"/>
    <hyperlink r:id="rId29" ref="G22"/>
    <hyperlink r:id="rId30" ref="S22"/>
  </hyperlinks>
  <drawing r:id="rId31"/>
  <tableParts count="1">
    <tablePart r:id="rId3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996</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44222.606516203705</v>
      </c>
      <c r="B3" s="9" t="str">
        <f>HYPERLINK("https://twitter.com/LuisMememonge","@LuisMememonge")</f>
        <v>@LuisMememonge</v>
      </c>
      <c r="C3" s="10" t="s">
        <v>997</v>
      </c>
      <c r="D3" s="10" t="s">
        <v>998</v>
      </c>
      <c r="E3" s="9" t="str">
        <f>HYPERLINK("https://twitter.com/LuisMememonge/status/1354165558615306241","1354165558615306241")</f>
        <v>1354165558615306241</v>
      </c>
      <c r="F3" s="11" t="s">
        <v>999</v>
      </c>
      <c r="G3" s="12"/>
      <c r="H3" s="12"/>
      <c r="I3" s="13">
        <v>0.0</v>
      </c>
      <c r="J3" s="13">
        <v>0.0</v>
      </c>
      <c r="K3" s="9" t="str">
        <f>HYPERLINK("http://twitter.com/download/android","Twitter for Android")</f>
        <v>Twitter for Android</v>
      </c>
      <c r="L3" s="14">
        <v>78.0</v>
      </c>
      <c r="M3" s="14">
        <v>310.0</v>
      </c>
      <c r="N3" s="14">
        <v>0.0</v>
      </c>
      <c r="O3" s="19"/>
      <c r="P3" s="16">
        <v>41456.85295138889</v>
      </c>
      <c r="Q3" s="12"/>
      <c r="R3" s="12"/>
      <c r="S3" s="12"/>
      <c r="T3" s="12"/>
      <c r="U3" s="17" t="str">
        <f>HYPERLINK("https://pbs.twimg.com/profile_images/1339354033031528450/pnirh6UP.jpg","View")</f>
        <v>View</v>
      </c>
      <c r="V3" s="12"/>
      <c r="W3" s="12"/>
      <c r="X3" s="12"/>
      <c r="Y3" s="12"/>
      <c r="Z3" s="12"/>
    </row>
    <row r="4">
      <c r="A4" s="8">
        <v>44222.605520833335</v>
      </c>
      <c r="B4" s="9" t="str">
        <f>HYPERLINK("https://twitter.com/jccharc","@jccharc")</f>
        <v>@jccharc</v>
      </c>
      <c r="C4" s="10" t="s">
        <v>1000</v>
      </c>
      <c r="D4" s="10" t="s">
        <v>1001</v>
      </c>
      <c r="E4" s="9" t="str">
        <f>HYPERLINK("https://twitter.com/jccharc/status/1354165200845332481","1354165200845332481")</f>
        <v>1354165200845332481</v>
      </c>
      <c r="F4" s="11" t="s">
        <v>1002</v>
      </c>
      <c r="G4" s="11" t="s">
        <v>1003</v>
      </c>
      <c r="H4" s="12"/>
      <c r="I4" s="13">
        <v>1.0</v>
      </c>
      <c r="J4" s="13">
        <v>2.0</v>
      </c>
      <c r="K4" s="9" t="str">
        <f>HYPERLINK("http://twitter.com/download/iphone","Twitter for iPhone")</f>
        <v>Twitter for iPhone</v>
      </c>
      <c r="L4" s="14">
        <v>3308.0</v>
      </c>
      <c r="M4" s="14">
        <v>1236.0</v>
      </c>
      <c r="N4" s="14">
        <v>8.0</v>
      </c>
      <c r="O4" s="19"/>
      <c r="P4" s="16">
        <v>40352.91069444444</v>
      </c>
      <c r="Q4" s="10" t="s">
        <v>478</v>
      </c>
      <c r="R4" s="10" t="s">
        <v>1004</v>
      </c>
      <c r="S4" s="12"/>
      <c r="T4" s="12"/>
      <c r="U4" s="17" t="str">
        <f>HYPERLINK("https://pbs.twimg.com/profile_images/1306663359660453888/lra3moqC.jpg","View")</f>
        <v>View</v>
      </c>
      <c r="V4" s="12"/>
      <c r="W4" s="12"/>
      <c r="X4" s="12"/>
      <c r="Y4" s="12"/>
      <c r="Z4" s="12"/>
    </row>
    <row r="5">
      <c r="A5" s="8">
        <v>44222.60533564815</v>
      </c>
      <c r="B5" s="9" t="str">
        <f t="shared" ref="B5:B6" si="1">HYPERLINK("https://twitter.com/NTN24Zoom","@NTN24Zoom")</f>
        <v>@NTN24Zoom</v>
      </c>
      <c r="C5" s="10" t="s">
        <v>1005</v>
      </c>
      <c r="D5" s="10" t="s">
        <v>1006</v>
      </c>
      <c r="E5" s="9" t="str">
        <f>HYPERLINK("https://twitter.com/NTN24Zoom/status/1354165133929570306","1354165133929570306")</f>
        <v>1354165133929570306</v>
      </c>
      <c r="F5" s="11" t="s">
        <v>1007</v>
      </c>
      <c r="G5" s="12"/>
      <c r="H5" s="12"/>
      <c r="I5" s="13">
        <v>0.0</v>
      </c>
      <c r="J5" s="13">
        <v>0.0</v>
      </c>
      <c r="K5" s="9" t="str">
        <f t="shared" ref="K5:K6" si="2">HYPERLINK("https://mobile.twitter.com","Twitter Web App")</f>
        <v>Twitter Web App</v>
      </c>
      <c r="L5" s="14">
        <v>28842.0</v>
      </c>
      <c r="M5" s="14">
        <v>1746.0</v>
      </c>
      <c r="N5" s="14">
        <v>173.0</v>
      </c>
      <c r="O5" s="19"/>
      <c r="P5" s="16">
        <v>40267.361875</v>
      </c>
      <c r="Q5" s="10" t="s">
        <v>1008</v>
      </c>
      <c r="R5" s="10" t="s">
        <v>1009</v>
      </c>
      <c r="S5" s="11" t="s">
        <v>1010</v>
      </c>
      <c r="T5" s="12"/>
      <c r="U5" s="17" t="str">
        <f t="shared" ref="U5:U6" si="3">HYPERLINK("https://pbs.twimg.com/profile_images/1278742144665235457/ZsO6rY17.jpg","View")</f>
        <v>View</v>
      </c>
      <c r="V5" s="12"/>
      <c r="W5" s="12"/>
      <c r="X5" s="12"/>
      <c r="Y5" s="12"/>
      <c r="Z5" s="12"/>
    </row>
    <row r="6">
      <c r="A6" s="8">
        <v>44222.596817129626</v>
      </c>
      <c r="B6" s="9" t="str">
        <f t="shared" si="1"/>
        <v>@NTN24Zoom</v>
      </c>
      <c r="C6" s="10" t="s">
        <v>1005</v>
      </c>
      <c r="D6" s="10" t="s">
        <v>1011</v>
      </c>
      <c r="E6" s="9" t="str">
        <f>HYPERLINK("https://twitter.com/NTN24Zoom/status/1354162046762430465","1354162046762430465")</f>
        <v>1354162046762430465</v>
      </c>
      <c r="F6" s="12"/>
      <c r="G6" s="11" t="s">
        <v>1012</v>
      </c>
      <c r="H6" s="12"/>
      <c r="I6" s="13">
        <v>0.0</v>
      </c>
      <c r="J6" s="13">
        <v>1.0</v>
      </c>
      <c r="K6" s="9" t="str">
        <f t="shared" si="2"/>
        <v>Twitter Web App</v>
      </c>
      <c r="L6" s="14">
        <v>28842.0</v>
      </c>
      <c r="M6" s="14">
        <v>1746.0</v>
      </c>
      <c r="N6" s="14">
        <v>173.0</v>
      </c>
      <c r="O6" s="19"/>
      <c r="P6" s="16">
        <v>40267.361875</v>
      </c>
      <c r="Q6" s="10" t="s">
        <v>1008</v>
      </c>
      <c r="R6" s="10" t="s">
        <v>1009</v>
      </c>
      <c r="S6" s="11" t="s">
        <v>1010</v>
      </c>
      <c r="T6" s="12"/>
      <c r="U6" s="17" t="str">
        <f t="shared" si="3"/>
        <v>View</v>
      </c>
      <c r="V6" s="12"/>
      <c r="W6" s="12"/>
      <c r="X6" s="12"/>
      <c r="Y6" s="12"/>
      <c r="Z6" s="12"/>
    </row>
    <row r="7">
      <c r="A7" s="8">
        <v>44222.59505787037</v>
      </c>
      <c r="B7" s="9" t="str">
        <f>HYPERLINK("https://twitter.com/fchazaro","@fchazaro")</f>
        <v>@fchazaro</v>
      </c>
      <c r="C7" s="10" t="s">
        <v>1013</v>
      </c>
      <c r="D7" s="10" t="s">
        <v>1014</v>
      </c>
      <c r="E7" s="9" t="str">
        <f>HYPERLINK("https://twitter.com/fchazaro/status/1354161406812123136","1354161406812123136")</f>
        <v>1354161406812123136</v>
      </c>
      <c r="F7" s="11" t="s">
        <v>1015</v>
      </c>
      <c r="G7" s="12"/>
      <c r="H7" s="12"/>
      <c r="I7" s="13">
        <v>0.0</v>
      </c>
      <c r="J7" s="13">
        <v>0.0</v>
      </c>
      <c r="K7" s="9" t="str">
        <f>HYPERLINK("http://twitter.com/download/android","Twitter for Android")</f>
        <v>Twitter for Android</v>
      </c>
      <c r="L7" s="14">
        <v>1058.0</v>
      </c>
      <c r="M7" s="14">
        <v>1405.0</v>
      </c>
      <c r="N7" s="14">
        <v>4.0</v>
      </c>
      <c r="O7" s="19"/>
      <c r="P7" s="16">
        <v>40316.669224537036</v>
      </c>
      <c r="Q7" s="10" t="s">
        <v>633</v>
      </c>
      <c r="R7" s="10" t="s">
        <v>1016</v>
      </c>
      <c r="S7" s="12"/>
      <c r="T7" s="12"/>
      <c r="U7" s="17" t="str">
        <f>HYPERLINK("https://pbs.twimg.com/profile_images/1343224711103139840/vJ0-C2hL.jpg","View")</f>
        <v>View</v>
      </c>
      <c r="V7" s="12"/>
      <c r="W7" s="12"/>
      <c r="X7" s="12"/>
      <c r="Y7" s="12"/>
      <c r="Z7" s="12"/>
    </row>
    <row r="8">
      <c r="A8" s="8">
        <v>44222.555231481485</v>
      </c>
      <c r="B8" s="9" t="str">
        <f>HYPERLINK("https://twitter.com/joak28","@joak28")</f>
        <v>@joak28</v>
      </c>
      <c r="C8" s="10" t="s">
        <v>1017</v>
      </c>
      <c r="D8" s="10" t="s">
        <v>1018</v>
      </c>
      <c r="E8" s="9" t="str">
        <f>HYPERLINK("https://twitter.com/joak28/status/1354146974828789763","1354146974828789763")</f>
        <v>1354146974828789763</v>
      </c>
      <c r="F8" s="12"/>
      <c r="G8" s="12"/>
      <c r="H8" s="12"/>
      <c r="I8" s="13">
        <v>1.0</v>
      </c>
      <c r="J8" s="13">
        <v>2.0</v>
      </c>
      <c r="K8" s="9" t="str">
        <f t="shared" ref="K8:K10" si="4">HYPERLINK("http://twitter.com/download/iphone","Twitter for iPhone")</f>
        <v>Twitter for iPhone</v>
      </c>
      <c r="L8" s="14">
        <v>2677.0</v>
      </c>
      <c r="M8" s="14">
        <v>4960.0</v>
      </c>
      <c r="N8" s="14">
        <v>5.0</v>
      </c>
      <c r="O8" s="19"/>
      <c r="P8" s="16">
        <v>40317.99354166667</v>
      </c>
      <c r="Q8" s="12"/>
      <c r="R8" s="10" t="s">
        <v>1019</v>
      </c>
      <c r="S8" s="12"/>
      <c r="T8" s="12"/>
      <c r="U8" s="17" t="str">
        <f>HYPERLINK("https://pbs.twimg.com/profile_images/1252850978824454146/3z3YubcA.jpg","View")</f>
        <v>View</v>
      </c>
      <c r="V8" s="12"/>
      <c r="W8" s="12"/>
      <c r="X8" s="12"/>
      <c r="Y8" s="12"/>
      <c r="Z8" s="12"/>
    </row>
    <row r="9">
      <c r="A9" s="8">
        <v>44222.49253472222</v>
      </c>
      <c r="B9" s="9" t="str">
        <f>HYPERLINK("https://twitter.com/sandu13","@sandu13")</f>
        <v>@sandu13</v>
      </c>
      <c r="C9" s="10" t="s">
        <v>1020</v>
      </c>
      <c r="D9" s="10" t="s">
        <v>1021</v>
      </c>
      <c r="E9" s="9" t="str">
        <f>HYPERLINK("https://twitter.com/sandu13/status/1354124255039025153","1354124255039025153")</f>
        <v>1354124255039025153</v>
      </c>
      <c r="F9" s="10" t="s">
        <v>1022</v>
      </c>
      <c r="G9" s="12"/>
      <c r="H9" s="12"/>
      <c r="I9" s="13">
        <v>0.0</v>
      </c>
      <c r="J9" s="13">
        <v>0.0</v>
      </c>
      <c r="K9" s="9" t="str">
        <f t="shared" si="4"/>
        <v>Twitter for iPhone</v>
      </c>
      <c r="L9" s="14">
        <v>387.0</v>
      </c>
      <c r="M9" s="14">
        <v>1104.0</v>
      </c>
      <c r="N9" s="14">
        <v>5.0</v>
      </c>
      <c r="O9" s="19"/>
      <c r="P9" s="16">
        <v>39990.47866898148</v>
      </c>
      <c r="Q9" s="10" t="s">
        <v>1023</v>
      </c>
      <c r="R9" s="10" t="s">
        <v>1024</v>
      </c>
      <c r="S9" s="12"/>
      <c r="T9" s="12"/>
      <c r="U9" s="17" t="str">
        <f>HYPERLINK("https://pbs.twimg.com/profile_images/1208123820504207360/ZZVMlPut.jpg","View")</f>
        <v>View</v>
      </c>
      <c r="V9" s="12"/>
      <c r="W9" s="12"/>
      <c r="X9" s="12"/>
      <c r="Y9" s="12"/>
      <c r="Z9" s="12"/>
    </row>
    <row r="10">
      <c r="A10" s="8">
        <v>44222.49228009259</v>
      </c>
      <c r="B10" s="9" t="str">
        <f>HYPERLINK("https://twitter.com/irondave11","@irondave11")</f>
        <v>@irondave11</v>
      </c>
      <c r="C10" s="10" t="s">
        <v>1025</v>
      </c>
      <c r="D10" s="10" t="s">
        <v>1026</v>
      </c>
      <c r="E10" s="9" t="str">
        <f>HYPERLINK("https://twitter.com/irondave11/status/1354124161950605312","1354124161950605312")</f>
        <v>1354124161950605312</v>
      </c>
      <c r="F10" s="12"/>
      <c r="G10" s="11" t="s">
        <v>1027</v>
      </c>
      <c r="H10" s="12"/>
      <c r="I10" s="13">
        <v>6.0</v>
      </c>
      <c r="J10" s="13">
        <v>11.0</v>
      </c>
      <c r="K10" s="9" t="str">
        <f t="shared" si="4"/>
        <v>Twitter for iPhone</v>
      </c>
      <c r="L10" s="14">
        <v>2007.0</v>
      </c>
      <c r="M10" s="14">
        <v>1857.0</v>
      </c>
      <c r="N10" s="14">
        <v>1.0</v>
      </c>
      <c r="O10" s="19"/>
      <c r="P10" s="16">
        <v>43986.50721064815</v>
      </c>
      <c r="Q10" s="10" t="s">
        <v>1028</v>
      </c>
      <c r="R10" s="10" t="s">
        <v>1029</v>
      </c>
      <c r="S10" s="11" t="s">
        <v>1030</v>
      </c>
      <c r="T10" s="12"/>
      <c r="U10" s="17" t="str">
        <f>HYPERLINK("https://pbs.twimg.com/profile_images/1332758701627863040/OD9wubal.jpg","View")</f>
        <v>View</v>
      </c>
      <c r="V10" s="12"/>
      <c r="W10" s="12"/>
      <c r="X10" s="12"/>
      <c r="Y10" s="12"/>
      <c r="Z10" s="12"/>
    </row>
    <row r="11">
      <c r="A11" s="8">
        <v>44222.44131944445</v>
      </c>
      <c r="B11" s="9" t="str">
        <f>HYPERLINK("https://twitter.com/McKarmiko","@McKarmiko")</f>
        <v>@McKarmiko</v>
      </c>
      <c r="C11" s="10" t="s">
        <v>1031</v>
      </c>
      <c r="D11" s="10" t="s">
        <v>1032</v>
      </c>
      <c r="E11" s="9" t="str">
        <f>HYPERLINK("https://twitter.com/McKarmiko/status/1354105695197683715","1354105695197683715")</f>
        <v>1354105695197683715</v>
      </c>
      <c r="F11" s="11" t="s">
        <v>1033</v>
      </c>
      <c r="G11" s="11" t="s">
        <v>1034</v>
      </c>
      <c r="H11" s="12"/>
      <c r="I11" s="13">
        <v>0.0</v>
      </c>
      <c r="J11" s="13">
        <v>0.0</v>
      </c>
      <c r="K11" s="9" t="str">
        <f t="shared" ref="K11:K12" si="5">HYPERLINK("https://mobile.twitter.com","Twitter Web App")</f>
        <v>Twitter Web App</v>
      </c>
      <c r="L11" s="14">
        <v>2091.0</v>
      </c>
      <c r="M11" s="14">
        <v>2015.0</v>
      </c>
      <c r="N11" s="14">
        <v>20.0</v>
      </c>
      <c r="O11" s="19"/>
      <c r="P11" s="16">
        <v>39928.42074074074</v>
      </c>
      <c r="Q11" s="10" t="s">
        <v>1035</v>
      </c>
      <c r="R11" s="10" t="s">
        <v>1036</v>
      </c>
      <c r="S11" s="12"/>
      <c r="T11" s="12"/>
      <c r="U11" s="17" t="str">
        <f>HYPERLINK("https://pbs.twimg.com/profile_images/1287909792783241216/Uxw2LAtX.jpg","View")</f>
        <v>View</v>
      </c>
      <c r="V11" s="12"/>
      <c r="W11" s="12"/>
      <c r="X11" s="12"/>
      <c r="Y11" s="12"/>
      <c r="Z11" s="12"/>
    </row>
    <row r="12">
      <c r="A12" s="8">
        <v>44222.430879629625</v>
      </c>
      <c r="B12" s="9" t="str">
        <f>HYPERLINK("https://twitter.com/CNmenas","@CNmenas")</f>
        <v>@CNmenas</v>
      </c>
      <c r="C12" s="10" t="s">
        <v>1037</v>
      </c>
      <c r="D12" s="10" t="s">
        <v>1038</v>
      </c>
      <c r="E12" s="9" t="str">
        <f>HYPERLINK("https://twitter.com/CNmenas/status/1354101913562697728","1354101913562697728")</f>
        <v>1354101913562697728</v>
      </c>
      <c r="F12" s="11" t="s">
        <v>1039</v>
      </c>
      <c r="G12" s="12"/>
      <c r="H12" s="12"/>
      <c r="I12" s="13">
        <v>1.0</v>
      </c>
      <c r="J12" s="13">
        <v>0.0</v>
      </c>
      <c r="K12" s="9" t="str">
        <f t="shared" si="5"/>
        <v>Twitter Web App</v>
      </c>
      <c r="L12" s="14">
        <v>1195.0</v>
      </c>
      <c r="M12" s="14">
        <v>5002.0</v>
      </c>
      <c r="N12" s="14">
        <v>10.0</v>
      </c>
      <c r="O12" s="19"/>
      <c r="P12" s="16">
        <v>43939.77427083333</v>
      </c>
      <c r="Q12" s="12"/>
      <c r="R12" s="10" t="s">
        <v>1040</v>
      </c>
      <c r="S12" s="12"/>
      <c r="T12" s="12"/>
      <c r="U12" s="17" t="str">
        <f>HYPERLINK("https://pbs.twimg.com/profile_images/1310242523189784576/kGOQJ3QZ.jpg","View")</f>
        <v>View</v>
      </c>
      <c r="V12" s="12"/>
      <c r="W12" s="12"/>
      <c r="X12" s="12"/>
      <c r="Y12" s="12"/>
      <c r="Z12" s="12"/>
    </row>
    <row r="13">
      <c r="A13" s="8">
        <v>44222.35186342592</v>
      </c>
      <c r="B13" s="9" t="str">
        <f>HYPERLINK("https://twitter.com/don_proculo","@don_proculo")</f>
        <v>@don_proculo</v>
      </c>
      <c r="C13" s="10" t="s">
        <v>1041</v>
      </c>
      <c r="D13" s="10" t="s">
        <v>1042</v>
      </c>
      <c r="E13" s="9" t="str">
        <f>HYPERLINK("https://twitter.com/don_proculo/status/1354073277845663745","1354073277845663745")</f>
        <v>1354073277845663745</v>
      </c>
      <c r="F13" s="11" t="s">
        <v>1043</v>
      </c>
      <c r="G13" s="11" t="s">
        <v>1044</v>
      </c>
      <c r="H13" s="12"/>
      <c r="I13" s="13">
        <v>0.0</v>
      </c>
      <c r="J13" s="13">
        <v>1.0</v>
      </c>
      <c r="K13" s="9" t="str">
        <f t="shared" ref="K13:K14" si="6">HYPERLINK("http://twitter.com/download/iphone","Twitter for iPhone")</f>
        <v>Twitter for iPhone</v>
      </c>
      <c r="L13" s="14">
        <v>42.0</v>
      </c>
      <c r="M13" s="14">
        <v>93.0</v>
      </c>
      <c r="N13" s="14">
        <v>0.0</v>
      </c>
      <c r="O13" s="19"/>
      <c r="P13" s="16">
        <v>44213.78982638889</v>
      </c>
      <c r="Q13" s="10" t="s">
        <v>1045</v>
      </c>
      <c r="R13" s="10" t="s">
        <v>1046</v>
      </c>
      <c r="S13" s="11" t="s">
        <v>1047</v>
      </c>
      <c r="T13" s="12"/>
      <c r="U13" s="17" t="str">
        <f>HYPERLINK("https://pbs.twimg.com/profile_images/1353818729134620672/N8n3CS_4.jpg","View")</f>
        <v>View</v>
      </c>
      <c r="V13" s="12"/>
      <c r="W13" s="12"/>
      <c r="X13" s="12"/>
      <c r="Y13" s="12"/>
      <c r="Z13" s="12"/>
    </row>
    <row r="14">
      <c r="A14" s="8">
        <v>44222.32300925926</v>
      </c>
      <c r="B14" s="9" t="str">
        <f>HYPERLINK("https://twitter.com/Khale_Chriagop","@Khale_Chriagop")</f>
        <v>@Khale_Chriagop</v>
      </c>
      <c r="C14" s="10" t="s">
        <v>1048</v>
      </c>
      <c r="D14" s="10" t="s">
        <v>1049</v>
      </c>
      <c r="E14" s="9" t="str">
        <f>HYPERLINK("https://twitter.com/Khale_Chriagop/status/1354062821064118279","1354062821064118279")</f>
        <v>1354062821064118279</v>
      </c>
      <c r="F14" s="11" t="s">
        <v>1050</v>
      </c>
      <c r="G14" s="11" t="s">
        <v>1051</v>
      </c>
      <c r="H14" s="12"/>
      <c r="I14" s="13">
        <v>0.0</v>
      </c>
      <c r="J14" s="13">
        <v>0.0</v>
      </c>
      <c r="K14" s="9" t="str">
        <f t="shared" si="6"/>
        <v>Twitter for iPhone</v>
      </c>
      <c r="L14" s="14">
        <v>822.0</v>
      </c>
      <c r="M14" s="14">
        <v>605.0</v>
      </c>
      <c r="N14" s="14">
        <v>5.0</v>
      </c>
      <c r="O14" s="19"/>
      <c r="P14" s="16">
        <v>40296.62699074074</v>
      </c>
      <c r="Q14" s="10" t="s">
        <v>1052</v>
      </c>
      <c r="R14" s="10" t="s">
        <v>1053</v>
      </c>
      <c r="S14" s="11" t="s">
        <v>1054</v>
      </c>
      <c r="T14" s="12"/>
      <c r="U14" s="17" t="str">
        <f>HYPERLINK("https://pbs.twimg.com/profile_images/1352956247151169537/RkppVfs0.jpg","View")</f>
        <v>View</v>
      </c>
      <c r="V14" s="12"/>
      <c r="W14" s="12"/>
      <c r="X14" s="12"/>
      <c r="Y14" s="12"/>
      <c r="Z14" s="12"/>
    </row>
    <row r="15">
      <c r="A15" s="8">
        <v>44222.31958333333</v>
      </c>
      <c r="B15" s="9" t="str">
        <f>HYPERLINK("https://twitter.com/Cuervomick","@Cuervomick")</f>
        <v>@Cuervomick</v>
      </c>
      <c r="C15" s="10" t="s">
        <v>1055</v>
      </c>
      <c r="D15" s="10" t="s">
        <v>1056</v>
      </c>
      <c r="E15" s="9" t="str">
        <f>HYPERLINK("https://twitter.com/Cuervomick/status/1354061579533225985","1354061579533225985")</f>
        <v>1354061579533225985</v>
      </c>
      <c r="F15" s="12"/>
      <c r="G15" s="12"/>
      <c r="H15" s="12"/>
      <c r="I15" s="13">
        <v>26.0</v>
      </c>
      <c r="J15" s="13">
        <v>55.0</v>
      </c>
      <c r="K15" s="9" t="str">
        <f>HYPERLINK("http://twitter.com/download/android","Twitter for Android")</f>
        <v>Twitter for Android</v>
      </c>
      <c r="L15" s="14">
        <v>15464.0</v>
      </c>
      <c r="M15" s="14">
        <v>2510.0</v>
      </c>
      <c r="N15" s="14">
        <v>36.0</v>
      </c>
      <c r="O15" s="19"/>
      <c r="P15" s="16">
        <v>40672.69493055555</v>
      </c>
      <c r="Q15" s="10" t="s">
        <v>1057</v>
      </c>
      <c r="R15" s="10" t="s">
        <v>1058</v>
      </c>
      <c r="S15" s="12"/>
      <c r="T15" s="12"/>
      <c r="U15" s="17" t="str">
        <f>HYPERLINK("https://pbs.twimg.com/profile_images/1298396391644041217/eXCGWHN1.jpg","View")</f>
        <v>View</v>
      </c>
      <c r="V15" s="12"/>
      <c r="W15" s="12"/>
      <c r="X15" s="12"/>
      <c r="Y15" s="12"/>
      <c r="Z15" s="12"/>
    </row>
    <row r="16">
      <c r="A16" s="8">
        <v>44222.05458333333</v>
      </c>
      <c r="B16" s="9" t="str">
        <f>HYPERLINK("https://twitter.com/InfanciaPro","@InfanciaPro")</f>
        <v>@InfanciaPro</v>
      </c>
      <c r="C16" s="10" t="s">
        <v>1059</v>
      </c>
      <c r="D16" s="10" t="s">
        <v>1060</v>
      </c>
      <c r="E16" s="9" t="str">
        <f>HYPERLINK("https://twitter.com/InfanciaPro/status/1353965548594462721","1353965548594462721")</f>
        <v>1353965548594462721</v>
      </c>
      <c r="F16" s="10" t="s">
        <v>1061</v>
      </c>
      <c r="G16" s="12"/>
      <c r="H16" s="12"/>
      <c r="I16" s="13">
        <v>0.0</v>
      </c>
      <c r="J16" s="13">
        <v>0.0</v>
      </c>
      <c r="K16" s="9" t="str">
        <f>HYPERLINK("https://mobile.twitter.com","Twitter Web App")</f>
        <v>Twitter Web App</v>
      </c>
      <c r="L16" s="14">
        <v>14315.0</v>
      </c>
      <c r="M16" s="14">
        <v>15760.0</v>
      </c>
      <c r="N16" s="14">
        <v>20.0</v>
      </c>
      <c r="O16" s="19"/>
      <c r="P16" s="16">
        <v>41048.03335648148</v>
      </c>
      <c r="Q16" s="10" t="s">
        <v>1062</v>
      </c>
      <c r="R16" s="10" t="s">
        <v>1063</v>
      </c>
      <c r="S16" s="11" t="s">
        <v>1064</v>
      </c>
      <c r="T16" s="12"/>
      <c r="U16" s="17" t="str">
        <f>HYPERLINK("https://pbs.twimg.com/profile_images/1348087974697725953/EjNy4WAA.jpg","View")</f>
        <v>View</v>
      </c>
      <c r="V16" s="12"/>
      <c r="W16" s="12"/>
      <c r="X16" s="12"/>
      <c r="Y16" s="12"/>
      <c r="Z16" s="12"/>
    </row>
    <row r="17">
      <c r="A17" s="8">
        <v>44222.00660879629</v>
      </c>
      <c r="B17" s="9" t="str">
        <f>HYPERLINK("https://twitter.com/Elche1017","@Elche1017")</f>
        <v>@Elche1017</v>
      </c>
      <c r="C17" s="10" t="s">
        <v>1065</v>
      </c>
      <c r="D17" s="10" t="s">
        <v>1066</v>
      </c>
      <c r="E17" s="9" t="str">
        <f>HYPERLINK("https://twitter.com/Elche1017/status/1353948163074211840","1353948163074211840")</f>
        <v>1353948163074211840</v>
      </c>
      <c r="F17" s="12"/>
      <c r="G17" s="12"/>
      <c r="H17" s="12"/>
      <c r="I17" s="13">
        <v>0.0</v>
      </c>
      <c r="J17" s="13">
        <v>8.0</v>
      </c>
      <c r="K17" s="9" t="str">
        <f>HYPERLINK("http://twitter.com/download/android","Twitter for Android")</f>
        <v>Twitter for Android</v>
      </c>
      <c r="L17" s="14">
        <v>292.0</v>
      </c>
      <c r="M17" s="14">
        <v>228.0</v>
      </c>
      <c r="N17" s="14">
        <v>0.0</v>
      </c>
      <c r="O17" s="19"/>
      <c r="P17" s="16">
        <v>43637.494999999995</v>
      </c>
      <c r="Q17" s="12"/>
      <c r="R17" s="10" t="s">
        <v>1067</v>
      </c>
      <c r="S17" s="12"/>
      <c r="T17" s="12"/>
      <c r="U17" s="17" t="str">
        <f>HYPERLINK("https://pbs.twimg.com/profile_images/1337179031607803905/-cb4dMKp.jpg","View")</f>
        <v>View</v>
      </c>
      <c r="V17" s="12"/>
      <c r="W17" s="12"/>
      <c r="X17" s="12"/>
      <c r="Y17" s="12"/>
      <c r="Z17" s="12"/>
    </row>
    <row r="18">
      <c r="A18" s="8">
        <v>44221.98675925926</v>
      </c>
      <c r="B18" s="9" t="str">
        <f>HYPERLINK("https://twitter.com/AlexOpinaMx","@AlexOpinaMx")</f>
        <v>@AlexOpinaMx</v>
      </c>
      <c r="C18" s="10" t="s">
        <v>1068</v>
      </c>
      <c r="D18" s="10" t="s">
        <v>1069</v>
      </c>
      <c r="E18" s="9" t="str">
        <f>HYPERLINK("https://twitter.com/AlexOpinaMx/status/1353940966311407616","1353940966311407616")</f>
        <v>1353940966311407616</v>
      </c>
      <c r="F18" s="11" t="s">
        <v>1070</v>
      </c>
      <c r="G18" s="11" t="s">
        <v>1071</v>
      </c>
      <c r="H18" s="12"/>
      <c r="I18" s="13">
        <v>0.0</v>
      </c>
      <c r="J18" s="13">
        <v>0.0</v>
      </c>
      <c r="K18" s="9" t="str">
        <f>HYPERLINK("http://twitter.com/download/iphone","Twitter for iPhone")</f>
        <v>Twitter for iPhone</v>
      </c>
      <c r="L18" s="14">
        <v>9146.0</v>
      </c>
      <c r="M18" s="14">
        <v>1048.0</v>
      </c>
      <c r="N18" s="14">
        <v>18.0</v>
      </c>
      <c r="O18" s="19"/>
      <c r="P18" s="16">
        <v>41053.5537037037</v>
      </c>
      <c r="Q18" s="12"/>
      <c r="R18" s="10" t="s">
        <v>1072</v>
      </c>
      <c r="S18" s="12"/>
      <c r="T18" s="12"/>
      <c r="U18" s="17" t="str">
        <f>HYPERLINK("https://pbs.twimg.com/profile_images/1240484047043862529/71GqPTma.jpg","View")</f>
        <v>View</v>
      </c>
      <c r="V18" s="12"/>
      <c r="W18" s="12"/>
      <c r="X18" s="12"/>
      <c r="Y18" s="12"/>
      <c r="Z18" s="12"/>
    </row>
    <row r="19">
      <c r="A19" s="8">
        <v>44221.9015625</v>
      </c>
      <c r="B19" s="9" t="str">
        <f>HYPERLINK("https://twitter.com/LaRanaAzulada","@LaRanaAzulada")</f>
        <v>@LaRanaAzulada</v>
      </c>
      <c r="C19" s="10" t="s">
        <v>1073</v>
      </c>
      <c r="D19" s="10" t="s">
        <v>1074</v>
      </c>
      <c r="E19" s="9" t="str">
        <f>HYPERLINK("https://twitter.com/LaRanaAzulada/status/1353910095411818497","1353910095411818497")</f>
        <v>1353910095411818497</v>
      </c>
      <c r="F19" s="11" t="s">
        <v>1075</v>
      </c>
      <c r="G19" s="12"/>
      <c r="H19" s="12"/>
      <c r="I19" s="13">
        <v>0.0</v>
      </c>
      <c r="J19" s="13">
        <v>2.0</v>
      </c>
      <c r="K19" s="9" t="str">
        <f t="shared" ref="K19:K20" si="7">HYPERLINK("http://twitter.com/download/android","Twitter for Android")</f>
        <v>Twitter for Android</v>
      </c>
      <c r="L19" s="14">
        <v>1422.0</v>
      </c>
      <c r="M19" s="14">
        <v>1009.0</v>
      </c>
      <c r="N19" s="14">
        <v>3.0</v>
      </c>
      <c r="O19" s="19"/>
      <c r="P19" s="16">
        <v>40201.91677083333</v>
      </c>
      <c r="Q19" s="12"/>
      <c r="R19" s="12"/>
      <c r="S19" s="12"/>
      <c r="T19" s="12"/>
      <c r="U19" s="17" t="str">
        <f>HYPERLINK("https://pbs.twimg.com/profile_images/1340126795312615425/ej-c6Ett.jpg","View")</f>
        <v>View</v>
      </c>
      <c r="V19" s="12"/>
      <c r="W19" s="12"/>
      <c r="X19" s="12"/>
      <c r="Y19" s="12"/>
      <c r="Z19" s="12"/>
    </row>
    <row r="20">
      <c r="A20" s="8">
        <v>44221.87789351852</v>
      </c>
      <c r="B20" s="9" t="str">
        <f>HYPERLINK("https://twitter.com/GuillermoGudio3","@GuillermoGudio3")</f>
        <v>@GuillermoGudio3</v>
      </c>
      <c r="C20" s="10" t="s">
        <v>1076</v>
      </c>
      <c r="D20" s="10" t="s">
        <v>1077</v>
      </c>
      <c r="E20" s="9" t="str">
        <f>HYPERLINK("https://twitter.com/GuillermoGudio3/status/1353901515375845379","1353901515375845379")</f>
        <v>1353901515375845379</v>
      </c>
      <c r="F20" s="12"/>
      <c r="G20" s="12"/>
      <c r="H20" s="12"/>
      <c r="I20" s="13">
        <v>7.0</v>
      </c>
      <c r="J20" s="13">
        <v>13.0</v>
      </c>
      <c r="K20" s="9" t="str">
        <f t="shared" si="7"/>
        <v>Twitter for Android</v>
      </c>
      <c r="L20" s="14">
        <v>570.0</v>
      </c>
      <c r="M20" s="14">
        <v>439.0</v>
      </c>
      <c r="N20" s="14">
        <v>0.0</v>
      </c>
      <c r="O20" s="19"/>
      <c r="P20" s="16">
        <v>43930.51399305556</v>
      </c>
      <c r="Q20" s="10" t="s">
        <v>1078</v>
      </c>
      <c r="R20" s="10" t="s">
        <v>1079</v>
      </c>
      <c r="S20" s="11" t="s">
        <v>1080</v>
      </c>
      <c r="T20" s="12"/>
      <c r="U20" s="17" t="str">
        <f>HYPERLINK("https://pbs.twimg.com/profile_images/1349483228747374592/vGmKiNvE.jpg","View")</f>
        <v>View</v>
      </c>
      <c r="V20" s="12"/>
      <c r="W20" s="12"/>
      <c r="X20" s="12"/>
      <c r="Y20" s="12"/>
      <c r="Z20" s="12"/>
    </row>
    <row r="21">
      <c r="A21" s="8">
        <v>44221.83625</v>
      </c>
      <c r="B21" s="9" t="str">
        <f>HYPERLINK("https://twitter.com/Helena_mty","@Helena_mty")</f>
        <v>@Helena_mty</v>
      </c>
      <c r="C21" s="10" t="s">
        <v>1081</v>
      </c>
      <c r="D21" s="10" t="s">
        <v>1082</v>
      </c>
      <c r="E21" s="9" t="str">
        <f>HYPERLINK("https://twitter.com/Helena_mty/status/1353886425930989571","1353886425930989571")</f>
        <v>1353886425930989571</v>
      </c>
      <c r="F21" s="11" t="s">
        <v>1083</v>
      </c>
      <c r="G21" s="11" t="s">
        <v>1084</v>
      </c>
      <c r="H21" s="12"/>
      <c r="I21" s="13">
        <v>0.0</v>
      </c>
      <c r="J21" s="13">
        <v>1.0</v>
      </c>
      <c r="K21" s="9" t="str">
        <f t="shared" ref="K21:K22" si="8">HYPERLINK("http://twitter.com/download/iphone","Twitter for iPhone")</f>
        <v>Twitter for iPhone</v>
      </c>
      <c r="L21" s="14">
        <v>2328.0</v>
      </c>
      <c r="M21" s="14">
        <v>3404.0</v>
      </c>
      <c r="N21" s="14">
        <v>5.0</v>
      </c>
      <c r="O21" s="19"/>
      <c r="P21" s="16">
        <v>42827.52069444444</v>
      </c>
      <c r="Q21" s="12"/>
      <c r="R21" s="10" t="s">
        <v>1085</v>
      </c>
      <c r="S21" s="12"/>
      <c r="T21" s="12"/>
      <c r="U21" s="17" t="str">
        <f>HYPERLINK("https://pbs.twimg.com/profile_images/1327860292965961731/JArIHBbN.jpg","View")</f>
        <v>View</v>
      </c>
      <c r="V21" s="12"/>
      <c r="W21" s="12"/>
      <c r="X21" s="12"/>
      <c r="Y21" s="12"/>
      <c r="Z21" s="12"/>
    </row>
    <row r="22">
      <c r="A22" s="8">
        <v>44221.82813657407</v>
      </c>
      <c r="B22" s="9" t="str">
        <f>HYPERLINK("https://twitter.com/nicolaschapa","@nicolaschapa")</f>
        <v>@nicolaschapa</v>
      </c>
      <c r="C22" s="10" t="s">
        <v>1086</v>
      </c>
      <c r="D22" s="10" t="s">
        <v>1087</v>
      </c>
      <c r="E22" s="9" t="str">
        <f>HYPERLINK("https://twitter.com/nicolaschapa/status/1353883486906683392","1353883486906683392")</f>
        <v>1353883486906683392</v>
      </c>
      <c r="F22" s="12"/>
      <c r="G22" s="12"/>
      <c r="H22" s="12"/>
      <c r="I22" s="13">
        <v>0.0</v>
      </c>
      <c r="J22" s="13">
        <v>1.0</v>
      </c>
      <c r="K22" s="9" t="str">
        <f t="shared" si="8"/>
        <v>Twitter for iPhone</v>
      </c>
      <c r="L22" s="14">
        <v>2680.0</v>
      </c>
      <c r="M22" s="14">
        <v>2172.0</v>
      </c>
      <c r="N22" s="14">
        <v>19.0</v>
      </c>
      <c r="O22" s="19"/>
      <c r="P22" s="16">
        <v>40111.99481481481</v>
      </c>
      <c r="Q22" s="10" t="s">
        <v>478</v>
      </c>
      <c r="R22" s="10" t="s">
        <v>1088</v>
      </c>
      <c r="S22" s="11" t="s">
        <v>1089</v>
      </c>
      <c r="T22" s="12"/>
      <c r="U22" s="17" t="str">
        <f>HYPERLINK("https://pbs.twimg.com/profile_images/1351379071494664193/bi9FJ0eI.jpg","View")</f>
        <v>View</v>
      </c>
      <c r="V22" s="12"/>
      <c r="W22" s="12"/>
      <c r="X22" s="12"/>
      <c r="Y22" s="12"/>
      <c r="Z22" s="12"/>
    </row>
    <row r="23">
      <c r="A23" s="8">
        <v>44221.818344907406</v>
      </c>
      <c r="B23" s="9" t="str">
        <f>HYPERLINK("https://twitter.com/cyan_rouge","@cyan_rouge")</f>
        <v>@cyan_rouge</v>
      </c>
      <c r="C23" s="10" t="s">
        <v>1090</v>
      </c>
      <c r="D23" s="10" t="s">
        <v>1091</v>
      </c>
      <c r="E23" s="9" t="str">
        <f>HYPERLINK("https://twitter.com/cyan_rouge/status/1353879936881336321","1353879936881336321")</f>
        <v>1353879936881336321</v>
      </c>
      <c r="F23" s="11" t="s">
        <v>1092</v>
      </c>
      <c r="G23" s="12"/>
      <c r="H23" s="12"/>
      <c r="I23" s="13">
        <v>0.0</v>
      </c>
      <c r="J23" s="13">
        <v>0.0</v>
      </c>
      <c r="K23" s="9" t="str">
        <f t="shared" ref="K23:K32" si="9">HYPERLINK("http://twitter.com/download/android","Twitter for Android")</f>
        <v>Twitter for Android</v>
      </c>
      <c r="L23" s="14">
        <v>604.0</v>
      </c>
      <c r="M23" s="14">
        <v>597.0</v>
      </c>
      <c r="N23" s="14">
        <v>6.0</v>
      </c>
      <c r="O23" s="19"/>
      <c r="P23" s="16">
        <v>40393.40804398148</v>
      </c>
      <c r="Q23" s="10" t="s">
        <v>1093</v>
      </c>
      <c r="R23" s="10" t="s">
        <v>1094</v>
      </c>
      <c r="S23" s="12"/>
      <c r="T23" s="12"/>
      <c r="U23" s="17" t="str">
        <f>HYPERLINK("https://pbs.twimg.com/profile_images/1349191556490797056/mm1W75ZF.jpg","View")</f>
        <v>View</v>
      </c>
      <c r="V23" s="12"/>
      <c r="W23" s="12"/>
      <c r="X23" s="12"/>
      <c r="Y23" s="12"/>
      <c r="Z23" s="12"/>
    </row>
    <row r="24">
      <c r="A24" s="8">
        <v>44221.80378472222</v>
      </c>
      <c r="B24" s="9" t="str">
        <f>HYPERLINK("https://twitter.com/Pilgrim22Kimura","@Pilgrim22Kimura")</f>
        <v>@Pilgrim22Kimura</v>
      </c>
      <c r="C24" s="10" t="s">
        <v>1095</v>
      </c>
      <c r="D24" s="10" t="s">
        <v>1096</v>
      </c>
      <c r="E24" s="9" t="str">
        <f>HYPERLINK("https://twitter.com/Pilgrim22Kimura/status/1353874662112055296","1353874662112055296")</f>
        <v>1353874662112055296</v>
      </c>
      <c r="F24" s="12"/>
      <c r="G24" s="12"/>
      <c r="H24" s="12"/>
      <c r="I24" s="13">
        <v>0.0</v>
      </c>
      <c r="J24" s="13">
        <v>3.0</v>
      </c>
      <c r="K24" s="9" t="str">
        <f t="shared" si="9"/>
        <v>Twitter for Android</v>
      </c>
      <c r="L24" s="14">
        <v>283.0</v>
      </c>
      <c r="M24" s="14">
        <v>606.0</v>
      </c>
      <c r="N24" s="14">
        <v>4.0</v>
      </c>
      <c r="O24" s="19"/>
      <c r="P24" s="16">
        <v>40138.98116898148</v>
      </c>
      <c r="Q24" s="10" t="s">
        <v>1097</v>
      </c>
      <c r="R24" s="10" t="s">
        <v>1098</v>
      </c>
      <c r="S24" s="12"/>
      <c r="T24" s="12"/>
      <c r="U24" s="17" t="str">
        <f>HYPERLINK("https://pbs.twimg.com/profile_images/1349173253424746496/GJHNtR5Z.jpg","View")</f>
        <v>View</v>
      </c>
      <c r="V24" s="12"/>
      <c r="W24" s="12"/>
      <c r="X24" s="12"/>
      <c r="Y24" s="12"/>
      <c r="Z24" s="12"/>
    </row>
    <row r="25">
      <c r="A25" s="8">
        <v>44221.7287037037</v>
      </c>
      <c r="B25" s="9" t="str">
        <f>HYPERLINK("https://twitter.com/Manee_Torres","@Manee_Torres")</f>
        <v>@Manee_Torres</v>
      </c>
      <c r="C25" s="10" t="s">
        <v>1099</v>
      </c>
      <c r="D25" s="10" t="s">
        <v>1100</v>
      </c>
      <c r="E25" s="9" t="str">
        <f>HYPERLINK("https://twitter.com/Manee_Torres/status/1353847450235260928","1353847450235260928")</f>
        <v>1353847450235260928</v>
      </c>
      <c r="F25" s="12"/>
      <c r="G25" s="11" t="s">
        <v>1101</v>
      </c>
      <c r="H25" s="12"/>
      <c r="I25" s="13">
        <v>2.0</v>
      </c>
      <c r="J25" s="13">
        <v>0.0</v>
      </c>
      <c r="K25" s="9" t="str">
        <f t="shared" si="9"/>
        <v>Twitter for Android</v>
      </c>
      <c r="L25" s="14">
        <v>353.0</v>
      </c>
      <c r="M25" s="14">
        <v>434.0</v>
      </c>
      <c r="N25" s="14">
        <v>5.0</v>
      </c>
      <c r="O25" s="19"/>
      <c r="P25" s="16">
        <v>40043.80300925926</v>
      </c>
      <c r="Q25" s="10" t="s">
        <v>1102</v>
      </c>
      <c r="R25" s="10" t="s">
        <v>1103</v>
      </c>
      <c r="S25" s="11" t="s">
        <v>1104</v>
      </c>
      <c r="T25" s="12"/>
      <c r="U25" s="17" t="str">
        <f>HYPERLINK("https://pbs.twimg.com/profile_images/1347238696244936710/3ExbAgTg.jpg","View")</f>
        <v>View</v>
      </c>
      <c r="V25" s="12"/>
      <c r="W25" s="12"/>
      <c r="X25" s="12"/>
      <c r="Y25" s="12"/>
      <c r="Z25" s="12"/>
    </row>
    <row r="26">
      <c r="A26" s="8">
        <v>44221.72434027778</v>
      </c>
      <c r="B26" s="9" t="str">
        <f>HYPERLINK("https://twitter.com/mezcalpuro1","@mezcalpuro1")</f>
        <v>@mezcalpuro1</v>
      </c>
      <c r="C26" s="10" t="s">
        <v>1105</v>
      </c>
      <c r="D26" s="10" t="s">
        <v>1106</v>
      </c>
      <c r="E26" s="9" t="str">
        <f>HYPERLINK("https://twitter.com/mezcalpuro1/status/1353845871830577152","1353845871830577152")</f>
        <v>1353845871830577152</v>
      </c>
      <c r="F26" s="11" t="s">
        <v>1107</v>
      </c>
      <c r="G26" s="11" t="s">
        <v>1108</v>
      </c>
      <c r="H26" s="12"/>
      <c r="I26" s="13">
        <v>0.0</v>
      </c>
      <c r="J26" s="13">
        <v>1.0</v>
      </c>
      <c r="K26" s="9" t="str">
        <f t="shared" si="9"/>
        <v>Twitter for Android</v>
      </c>
      <c r="L26" s="14">
        <v>1069.0</v>
      </c>
      <c r="M26" s="14">
        <v>1311.0</v>
      </c>
      <c r="N26" s="14">
        <v>0.0</v>
      </c>
      <c r="O26" s="19"/>
      <c r="P26" s="16">
        <v>42451.35921296296</v>
      </c>
      <c r="Q26" s="12"/>
      <c r="R26" s="10" t="s">
        <v>1109</v>
      </c>
      <c r="S26" s="12"/>
      <c r="T26" s="12"/>
      <c r="U26" s="17" t="str">
        <f>HYPERLINK("https://pbs.twimg.com/profile_images/1349575322275090432/HJsvrHqm.jpg","View")</f>
        <v>View</v>
      </c>
      <c r="V26" s="12"/>
      <c r="W26" s="12"/>
      <c r="X26" s="12"/>
      <c r="Y26" s="12"/>
      <c r="Z26" s="12"/>
    </row>
    <row r="27">
      <c r="A27" s="8">
        <v>44221.687430555554</v>
      </c>
      <c r="B27" s="9" t="str">
        <f>HYPERLINK("https://twitter.com/ivannava77","@ivannava77")</f>
        <v>@ivannava77</v>
      </c>
      <c r="C27" s="10" t="s">
        <v>1110</v>
      </c>
      <c r="D27" s="10" t="s">
        <v>1111</v>
      </c>
      <c r="E27" s="9" t="str">
        <f>HYPERLINK("https://twitter.com/ivannava77/status/1353832494051819520","1353832494051819520")</f>
        <v>1353832494051819520</v>
      </c>
      <c r="F27" s="12"/>
      <c r="G27" s="12"/>
      <c r="H27" s="12"/>
      <c r="I27" s="13">
        <v>0.0</v>
      </c>
      <c r="J27" s="13">
        <v>0.0</v>
      </c>
      <c r="K27" s="9" t="str">
        <f t="shared" si="9"/>
        <v>Twitter for Android</v>
      </c>
      <c r="L27" s="14">
        <v>84.0</v>
      </c>
      <c r="M27" s="14">
        <v>978.0</v>
      </c>
      <c r="N27" s="14">
        <v>1.0</v>
      </c>
      <c r="O27" s="19"/>
      <c r="P27" s="16">
        <v>42007.64561342592</v>
      </c>
      <c r="Q27" s="10" t="s">
        <v>1112</v>
      </c>
      <c r="R27" s="10" t="s">
        <v>1113</v>
      </c>
      <c r="S27" s="12"/>
      <c r="T27" s="12"/>
      <c r="U27" s="17" t="str">
        <f>HYPERLINK("https://pbs.twimg.com/profile_images/1342877622846554113/EXMDgdgc.jpg","View")</f>
        <v>View</v>
      </c>
      <c r="V27" s="12"/>
      <c r="W27" s="12"/>
      <c r="X27" s="12"/>
      <c r="Y27" s="12"/>
      <c r="Z27" s="12"/>
    </row>
    <row r="28">
      <c r="A28" s="8">
        <v>44221.671319444446</v>
      </c>
      <c r="B28" s="9" t="str">
        <f t="shared" ref="B28:B29" si="10">HYPERLINK("https://twitter.com/EddyRam49049937","@EddyRam49049937")</f>
        <v>@EddyRam49049937</v>
      </c>
      <c r="C28" s="10" t="s">
        <v>1114</v>
      </c>
      <c r="D28" s="10" t="s">
        <v>1115</v>
      </c>
      <c r="E28" s="9" t="str">
        <f>HYPERLINK("https://twitter.com/EddyRam49049937/status/1353826657820422144","1353826657820422144")</f>
        <v>1353826657820422144</v>
      </c>
      <c r="F28" s="11" t="s">
        <v>1116</v>
      </c>
      <c r="G28" s="11" t="s">
        <v>1117</v>
      </c>
      <c r="H28" s="12"/>
      <c r="I28" s="13">
        <v>0.0</v>
      </c>
      <c r="J28" s="13">
        <v>1.0</v>
      </c>
      <c r="K28" s="9" t="str">
        <f t="shared" si="9"/>
        <v>Twitter for Android</v>
      </c>
      <c r="L28" s="14">
        <v>601.0</v>
      </c>
      <c r="M28" s="14">
        <v>1272.0</v>
      </c>
      <c r="N28" s="14">
        <v>0.0</v>
      </c>
      <c r="O28" s="19"/>
      <c r="P28" s="16">
        <v>43857.39319444445</v>
      </c>
      <c r="Q28" s="12"/>
      <c r="R28" s="10" t="s">
        <v>1118</v>
      </c>
      <c r="S28" s="12"/>
      <c r="T28" s="12"/>
      <c r="U28" s="17" t="str">
        <f t="shared" ref="U28:U29" si="11">HYPERLINK("https://pbs.twimg.com/profile_images/1347714165205397504/2BG3JosY.jpg","View")</f>
        <v>View</v>
      </c>
      <c r="V28" s="12"/>
      <c r="W28" s="12"/>
      <c r="X28" s="12"/>
      <c r="Y28" s="12"/>
      <c r="Z28" s="12"/>
    </row>
    <row r="29">
      <c r="A29" s="8">
        <v>44221.662199074075</v>
      </c>
      <c r="B29" s="9" t="str">
        <f t="shared" si="10"/>
        <v>@EddyRam49049937</v>
      </c>
      <c r="C29" s="10" t="s">
        <v>1114</v>
      </c>
      <c r="D29" s="10" t="s">
        <v>1119</v>
      </c>
      <c r="E29" s="9" t="str">
        <f>HYPERLINK("https://twitter.com/EddyRam49049937/status/1353823350607458304","1353823350607458304")</f>
        <v>1353823350607458304</v>
      </c>
      <c r="F29" s="11" t="s">
        <v>1120</v>
      </c>
      <c r="G29" s="11" t="s">
        <v>1121</v>
      </c>
      <c r="H29" s="12"/>
      <c r="I29" s="13">
        <v>1.0</v>
      </c>
      <c r="J29" s="13">
        <v>1.0</v>
      </c>
      <c r="K29" s="9" t="str">
        <f t="shared" si="9"/>
        <v>Twitter for Android</v>
      </c>
      <c r="L29" s="14">
        <v>601.0</v>
      </c>
      <c r="M29" s="14">
        <v>1272.0</v>
      </c>
      <c r="N29" s="14">
        <v>0.0</v>
      </c>
      <c r="O29" s="19"/>
      <c r="P29" s="16">
        <v>43857.39319444445</v>
      </c>
      <c r="Q29" s="12"/>
      <c r="R29" s="10" t="s">
        <v>1118</v>
      </c>
      <c r="S29" s="12"/>
      <c r="T29" s="12"/>
      <c r="U29" s="17" t="str">
        <f t="shared" si="11"/>
        <v>View</v>
      </c>
      <c r="V29" s="12"/>
      <c r="W29" s="12"/>
      <c r="X29" s="12"/>
      <c r="Y29" s="12"/>
      <c r="Z29" s="12"/>
    </row>
    <row r="30">
      <c r="A30" s="8">
        <v>44221.66217592593</v>
      </c>
      <c r="B30" s="9" t="str">
        <f>HYPERLINK("https://twitter.com/ElBaron86","@ElBaron86")</f>
        <v>@ElBaron86</v>
      </c>
      <c r="C30" s="10" t="s">
        <v>1122</v>
      </c>
      <c r="D30" s="10" t="s">
        <v>1123</v>
      </c>
      <c r="E30" s="9" t="str">
        <f>HYPERLINK("https://twitter.com/ElBaron86/status/1353823343296843778","1353823343296843778")</f>
        <v>1353823343296843778</v>
      </c>
      <c r="F30" s="11" t="s">
        <v>1124</v>
      </c>
      <c r="G30" s="12"/>
      <c r="H30" s="12"/>
      <c r="I30" s="13">
        <v>0.0</v>
      </c>
      <c r="J30" s="13">
        <v>0.0</v>
      </c>
      <c r="K30" s="9" t="str">
        <f t="shared" si="9"/>
        <v>Twitter for Android</v>
      </c>
      <c r="L30" s="14">
        <v>379.0</v>
      </c>
      <c r="M30" s="14">
        <v>1256.0</v>
      </c>
      <c r="N30" s="14">
        <v>2.0</v>
      </c>
      <c r="O30" s="19"/>
      <c r="P30" s="16">
        <v>40248.653344907405</v>
      </c>
      <c r="Q30" s="10" t="s">
        <v>1125</v>
      </c>
      <c r="R30" s="10" t="s">
        <v>1126</v>
      </c>
      <c r="S30" s="12"/>
      <c r="T30" s="12"/>
      <c r="U30" s="17" t="str">
        <f>HYPERLINK("https://pbs.twimg.com/profile_images/1279930712624377857/gZIC7I60.jpg","View")</f>
        <v>View</v>
      </c>
      <c r="V30" s="12"/>
      <c r="W30" s="12"/>
      <c r="X30" s="12"/>
      <c r="Y30" s="12"/>
      <c r="Z30" s="12"/>
    </row>
    <row r="31">
      <c r="A31" s="8">
        <v>44221.65745370371</v>
      </c>
      <c r="B31" s="9" t="str">
        <f>HYPERLINK("https://twitter.com/EddyRam49049937","@EddyRam49049937")</f>
        <v>@EddyRam49049937</v>
      </c>
      <c r="C31" s="10" t="s">
        <v>1114</v>
      </c>
      <c r="D31" s="10" t="s">
        <v>1127</v>
      </c>
      <c r="E31" s="9" t="str">
        <f>HYPERLINK("https://twitter.com/EddyRam49049937/status/1353821633497223168","1353821633497223168")</f>
        <v>1353821633497223168</v>
      </c>
      <c r="F31" s="11" t="s">
        <v>1128</v>
      </c>
      <c r="G31" s="11" t="s">
        <v>1129</v>
      </c>
      <c r="H31" s="12"/>
      <c r="I31" s="13">
        <v>6.0</v>
      </c>
      <c r="J31" s="13">
        <v>5.0</v>
      </c>
      <c r="K31" s="9" t="str">
        <f t="shared" si="9"/>
        <v>Twitter for Android</v>
      </c>
      <c r="L31" s="14">
        <v>601.0</v>
      </c>
      <c r="M31" s="14">
        <v>1272.0</v>
      </c>
      <c r="N31" s="14">
        <v>0.0</v>
      </c>
      <c r="O31" s="19"/>
      <c r="P31" s="16">
        <v>43857.39319444445</v>
      </c>
      <c r="Q31" s="12"/>
      <c r="R31" s="10" t="s">
        <v>1118</v>
      </c>
      <c r="S31" s="12"/>
      <c r="T31" s="12"/>
      <c r="U31" s="17" t="str">
        <f>HYPERLINK("https://pbs.twimg.com/profile_images/1347714165205397504/2BG3JosY.jpg","View")</f>
        <v>View</v>
      </c>
      <c r="V31" s="12"/>
      <c r="W31" s="12"/>
      <c r="X31" s="12"/>
      <c r="Y31" s="12"/>
      <c r="Z31" s="12"/>
    </row>
    <row r="32">
      <c r="A32" s="8">
        <v>44221.64260416667</v>
      </c>
      <c r="B32" s="9" t="str">
        <f>HYPERLINK("https://twitter.com/ElChocoyote","@ElChocoyote")</f>
        <v>@ElChocoyote</v>
      </c>
      <c r="C32" s="10" t="s">
        <v>1130</v>
      </c>
      <c r="D32" s="10" t="s">
        <v>1131</v>
      </c>
      <c r="E32" s="9" t="str">
        <f>HYPERLINK("https://twitter.com/ElChocoyote/status/1353816248723755009","1353816248723755009")</f>
        <v>1353816248723755009</v>
      </c>
      <c r="F32" s="10" t="s">
        <v>1132</v>
      </c>
      <c r="G32" s="12"/>
      <c r="H32" s="12"/>
      <c r="I32" s="13">
        <v>2.0</v>
      </c>
      <c r="J32" s="13">
        <v>3.0</v>
      </c>
      <c r="K32" s="9" t="str">
        <f t="shared" si="9"/>
        <v>Twitter for Android</v>
      </c>
      <c r="L32" s="14">
        <v>1724.0</v>
      </c>
      <c r="M32" s="14">
        <v>993.0</v>
      </c>
      <c r="N32" s="14">
        <v>14.0</v>
      </c>
      <c r="O32" s="19"/>
      <c r="P32" s="16">
        <v>40925.75340277778</v>
      </c>
      <c r="Q32" s="10" t="s">
        <v>1133</v>
      </c>
      <c r="R32" s="10" t="s">
        <v>1134</v>
      </c>
      <c r="S32" s="12"/>
      <c r="T32" s="12"/>
      <c r="U32" s="17" t="str">
        <f>HYPERLINK("https://pbs.twimg.com/profile_images/1276216843817148419/0WogxdmF.jpg","View")</f>
        <v>View</v>
      </c>
      <c r="V32" s="12"/>
      <c r="W32" s="12"/>
      <c r="X32" s="12"/>
      <c r="Y32" s="12"/>
      <c r="Z32" s="12"/>
    </row>
    <row r="33">
      <c r="A33" s="8">
        <v>44221.625</v>
      </c>
      <c r="B33" s="9" t="str">
        <f>HYPERLINK("https://twitter.com/SPRMexico","@SPRMexico")</f>
        <v>@SPRMexico</v>
      </c>
      <c r="C33" s="10" t="s">
        <v>1135</v>
      </c>
      <c r="D33" s="10" t="s">
        <v>1136</v>
      </c>
      <c r="E33" s="9" t="str">
        <f>HYPERLINK("https://twitter.com/SPRMexico/status/1353809873008386048","1353809873008386048")</f>
        <v>1353809873008386048</v>
      </c>
      <c r="F33" s="12"/>
      <c r="G33" s="11" t="s">
        <v>1137</v>
      </c>
      <c r="H33" s="12"/>
      <c r="I33" s="13">
        <v>21.0</v>
      </c>
      <c r="J33" s="13">
        <v>74.0</v>
      </c>
      <c r="K33" s="9" t="str">
        <f>HYPERLINK("https://studio.twitter.com","Twitter Media Studio")</f>
        <v>Twitter Media Studio</v>
      </c>
      <c r="L33" s="14">
        <v>16548.0</v>
      </c>
      <c r="M33" s="14">
        <v>552.0</v>
      </c>
      <c r="N33" s="14">
        <v>159.0</v>
      </c>
      <c r="O33" s="15" t="s">
        <v>24</v>
      </c>
      <c r="P33" s="16">
        <v>41176.53320601852</v>
      </c>
      <c r="Q33" s="10" t="s">
        <v>325</v>
      </c>
      <c r="R33" s="10" t="s">
        <v>1138</v>
      </c>
      <c r="S33" s="11" t="s">
        <v>1139</v>
      </c>
      <c r="T33" s="12"/>
      <c r="U33" s="17" t="str">
        <f>HYPERLINK("https://pbs.twimg.com/profile_images/1145691357400354821/DAMMlQpR.jpg","View")</f>
        <v>View</v>
      </c>
      <c r="V33" s="12"/>
      <c r="W33" s="12"/>
      <c r="X33" s="12"/>
      <c r="Y33" s="12"/>
      <c r="Z33" s="12"/>
    </row>
    <row r="34">
      <c r="A34" s="8">
        <v>44221.604733796295</v>
      </c>
      <c r="B34" s="9" t="str">
        <f>HYPERLINK("https://twitter.com/Don_Jirafa","@Don_Jirafa")</f>
        <v>@Don_Jirafa</v>
      </c>
      <c r="C34" s="10" t="s">
        <v>1140</v>
      </c>
      <c r="D34" s="10" t="s">
        <v>1141</v>
      </c>
      <c r="E34" s="9" t="str">
        <f>HYPERLINK("https://twitter.com/Don_Jirafa/status/1353802525837824001","1353802525837824001")</f>
        <v>1353802525837824001</v>
      </c>
      <c r="F34" s="11" t="s">
        <v>1142</v>
      </c>
      <c r="G34" s="11" t="s">
        <v>1143</v>
      </c>
      <c r="H34" s="12"/>
      <c r="I34" s="13">
        <v>0.0</v>
      </c>
      <c r="J34" s="13">
        <v>0.0</v>
      </c>
      <c r="K34" s="9" t="str">
        <f t="shared" ref="K34:K35" si="12">HYPERLINK("http://twitter.com/download/android","Twitter for Android")</f>
        <v>Twitter for Android</v>
      </c>
      <c r="L34" s="14">
        <v>102.0</v>
      </c>
      <c r="M34" s="14">
        <v>321.0</v>
      </c>
      <c r="N34" s="14">
        <v>0.0</v>
      </c>
      <c r="O34" s="19"/>
      <c r="P34" s="16">
        <v>44088.04981481482</v>
      </c>
      <c r="Q34" s="10" t="s">
        <v>1144</v>
      </c>
      <c r="R34" s="10" t="s">
        <v>1145</v>
      </c>
      <c r="S34" s="12"/>
      <c r="T34" s="12"/>
      <c r="U34" s="17" t="str">
        <f>HYPERLINK("https://pbs.twimg.com/profile_images/1352124839813853185/jhADfqJz.jpg","View")</f>
        <v>View</v>
      </c>
      <c r="V34" s="12"/>
      <c r="W34" s="12"/>
      <c r="X34" s="12"/>
      <c r="Y34" s="12"/>
      <c r="Z34" s="12"/>
    </row>
    <row r="35">
      <c r="A35" s="8">
        <v>44221.58961805556</v>
      </c>
      <c r="B35" s="9" t="str">
        <f>HYPERLINK("https://twitter.com/fersaldana","@fersaldana")</f>
        <v>@fersaldana</v>
      </c>
      <c r="C35" s="10" t="s">
        <v>1146</v>
      </c>
      <c r="D35" s="10" t="s">
        <v>1147</v>
      </c>
      <c r="E35" s="9" t="str">
        <f>HYPERLINK("https://twitter.com/fersaldana/status/1353797050786177024","1353797050786177024")</f>
        <v>1353797050786177024</v>
      </c>
      <c r="F35" s="11" t="s">
        <v>1148</v>
      </c>
      <c r="G35" s="12"/>
      <c r="H35" s="12"/>
      <c r="I35" s="13">
        <v>0.0</v>
      </c>
      <c r="J35" s="13">
        <v>0.0</v>
      </c>
      <c r="K35" s="9" t="str">
        <f t="shared" si="12"/>
        <v>Twitter for Android</v>
      </c>
      <c r="L35" s="14">
        <v>154.0</v>
      </c>
      <c r="M35" s="14">
        <v>1400.0</v>
      </c>
      <c r="N35" s="14">
        <v>4.0</v>
      </c>
      <c r="O35" s="19"/>
      <c r="P35" s="16">
        <v>39911.686261574076</v>
      </c>
      <c r="Q35" s="10" t="s">
        <v>1149</v>
      </c>
      <c r="R35" s="10" t="s">
        <v>1150</v>
      </c>
      <c r="S35" s="12"/>
      <c r="T35" s="12"/>
      <c r="U35" s="17" t="str">
        <f>HYPERLINK("https://pbs.twimg.com/profile_images/588475566577168385/yYPzjZfU.jpg","View")</f>
        <v>View</v>
      </c>
      <c r="V35" s="12"/>
      <c r="W35" s="12"/>
      <c r="X35" s="12"/>
      <c r="Y35" s="12"/>
      <c r="Z35" s="12"/>
    </row>
    <row r="36">
      <c r="A36" s="8">
        <v>44221.58540509259</v>
      </c>
      <c r="B36" s="9" t="str">
        <f>HYPERLINK("https://twitter.com/nandosalinas3","@nandosalinas3")</f>
        <v>@nandosalinas3</v>
      </c>
      <c r="C36" s="10" t="s">
        <v>1151</v>
      </c>
      <c r="D36" s="10" t="s">
        <v>1152</v>
      </c>
      <c r="E36" s="9" t="str">
        <f>HYPERLINK("https://twitter.com/nandosalinas3/status/1353795523732525057","1353795523732525057")</f>
        <v>1353795523732525057</v>
      </c>
      <c r="F36" s="11" t="s">
        <v>1153</v>
      </c>
      <c r="G36" s="11" t="s">
        <v>1154</v>
      </c>
      <c r="H36" s="12"/>
      <c r="I36" s="13">
        <v>0.0</v>
      </c>
      <c r="J36" s="13">
        <v>1.0</v>
      </c>
      <c r="K36" s="9" t="str">
        <f>HYPERLINK("https://mobile.twitter.com","Twitter Web App")</f>
        <v>Twitter Web App</v>
      </c>
      <c r="L36" s="14">
        <v>928.0</v>
      </c>
      <c r="M36" s="14">
        <v>942.0</v>
      </c>
      <c r="N36" s="14">
        <v>3.0</v>
      </c>
      <c r="O36" s="19"/>
      <c r="P36" s="16">
        <v>43369.65924768518</v>
      </c>
      <c r="Q36" s="10" t="s">
        <v>1155</v>
      </c>
      <c r="R36" s="10" t="s">
        <v>1156</v>
      </c>
      <c r="S36" s="12"/>
      <c r="T36" s="12"/>
      <c r="U36" s="17" t="str">
        <f>HYPERLINK("https://pbs.twimg.com/profile_images/1353462317661499392/cjZj7930.jpg","View")</f>
        <v>View</v>
      </c>
      <c r="V36" s="12"/>
      <c r="W36" s="12"/>
      <c r="X36" s="12"/>
      <c r="Y36" s="12"/>
      <c r="Z36" s="12"/>
    </row>
    <row r="37">
      <c r="A37" s="8">
        <v>44221.57524305556</v>
      </c>
      <c r="B37" s="9" t="str">
        <f t="shared" ref="B37:B38" si="13">HYPERLINK("https://twitter.com/MxCdMxJS71","@MxCdMxJS71")</f>
        <v>@MxCdMxJS71</v>
      </c>
      <c r="C37" s="10" t="s">
        <v>1157</v>
      </c>
      <c r="D37" s="10" t="s">
        <v>1158</v>
      </c>
      <c r="E37" s="9" t="str">
        <f>HYPERLINK("https://twitter.com/MxCdMxJS71/status/1353791839514537986","1353791839514537986")</f>
        <v>1353791839514537986</v>
      </c>
      <c r="F37" s="11" t="s">
        <v>1159</v>
      </c>
      <c r="G37" s="11" t="s">
        <v>1160</v>
      </c>
      <c r="H37" s="12"/>
      <c r="I37" s="13">
        <v>0.0</v>
      </c>
      <c r="J37" s="13">
        <v>1.0</v>
      </c>
      <c r="K37" s="9" t="str">
        <f t="shared" ref="K37:K39" si="14">HYPERLINK("http://twitter.com/download/iphone","Twitter for iPhone")</f>
        <v>Twitter for iPhone</v>
      </c>
      <c r="L37" s="14">
        <v>25.0</v>
      </c>
      <c r="M37" s="14">
        <v>69.0</v>
      </c>
      <c r="N37" s="14">
        <v>0.0</v>
      </c>
      <c r="O37" s="19"/>
      <c r="P37" s="16">
        <v>40342.43554398148</v>
      </c>
      <c r="Q37" s="10" t="s">
        <v>325</v>
      </c>
      <c r="R37" s="10" t="s">
        <v>1161</v>
      </c>
      <c r="S37" s="12"/>
      <c r="T37" s="12"/>
      <c r="U37" s="17" t="str">
        <f t="shared" ref="U37:U38" si="15">HYPERLINK("https://pbs.twimg.com/profile_images/1311762380494381070/OyDwzch0.jpg","View")</f>
        <v>View</v>
      </c>
      <c r="V37" s="12"/>
      <c r="W37" s="12"/>
      <c r="X37" s="12"/>
      <c r="Y37" s="12"/>
      <c r="Z37" s="12"/>
    </row>
    <row r="38">
      <c r="A38" s="8">
        <v>44221.56586805556</v>
      </c>
      <c r="B38" s="9" t="str">
        <f t="shared" si="13"/>
        <v>@MxCdMxJS71</v>
      </c>
      <c r="C38" s="10" t="s">
        <v>1157</v>
      </c>
      <c r="D38" s="10" t="s">
        <v>1162</v>
      </c>
      <c r="E38" s="9" t="str">
        <f>HYPERLINK("https://twitter.com/MxCdMxJS71/status/1353788442497396739","1353788442497396739")</f>
        <v>1353788442497396739</v>
      </c>
      <c r="F38" s="11" t="s">
        <v>1163</v>
      </c>
      <c r="G38" s="12"/>
      <c r="H38" s="12"/>
      <c r="I38" s="13">
        <v>1.0</v>
      </c>
      <c r="J38" s="13">
        <v>1.0</v>
      </c>
      <c r="K38" s="9" t="str">
        <f t="shared" si="14"/>
        <v>Twitter for iPhone</v>
      </c>
      <c r="L38" s="14">
        <v>25.0</v>
      </c>
      <c r="M38" s="14">
        <v>69.0</v>
      </c>
      <c r="N38" s="14">
        <v>0.0</v>
      </c>
      <c r="O38" s="19"/>
      <c r="P38" s="16">
        <v>40342.43554398148</v>
      </c>
      <c r="Q38" s="10" t="s">
        <v>325</v>
      </c>
      <c r="R38" s="10" t="s">
        <v>1161</v>
      </c>
      <c r="S38" s="12"/>
      <c r="T38" s="12"/>
      <c r="U38" s="17" t="str">
        <f t="shared" si="15"/>
        <v>View</v>
      </c>
      <c r="V38" s="12"/>
      <c r="W38" s="12"/>
      <c r="X38" s="12"/>
      <c r="Y38" s="12"/>
      <c r="Z38" s="12"/>
    </row>
    <row r="39">
      <c r="A39" s="8">
        <v>44221.54177083333</v>
      </c>
      <c r="B39" s="9" t="str">
        <f>HYPERLINK("https://twitter.com/fuencueochoa","@fuencueochoa")</f>
        <v>@fuencueochoa</v>
      </c>
      <c r="C39" s="10" t="s">
        <v>1164</v>
      </c>
      <c r="D39" s="10" t="s">
        <v>1165</v>
      </c>
      <c r="E39" s="9" t="str">
        <f>HYPERLINK("https://twitter.com/fuencueochoa/status/1353779708928909313","1353779708928909313")</f>
        <v>1353779708928909313</v>
      </c>
      <c r="F39" s="11" t="s">
        <v>1166</v>
      </c>
      <c r="G39" s="11" t="s">
        <v>1167</v>
      </c>
      <c r="H39" s="12"/>
      <c r="I39" s="13">
        <v>0.0</v>
      </c>
      <c r="J39" s="13">
        <v>2.0</v>
      </c>
      <c r="K39" s="9" t="str">
        <f t="shared" si="14"/>
        <v>Twitter for iPhone</v>
      </c>
      <c r="L39" s="14">
        <v>286.0</v>
      </c>
      <c r="M39" s="14">
        <v>660.0</v>
      </c>
      <c r="N39" s="14">
        <v>1.0</v>
      </c>
      <c r="O39" s="19"/>
      <c r="P39" s="16">
        <v>41104.87324074074</v>
      </c>
      <c r="Q39" s="10" t="s">
        <v>224</v>
      </c>
      <c r="R39" s="10" t="s">
        <v>1168</v>
      </c>
      <c r="S39" s="12"/>
      <c r="T39" s="12"/>
      <c r="U39" s="17" t="str">
        <f>HYPERLINK("https://pbs.twimg.com/profile_images/1236863802630639617/8A8zOvhh.jpg","View")</f>
        <v>View</v>
      </c>
      <c r="V39" s="12"/>
      <c r="W39" s="12"/>
      <c r="X39" s="12"/>
      <c r="Y39" s="12"/>
      <c r="Z39" s="12"/>
    </row>
    <row r="40">
      <c r="A40" s="8">
        <v>44221.537523148145</v>
      </c>
      <c r="B40" s="9" t="str">
        <f t="shared" ref="B40:B41" si="16">HYPERLINK("https://twitter.com/EddyRam49049937","@EddyRam49049937")</f>
        <v>@EddyRam49049937</v>
      </c>
      <c r="C40" s="10" t="s">
        <v>1114</v>
      </c>
      <c r="D40" s="10" t="s">
        <v>1169</v>
      </c>
      <c r="E40" s="9" t="str">
        <f>HYPERLINK("https://twitter.com/EddyRam49049937/status/1353778171594813442","1353778171594813442")</f>
        <v>1353778171594813442</v>
      </c>
      <c r="F40" s="11" t="s">
        <v>1170</v>
      </c>
      <c r="G40" s="11" t="s">
        <v>1171</v>
      </c>
      <c r="H40" s="12"/>
      <c r="I40" s="13">
        <v>0.0</v>
      </c>
      <c r="J40" s="13">
        <v>0.0</v>
      </c>
      <c r="K40" s="9" t="str">
        <f t="shared" ref="K40:K44" si="17">HYPERLINK("http://twitter.com/download/android","Twitter for Android")</f>
        <v>Twitter for Android</v>
      </c>
      <c r="L40" s="14">
        <v>601.0</v>
      </c>
      <c r="M40" s="14">
        <v>1272.0</v>
      </c>
      <c r="N40" s="14">
        <v>0.0</v>
      </c>
      <c r="O40" s="19"/>
      <c r="P40" s="16">
        <v>43857.39319444445</v>
      </c>
      <c r="Q40" s="12"/>
      <c r="R40" s="10" t="s">
        <v>1118</v>
      </c>
      <c r="S40" s="12"/>
      <c r="T40" s="12"/>
      <c r="U40" s="17" t="str">
        <f t="shared" ref="U40:U41" si="18">HYPERLINK("https://pbs.twimg.com/profile_images/1347714165205397504/2BG3JosY.jpg","View")</f>
        <v>View</v>
      </c>
      <c r="V40" s="12"/>
      <c r="W40" s="12"/>
      <c r="X40" s="12"/>
      <c r="Y40" s="12"/>
      <c r="Z40" s="12"/>
    </row>
    <row r="41">
      <c r="A41" s="8">
        <v>44221.52491898148</v>
      </c>
      <c r="B41" s="9" t="str">
        <f t="shared" si="16"/>
        <v>@EddyRam49049937</v>
      </c>
      <c r="C41" s="10" t="s">
        <v>1114</v>
      </c>
      <c r="D41" s="10" t="s">
        <v>1172</v>
      </c>
      <c r="E41" s="9" t="str">
        <f>HYPERLINK("https://twitter.com/EddyRam49049937/status/1353773603557433345","1353773603557433345")</f>
        <v>1353773603557433345</v>
      </c>
      <c r="F41" s="12"/>
      <c r="G41" s="11" t="s">
        <v>1173</v>
      </c>
      <c r="H41" s="12"/>
      <c r="I41" s="13">
        <v>0.0</v>
      </c>
      <c r="J41" s="13">
        <v>1.0</v>
      </c>
      <c r="K41" s="9" t="str">
        <f t="shared" si="17"/>
        <v>Twitter for Android</v>
      </c>
      <c r="L41" s="14">
        <v>601.0</v>
      </c>
      <c r="M41" s="14">
        <v>1272.0</v>
      </c>
      <c r="N41" s="14">
        <v>0.0</v>
      </c>
      <c r="O41" s="19"/>
      <c r="P41" s="16">
        <v>43857.39319444445</v>
      </c>
      <c r="Q41" s="12"/>
      <c r="R41" s="10" t="s">
        <v>1118</v>
      </c>
      <c r="S41" s="12"/>
      <c r="T41" s="12"/>
      <c r="U41" s="17" t="str">
        <f t="shared" si="18"/>
        <v>View</v>
      </c>
      <c r="V41" s="12"/>
      <c r="W41" s="12"/>
      <c r="X41" s="12"/>
      <c r="Y41" s="12"/>
      <c r="Z41" s="12"/>
    </row>
    <row r="42">
      <c r="A42" s="8">
        <v>44221.47695601852</v>
      </c>
      <c r="B42" s="9" t="str">
        <f>HYPERLINK("https://twitter.com/PcnegroLuna","@PcnegroLuna")</f>
        <v>@PcnegroLuna</v>
      </c>
      <c r="C42" s="10" t="s">
        <v>1174</v>
      </c>
      <c r="D42" s="10" t="s">
        <v>1175</v>
      </c>
      <c r="E42" s="9" t="str">
        <f>HYPERLINK("https://twitter.com/PcnegroLuna/status/1353756221044617219","1353756221044617219")</f>
        <v>1353756221044617219</v>
      </c>
      <c r="F42" s="12"/>
      <c r="G42" s="12"/>
      <c r="H42" s="12"/>
      <c r="I42" s="13">
        <v>0.0</v>
      </c>
      <c r="J42" s="13">
        <v>0.0</v>
      </c>
      <c r="K42" s="9" t="str">
        <f t="shared" si="17"/>
        <v>Twitter for Android</v>
      </c>
      <c r="L42" s="14">
        <v>49.0</v>
      </c>
      <c r="M42" s="14">
        <v>332.0</v>
      </c>
      <c r="N42" s="14">
        <v>0.0</v>
      </c>
      <c r="O42" s="19"/>
      <c r="P42" s="16">
        <v>42082.50115740741</v>
      </c>
      <c r="Q42" s="12"/>
      <c r="R42" s="12"/>
      <c r="S42" s="12"/>
      <c r="T42" s="12"/>
      <c r="U42" s="17" t="str">
        <f>HYPERLINK("https://pbs.twimg.com/profile_images/933720328269832192/shvuZ3u5.jpg","View")</f>
        <v>View</v>
      </c>
      <c r="V42" s="12"/>
      <c r="W42" s="12"/>
      <c r="X42" s="12"/>
      <c r="Y42" s="12"/>
      <c r="Z42" s="12"/>
    </row>
    <row r="43">
      <c r="A43" s="8">
        <v>44221.459745370375</v>
      </c>
      <c r="B43" s="9" t="str">
        <f>HYPERLINK("https://twitter.com/Buenjerry","@Buenjerry")</f>
        <v>@Buenjerry</v>
      </c>
      <c r="C43" s="10" t="s">
        <v>1176</v>
      </c>
      <c r="D43" s="10" t="s">
        <v>1177</v>
      </c>
      <c r="E43" s="9" t="str">
        <f>HYPERLINK("https://twitter.com/Buenjerry/status/1353749985347608577","1353749985347608577")</f>
        <v>1353749985347608577</v>
      </c>
      <c r="F43" s="11" t="s">
        <v>1107</v>
      </c>
      <c r="G43" s="11" t="s">
        <v>1108</v>
      </c>
      <c r="H43" s="12"/>
      <c r="I43" s="13">
        <v>0.0</v>
      </c>
      <c r="J43" s="13">
        <v>4.0</v>
      </c>
      <c r="K43" s="9" t="str">
        <f t="shared" si="17"/>
        <v>Twitter for Android</v>
      </c>
      <c r="L43" s="14">
        <v>11360.0</v>
      </c>
      <c r="M43" s="14">
        <v>799.0</v>
      </c>
      <c r="N43" s="14">
        <v>352.0</v>
      </c>
      <c r="O43" s="19"/>
      <c r="P43" s="16">
        <v>39999.79394675926</v>
      </c>
      <c r="Q43" s="10" t="s">
        <v>1178</v>
      </c>
      <c r="R43" s="10" t="s">
        <v>1179</v>
      </c>
      <c r="S43" s="11" t="s">
        <v>1180</v>
      </c>
      <c r="T43" s="12"/>
      <c r="U43" s="17" t="str">
        <f>HYPERLINK("https://pbs.twimg.com/profile_images/1352061635914063873/LFBQovot.jpg","View")</f>
        <v>View</v>
      </c>
      <c r="V43" s="12"/>
      <c r="W43" s="12"/>
      <c r="X43" s="12"/>
      <c r="Y43" s="12"/>
      <c r="Z43" s="12"/>
    </row>
    <row r="44">
      <c r="A44" s="8">
        <v>44221.45863425926</v>
      </c>
      <c r="B44" s="9" t="str">
        <f>HYPERLINK("https://twitter.com/Alex031323","@Alex031323")</f>
        <v>@Alex031323</v>
      </c>
      <c r="C44" s="10" t="s">
        <v>1181</v>
      </c>
      <c r="D44" s="10" t="s">
        <v>1182</v>
      </c>
      <c r="E44" s="9" t="str">
        <f>HYPERLINK("https://twitter.com/Alex031323/status/1353749582468034560","1353749582468034560")</f>
        <v>1353749582468034560</v>
      </c>
      <c r="F44" s="10" t="s">
        <v>1183</v>
      </c>
      <c r="G44" s="12"/>
      <c r="H44" s="12"/>
      <c r="I44" s="13">
        <v>0.0</v>
      </c>
      <c r="J44" s="13">
        <v>0.0</v>
      </c>
      <c r="K44" s="9" t="str">
        <f t="shared" si="17"/>
        <v>Twitter for Android</v>
      </c>
      <c r="L44" s="14">
        <v>483.0</v>
      </c>
      <c r="M44" s="14">
        <v>1637.0</v>
      </c>
      <c r="N44" s="14">
        <v>0.0</v>
      </c>
      <c r="O44" s="19"/>
      <c r="P44" s="16">
        <v>42935.42351851852</v>
      </c>
      <c r="Q44" s="10" t="s">
        <v>1184</v>
      </c>
      <c r="R44" s="10" t="s">
        <v>1185</v>
      </c>
      <c r="S44" s="12"/>
      <c r="T44" s="12"/>
      <c r="U44" s="17" t="str">
        <f>HYPERLINK("https://pbs.twimg.com/profile_images/887705790122950656/vFHNajb8.jpg","View")</f>
        <v>View</v>
      </c>
      <c r="V44" s="12"/>
      <c r="W44" s="12"/>
      <c r="X44" s="12"/>
      <c r="Y44" s="12"/>
      <c r="Z44" s="12"/>
    </row>
    <row r="45">
      <c r="A45" s="8">
        <v>44221.4547337963</v>
      </c>
      <c r="B45" s="9" t="str">
        <f>HYPERLINK("https://twitter.com/MonoDeTianguis","@MonoDeTianguis")</f>
        <v>@MonoDeTianguis</v>
      </c>
      <c r="C45" s="10" t="s">
        <v>1186</v>
      </c>
      <c r="D45" s="10" t="s">
        <v>1187</v>
      </c>
      <c r="E45" s="9" t="str">
        <f>HYPERLINK("https://twitter.com/MonoDeTianguis/status/1353748168035459075","1353748168035459075")</f>
        <v>1353748168035459075</v>
      </c>
      <c r="F45" s="11" t="s">
        <v>1107</v>
      </c>
      <c r="G45" s="11" t="s">
        <v>1108</v>
      </c>
      <c r="H45" s="12"/>
      <c r="I45" s="13">
        <v>17.0</v>
      </c>
      <c r="J45" s="13">
        <v>204.0</v>
      </c>
      <c r="K45" s="9" t="str">
        <f>HYPERLINK("https://mobile.twitter.com","Twitter Web App")</f>
        <v>Twitter Web App</v>
      </c>
      <c r="L45" s="14">
        <v>4605.0</v>
      </c>
      <c r="M45" s="14">
        <v>1103.0</v>
      </c>
      <c r="N45" s="14">
        <v>6.0</v>
      </c>
      <c r="O45" s="19"/>
      <c r="P45" s="16">
        <v>44206.87090277778</v>
      </c>
      <c r="Q45" s="10" t="s">
        <v>1188</v>
      </c>
      <c r="R45" s="10" t="s">
        <v>1189</v>
      </c>
      <c r="S45" s="12"/>
      <c r="T45" s="12"/>
      <c r="U45" s="17" t="str">
        <f>HYPERLINK("https://pbs.twimg.com/profile_images/1348463908206637057/Pd-P42rZ.jpg","View")</f>
        <v>View</v>
      </c>
      <c r="V45" s="12"/>
      <c r="W45" s="12"/>
      <c r="X45" s="12"/>
      <c r="Y45" s="12"/>
      <c r="Z45" s="12"/>
    </row>
    <row r="46">
      <c r="A46" s="8">
        <v>44221.41665509259</v>
      </c>
      <c r="B46" s="9" t="str">
        <f>HYPERLINK("https://twitter.com/AlekzArceo","@AlekzArceo")</f>
        <v>@AlekzArceo</v>
      </c>
      <c r="C46" s="10" t="s">
        <v>1190</v>
      </c>
      <c r="D46" s="10" t="s">
        <v>1191</v>
      </c>
      <c r="E46" s="9" t="str">
        <f>HYPERLINK("https://twitter.com/AlekzArceo/status/1353734370394308608","1353734370394308608")</f>
        <v>1353734370394308608</v>
      </c>
      <c r="F46" s="11" t="s">
        <v>1192</v>
      </c>
      <c r="G46" s="12"/>
      <c r="H46" s="12"/>
      <c r="I46" s="13">
        <v>0.0</v>
      </c>
      <c r="J46" s="13">
        <v>0.0</v>
      </c>
      <c r="K46" s="9" t="str">
        <f>HYPERLINK("http://twitter.com/download/iphone","Twitter for iPhone")</f>
        <v>Twitter for iPhone</v>
      </c>
      <c r="L46" s="14">
        <v>120.0</v>
      </c>
      <c r="M46" s="14">
        <v>118.0</v>
      </c>
      <c r="N46" s="14">
        <v>4.0</v>
      </c>
      <c r="O46" s="19"/>
      <c r="P46" s="16">
        <v>42144.61765046296</v>
      </c>
      <c r="Q46" s="10" t="s">
        <v>1193</v>
      </c>
      <c r="R46" s="10" t="s">
        <v>1194</v>
      </c>
      <c r="S46" s="12"/>
      <c r="T46" s="12"/>
      <c r="U46" s="17" t="str">
        <f>HYPERLINK("https://pbs.twimg.com/profile_images/961788537388515328/cgL8tQGP.jpg","View")</f>
        <v>View</v>
      </c>
      <c r="V46" s="12"/>
      <c r="W46" s="12"/>
      <c r="X46" s="12"/>
      <c r="Y46" s="12"/>
      <c r="Z46" s="12"/>
    </row>
    <row r="47">
      <c r="A47" s="8">
        <v>44221.41385416666</v>
      </c>
      <c r="B47" s="9" t="str">
        <f>HYPERLINK("https://twitter.com/sushingaramare","@sushingaramare")</f>
        <v>@sushingaramare</v>
      </c>
      <c r="C47" s="10" t="s">
        <v>1195</v>
      </c>
      <c r="D47" s="10" t="s">
        <v>1196</v>
      </c>
      <c r="E47" s="9" t="str">
        <f>HYPERLINK("https://twitter.com/sushingaramare/status/1353733355158835201","1353733355158835201")</f>
        <v>1353733355158835201</v>
      </c>
      <c r="F47" s="10" t="s">
        <v>1197</v>
      </c>
      <c r="G47" s="12"/>
      <c r="H47" s="12"/>
      <c r="I47" s="13">
        <v>0.0</v>
      </c>
      <c r="J47" s="13">
        <v>0.0</v>
      </c>
      <c r="K47" s="9" t="str">
        <f t="shared" ref="K47:K48" si="19">HYPERLINK("http://twitter.com/download/android","Twitter for Android")</f>
        <v>Twitter for Android</v>
      </c>
      <c r="L47" s="14">
        <v>128.0</v>
      </c>
      <c r="M47" s="14">
        <v>458.0</v>
      </c>
      <c r="N47" s="14">
        <v>0.0</v>
      </c>
      <c r="O47" s="19"/>
      <c r="P47" s="16">
        <v>40680.75646990741</v>
      </c>
      <c r="Q47" s="12"/>
      <c r="R47" s="10" t="s">
        <v>1198</v>
      </c>
      <c r="S47" s="12"/>
      <c r="T47" s="12"/>
      <c r="U47" s="17" t="str">
        <f>HYPERLINK("https://pbs.twimg.com/profile_images/1340115825928396802/HlQNOC3p.jpg","View")</f>
        <v>View</v>
      </c>
      <c r="V47" s="12"/>
      <c r="W47" s="12"/>
      <c r="X47" s="12"/>
      <c r="Y47" s="12"/>
      <c r="Z47" s="12"/>
    </row>
    <row r="48">
      <c r="A48" s="8">
        <v>44221.40862268519</v>
      </c>
      <c r="B48" s="9" t="str">
        <f>HYPERLINK("https://twitter.com/EddyRam49049937","@EddyRam49049937")</f>
        <v>@EddyRam49049937</v>
      </c>
      <c r="C48" s="10" t="s">
        <v>1114</v>
      </c>
      <c r="D48" s="10" t="s">
        <v>1199</v>
      </c>
      <c r="E48" s="9" t="str">
        <f>HYPERLINK("https://twitter.com/EddyRam49049937/status/1353731459060740100","1353731459060740100")</f>
        <v>1353731459060740100</v>
      </c>
      <c r="F48" s="10" t="s">
        <v>1200</v>
      </c>
      <c r="G48" s="12"/>
      <c r="H48" s="12"/>
      <c r="I48" s="13">
        <v>0.0</v>
      </c>
      <c r="J48" s="13">
        <v>0.0</v>
      </c>
      <c r="K48" s="9" t="str">
        <f t="shared" si="19"/>
        <v>Twitter for Android</v>
      </c>
      <c r="L48" s="14">
        <v>601.0</v>
      </c>
      <c r="M48" s="14">
        <v>1272.0</v>
      </c>
      <c r="N48" s="14">
        <v>0.0</v>
      </c>
      <c r="O48" s="19"/>
      <c r="P48" s="16">
        <v>43857.39319444445</v>
      </c>
      <c r="Q48" s="12"/>
      <c r="R48" s="10" t="s">
        <v>1118</v>
      </c>
      <c r="S48" s="12"/>
      <c r="T48" s="12"/>
      <c r="U48" s="17" t="str">
        <f>HYPERLINK("https://pbs.twimg.com/profile_images/1347714165205397504/2BG3JosY.jpg","View")</f>
        <v>View</v>
      </c>
      <c r="V48" s="12"/>
      <c r="W48" s="12"/>
      <c r="X48" s="12"/>
      <c r="Y48" s="12"/>
      <c r="Z48" s="12"/>
    </row>
    <row r="49">
      <c r="A49" s="8">
        <v>44221.380520833336</v>
      </c>
      <c r="B49" s="9" t="str">
        <f>HYPERLINK("https://twitter.com/AlexOpinaMx","@AlexOpinaMx")</f>
        <v>@AlexOpinaMx</v>
      </c>
      <c r="C49" s="10" t="s">
        <v>1068</v>
      </c>
      <c r="D49" s="10" t="s">
        <v>1201</v>
      </c>
      <c r="E49" s="9" t="str">
        <f>HYPERLINK("https://twitter.com/AlexOpinaMx/status/1353721276821594115","1353721276821594115")</f>
        <v>1353721276821594115</v>
      </c>
      <c r="F49" s="11" t="s">
        <v>1202</v>
      </c>
      <c r="G49" s="12"/>
      <c r="H49" s="12"/>
      <c r="I49" s="13">
        <v>0.0</v>
      </c>
      <c r="J49" s="13">
        <v>0.0</v>
      </c>
      <c r="K49" s="9" t="str">
        <f t="shared" ref="K49:K50" si="20">HYPERLINK("http://twitter.com/download/iphone","Twitter for iPhone")</f>
        <v>Twitter for iPhone</v>
      </c>
      <c r="L49" s="14">
        <v>9146.0</v>
      </c>
      <c r="M49" s="14">
        <v>1048.0</v>
      </c>
      <c r="N49" s="14">
        <v>18.0</v>
      </c>
      <c r="O49" s="19"/>
      <c r="P49" s="16">
        <v>41053.5537037037</v>
      </c>
      <c r="Q49" s="12"/>
      <c r="R49" s="10" t="s">
        <v>1072</v>
      </c>
      <c r="S49" s="12"/>
      <c r="T49" s="12"/>
      <c r="U49" s="17" t="str">
        <f>HYPERLINK("https://pbs.twimg.com/profile_images/1240484047043862529/71GqPTma.jpg","View")</f>
        <v>View</v>
      </c>
      <c r="V49" s="12"/>
      <c r="W49" s="12"/>
      <c r="X49" s="12"/>
      <c r="Y49" s="12"/>
      <c r="Z49" s="12"/>
    </row>
    <row r="50">
      <c r="A50" s="8">
        <v>44221.3644212963</v>
      </c>
      <c r="B50" s="9" t="str">
        <f>HYPERLINK("https://twitter.com/iblijs","@iblijs")</f>
        <v>@iblijs</v>
      </c>
      <c r="C50" s="10" t="s">
        <v>1203</v>
      </c>
      <c r="D50" s="10" t="s">
        <v>1204</v>
      </c>
      <c r="E50" s="9" t="str">
        <f>HYPERLINK("https://twitter.com/iblijs/status/1353715439403233280","1353715439403233280")</f>
        <v>1353715439403233280</v>
      </c>
      <c r="F50" s="12"/>
      <c r="G50" s="11" t="s">
        <v>1205</v>
      </c>
      <c r="H50" s="12"/>
      <c r="I50" s="13">
        <v>0.0</v>
      </c>
      <c r="J50" s="13">
        <v>0.0</v>
      </c>
      <c r="K50" s="9" t="str">
        <f t="shared" si="20"/>
        <v>Twitter for iPhone</v>
      </c>
      <c r="L50" s="14">
        <v>101.0</v>
      </c>
      <c r="M50" s="14">
        <v>411.0</v>
      </c>
      <c r="N50" s="14">
        <v>1.0</v>
      </c>
      <c r="O50" s="19"/>
      <c r="P50" s="16">
        <v>40965.52300925926</v>
      </c>
      <c r="Q50" s="12"/>
      <c r="R50" s="10" t="s">
        <v>1206</v>
      </c>
      <c r="S50" s="12"/>
      <c r="T50" s="12"/>
      <c r="U50" s="17" t="str">
        <f>HYPERLINK("https://pbs.twimg.com/profile_images/1241125047512809472/Jn-KPZXF.jpg","View")</f>
        <v>View</v>
      </c>
      <c r="V50" s="12"/>
      <c r="W50" s="12"/>
      <c r="X50" s="12"/>
      <c r="Y50" s="12"/>
      <c r="Z50" s="12"/>
    </row>
    <row r="51">
      <c r="A51" s="8">
        <v>44221.35322916666</v>
      </c>
      <c r="B51" s="9" t="str">
        <f>HYPERLINK("https://twitter.com/AlbertoSH9","@AlbertoSH9")</f>
        <v>@AlbertoSH9</v>
      </c>
      <c r="C51" s="10" t="s">
        <v>1207</v>
      </c>
      <c r="D51" s="10" t="s">
        <v>1208</v>
      </c>
      <c r="E51" s="9" t="str">
        <f>HYPERLINK("https://twitter.com/AlbertoSH9/status/1353711384190734336","1353711384190734336")</f>
        <v>1353711384190734336</v>
      </c>
      <c r="F51" s="12"/>
      <c r="G51" s="11" t="s">
        <v>1209</v>
      </c>
      <c r="H51" s="12"/>
      <c r="I51" s="13">
        <v>0.0</v>
      </c>
      <c r="J51" s="13">
        <v>0.0</v>
      </c>
      <c r="K51" s="9" t="str">
        <f t="shared" ref="K51:K54" si="21">HYPERLINK("http://twitter.com/download/android","Twitter for Android")</f>
        <v>Twitter for Android</v>
      </c>
      <c r="L51" s="14">
        <v>226.0</v>
      </c>
      <c r="M51" s="14">
        <v>194.0</v>
      </c>
      <c r="N51" s="14">
        <v>0.0</v>
      </c>
      <c r="O51" s="19"/>
      <c r="P51" s="16">
        <v>42453.6578125</v>
      </c>
      <c r="Q51" s="12"/>
      <c r="R51" s="12"/>
      <c r="S51" s="12"/>
      <c r="T51" s="12"/>
      <c r="U51" s="17" t="str">
        <f>HYPERLINK("https://pbs.twimg.com/profile_images/1280344811913064448/wnRBhdX8.jpg","View")</f>
        <v>View</v>
      </c>
      <c r="V51" s="12"/>
      <c r="W51" s="12"/>
      <c r="X51" s="12"/>
      <c r="Y51" s="12"/>
      <c r="Z51" s="12"/>
    </row>
    <row r="52">
      <c r="A52" s="8">
        <v>44221.3284375</v>
      </c>
      <c r="B52" s="9" t="str">
        <f>HYPERLINK("https://twitter.com/LaRanaAzulada","@LaRanaAzulada")</f>
        <v>@LaRanaAzulada</v>
      </c>
      <c r="C52" s="10" t="s">
        <v>1073</v>
      </c>
      <c r="D52" s="10" t="s">
        <v>1210</v>
      </c>
      <c r="E52" s="9" t="str">
        <f>HYPERLINK("https://twitter.com/LaRanaAzulada/status/1353702402478772225","1353702402478772225")</f>
        <v>1353702402478772225</v>
      </c>
      <c r="F52" s="11" t="s">
        <v>1211</v>
      </c>
      <c r="G52" s="12"/>
      <c r="H52" s="12"/>
      <c r="I52" s="13">
        <v>0.0</v>
      </c>
      <c r="J52" s="13">
        <v>2.0</v>
      </c>
      <c r="K52" s="9" t="str">
        <f t="shared" si="21"/>
        <v>Twitter for Android</v>
      </c>
      <c r="L52" s="14">
        <v>1422.0</v>
      </c>
      <c r="M52" s="14">
        <v>1009.0</v>
      </c>
      <c r="N52" s="14">
        <v>3.0</v>
      </c>
      <c r="O52" s="19"/>
      <c r="P52" s="16">
        <v>40201.91677083333</v>
      </c>
      <c r="Q52" s="12"/>
      <c r="R52" s="12"/>
      <c r="S52" s="12"/>
      <c r="T52" s="12"/>
      <c r="U52" s="17" t="str">
        <f>HYPERLINK("https://pbs.twimg.com/profile_images/1340126795312615425/ej-c6Ett.jpg","View")</f>
        <v>View</v>
      </c>
      <c r="V52" s="12"/>
      <c r="W52" s="12"/>
      <c r="X52" s="12"/>
      <c r="Y52" s="12"/>
      <c r="Z52" s="12"/>
    </row>
    <row r="53">
      <c r="A53" s="8">
        <v>44221.31317129629</v>
      </c>
      <c r="B53" s="9" t="str">
        <f>HYPERLINK("https://twitter.com/FajardoTweeter","@FajardoTweeter")</f>
        <v>@FajardoTweeter</v>
      </c>
      <c r="C53" s="10" t="s">
        <v>1212</v>
      </c>
      <c r="D53" s="10" t="s">
        <v>1213</v>
      </c>
      <c r="E53" s="9" t="str">
        <f>HYPERLINK("https://twitter.com/FajardoTweeter/status/1353696867637473280","1353696867637473280")</f>
        <v>1353696867637473280</v>
      </c>
      <c r="F53" s="12"/>
      <c r="G53" s="12"/>
      <c r="H53" s="12"/>
      <c r="I53" s="13">
        <v>0.0</v>
      </c>
      <c r="J53" s="13">
        <v>0.0</v>
      </c>
      <c r="K53" s="9" t="str">
        <f t="shared" si="21"/>
        <v>Twitter for Android</v>
      </c>
      <c r="L53" s="14">
        <v>249.0</v>
      </c>
      <c r="M53" s="14">
        <v>611.0</v>
      </c>
      <c r="N53" s="14">
        <v>4.0</v>
      </c>
      <c r="O53" s="19"/>
      <c r="P53" s="16">
        <v>40738.85655092593</v>
      </c>
      <c r="Q53" s="12"/>
      <c r="R53" s="12"/>
      <c r="S53" s="11" t="s">
        <v>1214</v>
      </c>
      <c r="T53" s="12"/>
      <c r="U53" s="17" t="str">
        <f>HYPERLINK("https://pbs.twimg.com/profile_images/378800000791113903/c7f979e543501f55c490470ddbda73c5.jpeg","View")</f>
        <v>View</v>
      </c>
      <c r="V53" s="12"/>
      <c r="W53" s="12"/>
      <c r="X53" s="12"/>
      <c r="Y53" s="12"/>
      <c r="Z53" s="12"/>
    </row>
    <row r="54">
      <c r="A54" s="8">
        <v>44221.058124999996</v>
      </c>
      <c r="B54" s="9" t="str">
        <f>HYPERLINK("https://twitter.com/FerLeon_Mx","@FerLeon_Mx")</f>
        <v>@FerLeon_Mx</v>
      </c>
      <c r="C54" s="10" t="s">
        <v>1215</v>
      </c>
      <c r="D54" s="10" t="s">
        <v>1216</v>
      </c>
      <c r="E54" s="9" t="str">
        <f>HYPERLINK("https://twitter.com/FerLeon_Mx/status/1353604442566885377","1353604442566885377")</f>
        <v>1353604442566885377</v>
      </c>
      <c r="F54" s="10" t="s">
        <v>1217</v>
      </c>
      <c r="G54" s="12"/>
      <c r="H54" s="12"/>
      <c r="I54" s="13">
        <v>0.0</v>
      </c>
      <c r="J54" s="13">
        <v>1.0</v>
      </c>
      <c r="K54" s="9" t="str">
        <f t="shared" si="21"/>
        <v>Twitter for Android</v>
      </c>
      <c r="L54" s="14">
        <v>874.0</v>
      </c>
      <c r="M54" s="14">
        <v>700.0</v>
      </c>
      <c r="N54" s="14">
        <v>6.0</v>
      </c>
      <c r="O54" s="19"/>
      <c r="P54" s="16">
        <v>40709.389803240745</v>
      </c>
      <c r="Q54" s="10" t="s">
        <v>526</v>
      </c>
      <c r="R54" s="10" t="s">
        <v>1218</v>
      </c>
      <c r="S54" s="12"/>
      <c r="T54" s="12"/>
      <c r="U54" s="17" t="str">
        <f>HYPERLINK("https://pbs.twimg.com/profile_images/1348714210960826370/wJXbme0b.jpg","View")</f>
        <v>View</v>
      </c>
      <c r="V54" s="12"/>
      <c r="W54" s="12"/>
      <c r="X54" s="12"/>
      <c r="Y54" s="12"/>
      <c r="Z54" s="12"/>
    </row>
    <row r="55">
      <c r="A55" s="8">
        <v>44220.91726851852</v>
      </c>
      <c r="B55" s="9" t="str">
        <f>HYPERLINK("https://twitter.com/maauriig7","@maauriig7")</f>
        <v>@maauriig7</v>
      </c>
      <c r="C55" s="10" t="s">
        <v>1219</v>
      </c>
      <c r="D55" s="10" t="s">
        <v>1220</v>
      </c>
      <c r="E55" s="9" t="str">
        <f>HYPERLINK("https://twitter.com/maauriig7/status/1353553397190959106","1353553397190959106")</f>
        <v>1353553397190959106</v>
      </c>
      <c r="F55" s="12"/>
      <c r="G55" s="12"/>
      <c r="H55" s="12"/>
      <c r="I55" s="13">
        <v>0.0</v>
      </c>
      <c r="J55" s="13">
        <v>0.0</v>
      </c>
      <c r="K55" s="9" t="str">
        <f t="shared" ref="K55:K56" si="22">HYPERLINK("https://mobile.twitter.com","Twitter Web App")</f>
        <v>Twitter Web App</v>
      </c>
      <c r="L55" s="14">
        <v>13.0</v>
      </c>
      <c r="M55" s="14">
        <v>311.0</v>
      </c>
      <c r="N55" s="14">
        <v>1.0</v>
      </c>
      <c r="O55" s="19"/>
      <c r="P55" s="16">
        <v>41658.84869212963</v>
      </c>
      <c r="Q55" s="12"/>
      <c r="R55" s="10" t="s">
        <v>1221</v>
      </c>
      <c r="S55" s="12"/>
      <c r="T55" s="12"/>
      <c r="U55" s="17" t="str">
        <f>HYPERLINK("https://pbs.twimg.com/profile_images/1163167106734731272/m9636ITA.jpg","View")</f>
        <v>View</v>
      </c>
      <c r="V55" s="12"/>
      <c r="W55" s="12"/>
      <c r="X55" s="12"/>
      <c r="Y55" s="12"/>
      <c r="Z55" s="12"/>
    </row>
    <row r="56">
      <c r="A56" s="8">
        <v>44220.89633101852</v>
      </c>
      <c r="B56" s="9" t="str">
        <f>HYPERLINK("https://twitter.com/RuizEmiliano3","@RuizEmiliano3")</f>
        <v>@RuizEmiliano3</v>
      </c>
      <c r="C56" s="10" t="s">
        <v>1222</v>
      </c>
      <c r="D56" s="10" t="s">
        <v>1223</v>
      </c>
      <c r="E56" s="9" t="str">
        <f>HYPERLINK("https://twitter.com/RuizEmiliano3/status/1353545810374438912","1353545810374438912")</f>
        <v>1353545810374438912</v>
      </c>
      <c r="F56" s="10" t="s">
        <v>1224</v>
      </c>
      <c r="G56" s="12"/>
      <c r="H56" s="12"/>
      <c r="I56" s="13">
        <v>0.0</v>
      </c>
      <c r="J56" s="13">
        <v>0.0</v>
      </c>
      <c r="K56" s="9" t="str">
        <f t="shared" si="22"/>
        <v>Twitter Web App</v>
      </c>
      <c r="L56" s="14">
        <v>1285.0</v>
      </c>
      <c r="M56" s="14">
        <v>1288.0</v>
      </c>
      <c r="N56" s="14">
        <v>1.0</v>
      </c>
      <c r="O56" s="19"/>
      <c r="P56" s="16">
        <v>43700.62075231482</v>
      </c>
      <c r="Q56" s="10" t="s">
        <v>1225</v>
      </c>
      <c r="R56" s="10" t="s">
        <v>1226</v>
      </c>
      <c r="S56" s="12"/>
      <c r="T56" s="12"/>
      <c r="U56" s="17" t="str">
        <f>HYPERLINK("https://pbs.twimg.com/profile_images/1324917922834374657/0zkMJ7Mg.jpg","View")</f>
        <v>View</v>
      </c>
      <c r="V56" s="12"/>
      <c r="W56" s="12"/>
      <c r="X56" s="12"/>
      <c r="Y56" s="12"/>
      <c r="Z56" s="12"/>
    </row>
    <row r="57">
      <c r="A57" s="8">
        <v>44220.87675925926</v>
      </c>
      <c r="B57" s="9" t="str">
        <f>HYPERLINK("https://twitter.com/fredelcomosuena","@fredelcomosuena")</f>
        <v>@fredelcomosuena</v>
      </c>
      <c r="C57" s="10" t="s">
        <v>1227</v>
      </c>
      <c r="D57" s="10" t="s">
        <v>1228</v>
      </c>
      <c r="E57" s="9" t="str">
        <f>HYPERLINK("https://twitter.com/fredelcomosuena/status/1353538719349936128","1353538719349936128")</f>
        <v>1353538719349936128</v>
      </c>
      <c r="F57" s="11" t="s">
        <v>1229</v>
      </c>
      <c r="G57" s="11" t="s">
        <v>1230</v>
      </c>
      <c r="H57" s="12"/>
      <c r="I57" s="13">
        <v>0.0</v>
      </c>
      <c r="J57" s="13">
        <v>1.0</v>
      </c>
      <c r="K57" s="9" t="str">
        <f t="shared" ref="K57:K60" si="23">HYPERLINK("http://twitter.com/download/iphone","Twitter for iPhone")</f>
        <v>Twitter for iPhone</v>
      </c>
      <c r="L57" s="14">
        <v>437.0</v>
      </c>
      <c r="M57" s="14">
        <v>517.0</v>
      </c>
      <c r="N57" s="14">
        <v>7.0</v>
      </c>
      <c r="O57" s="19"/>
      <c r="P57" s="16">
        <v>39933.506689814814</v>
      </c>
      <c r="Q57" s="12"/>
      <c r="R57" s="10" t="s">
        <v>1231</v>
      </c>
      <c r="S57" s="12"/>
      <c r="T57" s="12"/>
      <c r="U57" s="17" t="str">
        <f>HYPERLINK("https://pbs.twimg.com/profile_images/1298018220738334722/cRTxqDxD.jpg","View")</f>
        <v>View</v>
      </c>
      <c r="V57" s="12"/>
      <c r="W57" s="12"/>
      <c r="X57" s="12"/>
      <c r="Y57" s="12"/>
      <c r="Z57" s="12"/>
    </row>
    <row r="58">
      <c r="A58" s="8">
        <v>44220.87076388889</v>
      </c>
      <c r="B58" s="9" t="str">
        <f>HYPERLINK("https://twitter.com/Medaban_limit","@Medaban_limit")</f>
        <v>@Medaban_limit</v>
      </c>
      <c r="C58" s="10" t="s">
        <v>1232</v>
      </c>
      <c r="D58" s="10" t="s">
        <v>1233</v>
      </c>
      <c r="E58" s="9" t="str">
        <f>HYPERLINK("https://twitter.com/Medaban_limit/status/1353536544196485122","1353536544196485122")</f>
        <v>1353536544196485122</v>
      </c>
      <c r="F58" s="12"/>
      <c r="G58" s="11" t="s">
        <v>1234</v>
      </c>
      <c r="H58" s="12"/>
      <c r="I58" s="13">
        <v>0.0</v>
      </c>
      <c r="J58" s="13">
        <v>1.0</v>
      </c>
      <c r="K58" s="9" t="str">
        <f t="shared" si="23"/>
        <v>Twitter for iPhone</v>
      </c>
      <c r="L58" s="14">
        <v>661.0</v>
      </c>
      <c r="M58" s="14">
        <v>139.0</v>
      </c>
      <c r="N58" s="14">
        <v>9.0</v>
      </c>
      <c r="O58" s="19"/>
      <c r="P58" s="16">
        <v>40156.027233796296</v>
      </c>
      <c r="Q58" s="10" t="s">
        <v>224</v>
      </c>
      <c r="R58" s="10" t="s">
        <v>1235</v>
      </c>
      <c r="S58" s="11" t="s">
        <v>1236</v>
      </c>
      <c r="T58" s="12"/>
      <c r="U58" s="17" t="str">
        <f>HYPERLINK("https://pbs.twimg.com/profile_images/1344171749240430593/XD6mPhQx.jpg","View")</f>
        <v>View</v>
      </c>
      <c r="V58" s="12"/>
      <c r="W58" s="12"/>
      <c r="X58" s="12"/>
      <c r="Y58" s="12"/>
      <c r="Z58" s="12"/>
    </row>
    <row r="59">
      <c r="A59" s="8">
        <v>44220.864699074074</v>
      </c>
      <c r="B59" s="9" t="str">
        <f>HYPERLINK("https://twitter.com/Gerardo59743649","@Gerardo59743649")</f>
        <v>@Gerardo59743649</v>
      </c>
      <c r="C59" s="10" t="s">
        <v>1237</v>
      </c>
      <c r="D59" s="10" t="s">
        <v>1238</v>
      </c>
      <c r="E59" s="9" t="str">
        <f>HYPERLINK("https://twitter.com/Gerardo59743649/status/1353534347018522625","1353534347018522625")</f>
        <v>1353534347018522625</v>
      </c>
      <c r="F59" s="12"/>
      <c r="G59" s="12"/>
      <c r="H59" s="12"/>
      <c r="I59" s="13">
        <v>0.0</v>
      </c>
      <c r="J59" s="13">
        <v>1.0</v>
      </c>
      <c r="K59" s="9" t="str">
        <f t="shared" si="23"/>
        <v>Twitter for iPhone</v>
      </c>
      <c r="L59" s="14">
        <v>64.0</v>
      </c>
      <c r="M59" s="14">
        <v>412.0</v>
      </c>
      <c r="N59" s="14">
        <v>0.0</v>
      </c>
      <c r="O59" s="19"/>
      <c r="P59" s="16">
        <v>44144.344409722224</v>
      </c>
      <c r="Q59" s="12"/>
      <c r="R59" s="10" t="s">
        <v>1239</v>
      </c>
      <c r="S59" s="12"/>
      <c r="T59" s="12"/>
      <c r="U59" s="17" t="str">
        <f>HYPERLINK("https://pbs.twimg.com/profile_images/1342117653209440256/pFukXCau.jpg","View")</f>
        <v>View</v>
      </c>
      <c r="V59" s="12"/>
      <c r="W59" s="12"/>
      <c r="X59" s="12"/>
      <c r="Y59" s="12"/>
      <c r="Z59" s="12"/>
    </row>
    <row r="60">
      <c r="A60" s="8">
        <v>44220.83949074074</v>
      </c>
      <c r="B60" s="9" t="str">
        <f>HYPERLINK("https://twitter.com/V3lascoMx","@V3lascoMx")</f>
        <v>@V3lascoMx</v>
      </c>
      <c r="C60" s="10" t="s">
        <v>1240</v>
      </c>
      <c r="D60" s="10" t="s">
        <v>1241</v>
      </c>
      <c r="E60" s="9" t="str">
        <f>HYPERLINK("https://twitter.com/V3lascoMx/status/1353525213514891264","1353525213514891264")</f>
        <v>1353525213514891264</v>
      </c>
      <c r="F60" s="11" t="s">
        <v>1242</v>
      </c>
      <c r="G60" s="11" t="s">
        <v>1243</v>
      </c>
      <c r="H60" s="12"/>
      <c r="I60" s="13">
        <v>0.0</v>
      </c>
      <c r="J60" s="13">
        <v>0.0</v>
      </c>
      <c r="K60" s="9" t="str">
        <f t="shared" si="23"/>
        <v>Twitter for iPhone</v>
      </c>
      <c r="L60" s="14">
        <v>146.0</v>
      </c>
      <c r="M60" s="14">
        <v>719.0</v>
      </c>
      <c r="N60" s="14">
        <v>1.0</v>
      </c>
      <c r="O60" s="19"/>
      <c r="P60" s="16">
        <v>40706.891238425924</v>
      </c>
      <c r="Q60" s="10" t="s">
        <v>1028</v>
      </c>
      <c r="R60" s="10" t="s">
        <v>1244</v>
      </c>
      <c r="S60" s="12"/>
      <c r="T60" s="12"/>
      <c r="U60" s="17" t="str">
        <f>HYPERLINK("https://pbs.twimg.com/profile_images/1257460493863788549/meMdHMFI.jpg","View")</f>
        <v>View</v>
      </c>
      <c r="V60" s="12"/>
      <c r="W60" s="12"/>
      <c r="X60" s="12"/>
      <c r="Y60" s="12"/>
      <c r="Z60" s="12"/>
    </row>
    <row r="61">
      <c r="A61" s="8">
        <v>44220.82302083333</v>
      </c>
      <c r="B61" s="9" t="str">
        <f>HYPERLINK("https://twitter.com/WinterJughead","@WinterJughead")</f>
        <v>@WinterJughead</v>
      </c>
      <c r="C61" s="10" t="s">
        <v>1245</v>
      </c>
      <c r="D61" s="10" t="s">
        <v>1246</v>
      </c>
      <c r="E61" s="9" t="str">
        <f>HYPERLINK("https://twitter.com/WinterJughead/status/1353519242537263106","1353519242537263106")</f>
        <v>1353519242537263106</v>
      </c>
      <c r="F61" s="12"/>
      <c r="G61" s="11" t="s">
        <v>1247</v>
      </c>
      <c r="H61" s="12"/>
      <c r="I61" s="13">
        <v>4.0</v>
      </c>
      <c r="J61" s="13">
        <v>9.0</v>
      </c>
      <c r="K61" s="9" t="str">
        <f t="shared" ref="K61:K67" si="24">HYPERLINK("http://twitter.com/download/android","Twitter for Android")</f>
        <v>Twitter for Android</v>
      </c>
      <c r="L61" s="14">
        <v>747.0</v>
      </c>
      <c r="M61" s="14">
        <v>1241.0</v>
      </c>
      <c r="N61" s="14">
        <v>6.0</v>
      </c>
      <c r="O61" s="19"/>
      <c r="P61" s="16">
        <v>40448.095300925925</v>
      </c>
      <c r="Q61" s="10" t="s">
        <v>1248</v>
      </c>
      <c r="R61" s="10" t="s">
        <v>1249</v>
      </c>
      <c r="S61" s="12"/>
      <c r="T61" s="12"/>
      <c r="U61" s="17" t="str">
        <f>HYPERLINK("https://pbs.twimg.com/profile_images/1344735589225046021/jjA5nUYB.jpg","View")</f>
        <v>View</v>
      </c>
      <c r="V61" s="12"/>
      <c r="W61" s="12"/>
      <c r="X61" s="12"/>
      <c r="Y61" s="12"/>
      <c r="Z61" s="12"/>
    </row>
    <row r="62">
      <c r="A62" s="8">
        <v>44220.81945601852</v>
      </c>
      <c r="B62" s="9" t="str">
        <f>HYPERLINK("https://twitter.com/EdwinRomeoRiva1","@EdwinRomeoRiva1")</f>
        <v>@EdwinRomeoRiva1</v>
      </c>
      <c r="C62" s="10" t="s">
        <v>1250</v>
      </c>
      <c r="D62" s="10" t="s">
        <v>1251</v>
      </c>
      <c r="E62" s="9" t="str">
        <f>HYPERLINK("https://twitter.com/EdwinRomeoRiva1/status/1353517951031398400","1353517951031398400")</f>
        <v>1353517951031398400</v>
      </c>
      <c r="F62" s="12"/>
      <c r="G62" s="11" t="s">
        <v>1252</v>
      </c>
      <c r="H62" s="12"/>
      <c r="I62" s="13">
        <v>65.0</v>
      </c>
      <c r="J62" s="13">
        <v>141.0</v>
      </c>
      <c r="K62" s="9" t="str">
        <f t="shared" si="24"/>
        <v>Twitter for Android</v>
      </c>
      <c r="L62" s="14">
        <v>641.0</v>
      </c>
      <c r="M62" s="14">
        <v>783.0</v>
      </c>
      <c r="N62" s="14">
        <v>0.0</v>
      </c>
      <c r="O62" s="19"/>
      <c r="P62" s="16">
        <v>44194.77267361111</v>
      </c>
      <c r="Q62" s="12"/>
      <c r="R62" s="10" t="s">
        <v>1253</v>
      </c>
      <c r="S62" s="12"/>
      <c r="T62" s="12"/>
      <c r="U62" s="17" t="str">
        <f>HYPERLINK("https://pbs.twimg.com/profile_images/1344079786994507778/tjZLPBC5.jpg","View")</f>
        <v>View</v>
      </c>
      <c r="V62" s="12"/>
      <c r="W62" s="12"/>
      <c r="X62" s="12"/>
      <c r="Y62" s="12"/>
      <c r="Z62" s="12"/>
    </row>
    <row r="63">
      <c r="A63" s="8">
        <v>44220.81201388889</v>
      </c>
      <c r="B63" s="9" t="str">
        <f>HYPERLINK("https://twitter.com/FajardoTweeter","@FajardoTweeter")</f>
        <v>@FajardoTweeter</v>
      </c>
      <c r="C63" s="10" t="s">
        <v>1212</v>
      </c>
      <c r="D63" s="10" t="s">
        <v>1254</v>
      </c>
      <c r="E63" s="9" t="str">
        <f>HYPERLINK("https://twitter.com/FajardoTweeter/status/1353515255276560385","1353515255276560385")</f>
        <v>1353515255276560385</v>
      </c>
      <c r="F63" s="11" t="s">
        <v>1255</v>
      </c>
      <c r="G63" s="11" t="s">
        <v>1256</v>
      </c>
      <c r="H63" s="12"/>
      <c r="I63" s="13">
        <v>1.0</v>
      </c>
      <c r="J63" s="13">
        <v>1.0</v>
      </c>
      <c r="K63" s="9" t="str">
        <f t="shared" si="24"/>
        <v>Twitter for Android</v>
      </c>
      <c r="L63" s="14">
        <v>249.0</v>
      </c>
      <c r="M63" s="14">
        <v>611.0</v>
      </c>
      <c r="N63" s="14">
        <v>4.0</v>
      </c>
      <c r="O63" s="19"/>
      <c r="P63" s="16">
        <v>40738.85655092593</v>
      </c>
      <c r="Q63" s="12"/>
      <c r="R63" s="12"/>
      <c r="S63" s="11" t="s">
        <v>1214</v>
      </c>
      <c r="T63" s="12"/>
      <c r="U63" s="17" t="str">
        <f>HYPERLINK("https://pbs.twimg.com/profile_images/378800000791113903/c7f979e543501f55c490470ddbda73c5.jpeg","View")</f>
        <v>View</v>
      </c>
      <c r="V63" s="12"/>
      <c r="W63" s="12"/>
      <c r="X63" s="12"/>
      <c r="Y63" s="12"/>
      <c r="Z63" s="12"/>
    </row>
    <row r="64">
      <c r="A64" s="8">
        <v>44220.81046296297</v>
      </c>
      <c r="B64" s="9" t="str">
        <f>HYPERLINK("https://twitter.com/dylanjoliver","@dylanjoliver")</f>
        <v>@dylanjoliver</v>
      </c>
      <c r="C64" s="10" t="s">
        <v>1257</v>
      </c>
      <c r="D64" s="10" t="s">
        <v>1258</v>
      </c>
      <c r="E64" s="9" t="str">
        <f>HYPERLINK("https://twitter.com/dylanjoliver/status/1353514691549564928","1353514691549564928")</f>
        <v>1353514691549564928</v>
      </c>
      <c r="F64" s="12"/>
      <c r="G64" s="12"/>
      <c r="H64" s="12"/>
      <c r="I64" s="13">
        <v>0.0</v>
      </c>
      <c r="J64" s="13">
        <v>0.0</v>
      </c>
      <c r="K64" s="9" t="str">
        <f t="shared" si="24"/>
        <v>Twitter for Android</v>
      </c>
      <c r="L64" s="14">
        <v>197.0</v>
      </c>
      <c r="M64" s="14">
        <v>403.0</v>
      </c>
      <c r="N64" s="14">
        <v>3.0</v>
      </c>
      <c r="O64" s="19"/>
      <c r="P64" s="16">
        <v>40303.78015046296</v>
      </c>
      <c r="Q64" s="10" t="s">
        <v>377</v>
      </c>
      <c r="R64" s="12"/>
      <c r="S64" s="11" t="s">
        <v>1259</v>
      </c>
      <c r="T64" s="12"/>
      <c r="U64" s="17" t="str">
        <f>HYPERLINK("https://pbs.twimg.com/profile_images/1068384689881325570/weae12-8.jpg","View")</f>
        <v>View</v>
      </c>
      <c r="V64" s="12"/>
      <c r="W64" s="12"/>
      <c r="X64" s="12"/>
      <c r="Y64" s="12"/>
      <c r="Z64" s="12"/>
    </row>
    <row r="65">
      <c r="A65" s="8">
        <v>44220.80662037037</v>
      </c>
      <c r="B65" s="9" t="str">
        <f>HYPERLINK("https://twitter.com/chingomex","@chingomex")</f>
        <v>@chingomex</v>
      </c>
      <c r="C65" s="10" t="s">
        <v>1260</v>
      </c>
      <c r="D65" s="10" t="s">
        <v>1261</v>
      </c>
      <c r="E65" s="9" t="str">
        <f>HYPERLINK("https://twitter.com/chingomex/status/1353513299887976448","1353513299887976448")</f>
        <v>1353513299887976448</v>
      </c>
      <c r="F65" s="12"/>
      <c r="G65" s="11" t="s">
        <v>1262</v>
      </c>
      <c r="H65" s="12"/>
      <c r="I65" s="13">
        <v>0.0</v>
      </c>
      <c r="J65" s="13">
        <v>0.0</v>
      </c>
      <c r="K65" s="9" t="str">
        <f t="shared" si="24"/>
        <v>Twitter for Android</v>
      </c>
      <c r="L65" s="14">
        <v>436.0</v>
      </c>
      <c r="M65" s="14">
        <v>1119.0</v>
      </c>
      <c r="N65" s="14">
        <v>2.0</v>
      </c>
      <c r="O65" s="19"/>
      <c r="P65" s="16">
        <v>40043.97447916667</v>
      </c>
      <c r="Q65" s="10" t="s">
        <v>1263</v>
      </c>
      <c r="R65" s="10" t="s">
        <v>1264</v>
      </c>
      <c r="S65" s="12"/>
      <c r="T65" s="12"/>
      <c r="U65" s="17" t="str">
        <f>HYPERLINK("https://pbs.twimg.com/profile_images/1353538059573354498/jQVYSaVl.jpg","View")</f>
        <v>View</v>
      </c>
      <c r="V65" s="12"/>
      <c r="W65" s="12"/>
      <c r="X65" s="12"/>
      <c r="Y65" s="12"/>
      <c r="Z65" s="12"/>
    </row>
    <row r="66">
      <c r="A66" s="8">
        <v>44220.79982638889</v>
      </c>
      <c r="B66" s="9" t="str">
        <f>HYPERLINK("https://twitter.com/rgriveraj","@rgriveraj")</f>
        <v>@rgriveraj</v>
      </c>
      <c r="C66" s="10" t="s">
        <v>1265</v>
      </c>
      <c r="D66" s="10" t="s">
        <v>1266</v>
      </c>
      <c r="E66" s="9" t="str">
        <f>HYPERLINK("https://twitter.com/rgriveraj/status/1353510840209649665","1353510840209649665")</f>
        <v>1353510840209649665</v>
      </c>
      <c r="F66" s="12"/>
      <c r="G66" s="12"/>
      <c r="H66" s="12"/>
      <c r="I66" s="13">
        <v>0.0</v>
      </c>
      <c r="J66" s="13">
        <v>1.0</v>
      </c>
      <c r="K66" s="9" t="str">
        <f t="shared" si="24"/>
        <v>Twitter for Android</v>
      </c>
      <c r="L66" s="14">
        <v>154.0</v>
      </c>
      <c r="M66" s="14">
        <v>839.0</v>
      </c>
      <c r="N66" s="14">
        <v>0.0</v>
      </c>
      <c r="O66" s="19"/>
      <c r="P66" s="16">
        <v>40309.762453703705</v>
      </c>
      <c r="Q66" s="10" t="s">
        <v>1267</v>
      </c>
      <c r="R66" s="12"/>
      <c r="S66" s="12"/>
      <c r="T66" s="12"/>
      <c r="U66" s="17" t="str">
        <f>HYPERLINK("https://pbs.twimg.com/profile_images/1351030653622620162/RbrZjnux.jpg","View")</f>
        <v>View</v>
      </c>
      <c r="V66" s="12"/>
      <c r="W66" s="12"/>
      <c r="X66" s="12"/>
      <c r="Y66" s="12"/>
      <c r="Z66" s="12"/>
    </row>
    <row r="67">
      <c r="A67" s="8">
        <v>44220.77144675926</v>
      </c>
      <c r="B67" s="9" t="str">
        <f>HYPERLINK("https://twitter.com/Jealpe26","@Jealpe26")</f>
        <v>@Jealpe26</v>
      </c>
      <c r="C67" s="10" t="s">
        <v>1268</v>
      </c>
      <c r="D67" s="10" t="s">
        <v>1269</v>
      </c>
      <c r="E67" s="9" t="str">
        <f>HYPERLINK("https://twitter.com/Jealpe26/status/1353500554253709313","1353500554253709313")</f>
        <v>1353500554253709313</v>
      </c>
      <c r="F67" s="11" t="s">
        <v>1270</v>
      </c>
      <c r="G67" s="12"/>
      <c r="H67" s="12"/>
      <c r="I67" s="13">
        <v>0.0</v>
      </c>
      <c r="J67" s="13">
        <v>1.0</v>
      </c>
      <c r="K67" s="9" t="str">
        <f t="shared" si="24"/>
        <v>Twitter for Android</v>
      </c>
      <c r="L67" s="14">
        <v>85.0</v>
      </c>
      <c r="M67" s="14">
        <v>297.0</v>
      </c>
      <c r="N67" s="14">
        <v>0.0</v>
      </c>
      <c r="O67" s="19"/>
      <c r="P67" s="16">
        <v>41722.917129629626</v>
      </c>
      <c r="Q67" s="12"/>
      <c r="R67" s="12"/>
      <c r="S67" s="12"/>
      <c r="T67" s="12"/>
      <c r="U67" s="15" t="s">
        <v>848</v>
      </c>
      <c r="V67" s="12"/>
      <c r="W67" s="12"/>
      <c r="X67" s="12"/>
      <c r="Y67" s="12"/>
      <c r="Z67" s="12"/>
    </row>
    <row r="68">
      <c r="A68" s="8">
        <v>44220.739641203705</v>
      </c>
      <c r="B68" s="9" t="str">
        <f>HYPERLINK("https://twitter.com/QuereGanx","@QuereGanx")</f>
        <v>@QuereGanx</v>
      </c>
      <c r="C68" s="10" t="s">
        <v>1271</v>
      </c>
      <c r="D68" s="10" t="s">
        <v>1272</v>
      </c>
      <c r="E68" s="9" t="str">
        <f>HYPERLINK("https://twitter.com/QuereGanx/status/1353489029887631360","1353489029887631360")</f>
        <v>1353489029887631360</v>
      </c>
      <c r="F68" s="11" t="s">
        <v>1273</v>
      </c>
      <c r="G68" s="12"/>
      <c r="H68" s="12"/>
      <c r="I68" s="13">
        <v>0.0</v>
      </c>
      <c r="J68" s="13">
        <v>1.0</v>
      </c>
      <c r="K68" s="9" t="str">
        <f>HYPERLINK("http://twitter.com/download/iphone","Twitter for iPhone")</f>
        <v>Twitter for iPhone</v>
      </c>
      <c r="L68" s="14">
        <v>262.0</v>
      </c>
      <c r="M68" s="14">
        <v>578.0</v>
      </c>
      <c r="N68" s="14">
        <v>0.0</v>
      </c>
      <c r="O68" s="19"/>
      <c r="P68" s="16">
        <v>40319.64986111111</v>
      </c>
      <c r="Q68" s="10" t="s">
        <v>1274</v>
      </c>
      <c r="R68" s="10" t="s">
        <v>1275</v>
      </c>
      <c r="S68" s="12"/>
      <c r="T68" s="12"/>
      <c r="U68" s="17" t="str">
        <f>HYPERLINK("https://pbs.twimg.com/profile_images/856472300681646080/cEtJW8cf.jpg","View")</f>
        <v>View</v>
      </c>
      <c r="V68" s="12"/>
      <c r="W68" s="12"/>
      <c r="X68" s="12"/>
      <c r="Y68" s="12"/>
      <c r="Z68" s="12"/>
    </row>
    <row r="69">
      <c r="A69" s="8">
        <v>44220.73724537037</v>
      </c>
      <c r="B69" s="9" t="str">
        <f>HYPERLINK("https://twitter.com/MikaeloDelNorte","@MikaeloDelNorte")</f>
        <v>@MikaeloDelNorte</v>
      </c>
      <c r="C69" s="10" t="s">
        <v>1276</v>
      </c>
      <c r="D69" s="10" t="s">
        <v>1277</v>
      </c>
      <c r="E69" s="9" t="str">
        <f>HYPERLINK("https://twitter.com/MikaeloDelNorte/status/1353488161503109121","1353488161503109121")</f>
        <v>1353488161503109121</v>
      </c>
      <c r="F69" s="12"/>
      <c r="G69" s="11" t="s">
        <v>1278</v>
      </c>
      <c r="H69" s="12"/>
      <c r="I69" s="13">
        <v>14.0</v>
      </c>
      <c r="J69" s="13">
        <v>50.0</v>
      </c>
      <c r="K69" s="9" t="str">
        <f t="shared" ref="K69:K70" si="25">HYPERLINK("http://twitter.com/download/android","Twitter for Android")</f>
        <v>Twitter for Android</v>
      </c>
      <c r="L69" s="14">
        <v>810.0</v>
      </c>
      <c r="M69" s="14">
        <v>1845.0</v>
      </c>
      <c r="N69" s="14">
        <v>0.0</v>
      </c>
      <c r="O69" s="19"/>
      <c r="P69" s="16">
        <v>41886.39141203704</v>
      </c>
      <c r="Q69" s="10" t="s">
        <v>1279</v>
      </c>
      <c r="R69" s="10" t="s">
        <v>1280</v>
      </c>
      <c r="S69" s="11" t="s">
        <v>1281</v>
      </c>
      <c r="T69" s="12"/>
      <c r="U69" s="17" t="str">
        <f>HYPERLINK("https://pbs.twimg.com/profile_images/1352458072409722883/i8SKQlof.jpg","View")</f>
        <v>View</v>
      </c>
      <c r="V69" s="12"/>
      <c r="W69" s="12"/>
      <c r="X69" s="12"/>
      <c r="Y69" s="12"/>
      <c r="Z69" s="12"/>
    </row>
    <row r="70">
      <c r="A70" s="8">
        <v>44220.7143287037</v>
      </c>
      <c r="B70" s="9" t="str">
        <f>HYPERLINK("https://twitter.com/Danieltolsan","@Danieltolsan")</f>
        <v>@Danieltolsan</v>
      </c>
      <c r="C70" s="10" t="s">
        <v>1282</v>
      </c>
      <c r="D70" s="10" t="s">
        <v>1283</v>
      </c>
      <c r="E70" s="9" t="str">
        <f>HYPERLINK("https://twitter.com/Danieltolsan/status/1353479854935703553","1353479854935703553")</f>
        <v>1353479854935703553</v>
      </c>
      <c r="F70" s="10" t="s">
        <v>1284</v>
      </c>
      <c r="G70" s="11" t="s">
        <v>1285</v>
      </c>
      <c r="H70" s="12"/>
      <c r="I70" s="13">
        <v>0.0</v>
      </c>
      <c r="J70" s="13">
        <v>0.0</v>
      </c>
      <c r="K70" s="9" t="str">
        <f t="shared" si="25"/>
        <v>Twitter for Android</v>
      </c>
      <c r="L70" s="14">
        <v>135.0</v>
      </c>
      <c r="M70" s="14">
        <v>141.0</v>
      </c>
      <c r="N70" s="14">
        <v>3.0</v>
      </c>
      <c r="O70" s="19"/>
      <c r="P70" s="16">
        <v>40801.49841435185</v>
      </c>
      <c r="Q70" s="10" t="s">
        <v>1286</v>
      </c>
      <c r="R70" s="10" t="s">
        <v>1287</v>
      </c>
      <c r="S70" s="12"/>
      <c r="T70" s="12"/>
      <c r="U70" s="17" t="str">
        <f>HYPERLINK("https://pbs.twimg.com/profile_images/1333993886147104772/dA7vShTU.jpg","View")</f>
        <v>View</v>
      </c>
      <c r="V70" s="12"/>
      <c r="W70" s="12"/>
      <c r="X70" s="12"/>
      <c r="Y70" s="12"/>
      <c r="Z70" s="12"/>
    </row>
    <row r="71">
      <c r="A71" s="8">
        <v>44220.71207175926</v>
      </c>
      <c r="B71" s="9" t="str">
        <f>HYPERLINK("https://twitter.com/pepepintos","@pepepintos")</f>
        <v>@pepepintos</v>
      </c>
      <c r="C71" s="10" t="s">
        <v>1288</v>
      </c>
      <c r="D71" s="10" t="s">
        <v>1289</v>
      </c>
      <c r="E71" s="9" t="str">
        <f>HYPERLINK("https://twitter.com/pepepintos/status/1353479035062525952","1353479035062525952")</f>
        <v>1353479035062525952</v>
      </c>
      <c r="F71" s="11" t="s">
        <v>1290</v>
      </c>
      <c r="G71" s="11" t="s">
        <v>1291</v>
      </c>
      <c r="H71" s="12"/>
      <c r="I71" s="13">
        <v>0.0</v>
      </c>
      <c r="J71" s="13">
        <v>0.0</v>
      </c>
      <c r="K71" s="9" t="str">
        <f t="shared" ref="K71:K72" si="26">HYPERLINK("http://twitter.com/download/iphone","Twitter for iPhone")</f>
        <v>Twitter for iPhone</v>
      </c>
      <c r="L71" s="14">
        <v>1439.0</v>
      </c>
      <c r="M71" s="14">
        <v>1272.0</v>
      </c>
      <c r="N71" s="14">
        <v>18.0</v>
      </c>
      <c r="O71" s="19"/>
      <c r="P71" s="16">
        <v>40056.96716435185</v>
      </c>
      <c r="Q71" s="12"/>
      <c r="R71" s="10" t="s">
        <v>1292</v>
      </c>
      <c r="S71" s="11" t="s">
        <v>1293</v>
      </c>
      <c r="T71" s="12"/>
      <c r="U71" s="17" t="str">
        <f>HYPERLINK("https://pbs.twimg.com/profile_images/1100636170730393600/6l87F9DX.jpg","View")</f>
        <v>View</v>
      </c>
      <c r="V71" s="12"/>
      <c r="W71" s="12"/>
      <c r="X71" s="12"/>
      <c r="Y71" s="12"/>
      <c r="Z71" s="12"/>
    </row>
    <row r="72">
      <c r="A72" s="8">
        <v>44220.69221064815</v>
      </c>
      <c r="B72" s="9" t="str">
        <f>HYPERLINK("https://twitter.com/ZayritaCronopio","@ZayritaCronopio")</f>
        <v>@ZayritaCronopio</v>
      </c>
      <c r="C72" s="10" t="s">
        <v>1294</v>
      </c>
      <c r="D72" s="10" t="s">
        <v>1295</v>
      </c>
      <c r="E72" s="9" t="str">
        <f>HYPERLINK("https://twitter.com/ZayritaCronopio/status/1353471841256534017","1353471841256534017")</f>
        <v>1353471841256534017</v>
      </c>
      <c r="F72" s="11" t="s">
        <v>1296</v>
      </c>
      <c r="G72" s="11" t="s">
        <v>1297</v>
      </c>
      <c r="H72" s="12"/>
      <c r="I72" s="13">
        <v>0.0</v>
      </c>
      <c r="J72" s="13">
        <v>0.0</v>
      </c>
      <c r="K72" s="9" t="str">
        <f t="shared" si="26"/>
        <v>Twitter for iPhone</v>
      </c>
      <c r="L72" s="14">
        <v>674.0</v>
      </c>
      <c r="M72" s="14">
        <v>1069.0</v>
      </c>
      <c r="N72" s="14">
        <v>17.0</v>
      </c>
      <c r="O72" s="19"/>
      <c r="P72" s="16">
        <v>40613.85293981482</v>
      </c>
      <c r="Q72" s="10" t="s">
        <v>1298</v>
      </c>
      <c r="R72" s="10" t="s">
        <v>1299</v>
      </c>
      <c r="S72" s="12"/>
      <c r="T72" s="12"/>
      <c r="U72" s="17" t="str">
        <f>HYPERLINK("https://pbs.twimg.com/profile_images/1256773854338351104/WLo9WwZO.jpg","View")</f>
        <v>View</v>
      </c>
      <c r="V72" s="12"/>
      <c r="W72" s="12"/>
      <c r="X72" s="12"/>
      <c r="Y72" s="12"/>
      <c r="Z72" s="12"/>
    </row>
    <row r="73">
      <c r="A73" s="8">
        <v>44220.68991898149</v>
      </c>
      <c r="B73" s="9" t="str">
        <f>HYPERLINK("https://twitter.com/DeBuenaFe11","@DeBuenaFe11")</f>
        <v>@DeBuenaFe11</v>
      </c>
      <c r="C73" s="10" t="s">
        <v>1300</v>
      </c>
      <c r="D73" s="10" t="s">
        <v>1301</v>
      </c>
      <c r="E73" s="9" t="str">
        <f>HYPERLINK("https://twitter.com/DeBuenaFe11/status/1353471008561270784","1353471008561270784")</f>
        <v>1353471008561270784</v>
      </c>
      <c r="F73" s="12"/>
      <c r="G73" s="11" t="s">
        <v>1302</v>
      </c>
      <c r="H73" s="12"/>
      <c r="I73" s="13">
        <v>14.0</v>
      </c>
      <c r="J73" s="13">
        <v>40.0</v>
      </c>
      <c r="K73" s="9" t="str">
        <f>HYPERLINK("https://mobile.twitter.com","Twitter Web App")</f>
        <v>Twitter Web App</v>
      </c>
      <c r="L73" s="14">
        <v>17400.0</v>
      </c>
      <c r="M73" s="14">
        <v>1237.0</v>
      </c>
      <c r="N73" s="14">
        <v>36.0</v>
      </c>
      <c r="O73" s="19"/>
      <c r="P73" s="16">
        <v>43732.541226851856</v>
      </c>
      <c r="Q73" s="10" t="s">
        <v>1303</v>
      </c>
      <c r="R73" s="10" t="s">
        <v>1304</v>
      </c>
      <c r="S73" s="11" t="s">
        <v>1305</v>
      </c>
      <c r="T73" s="12"/>
      <c r="U73" s="17" t="str">
        <f>HYPERLINK("https://pbs.twimg.com/profile_images/1180604478644457472/S3slHWCw.jpg","View")</f>
        <v>View</v>
      </c>
      <c r="V73" s="12"/>
      <c r="W73" s="12"/>
      <c r="X73" s="12"/>
      <c r="Y73" s="12"/>
      <c r="Z73" s="12"/>
    </row>
    <row r="74">
      <c r="A74" s="8">
        <v>44220.65237268519</v>
      </c>
      <c r="B74" s="9" t="str">
        <f>HYPERLINK("https://twitter.com/iblijs","@iblijs")</f>
        <v>@iblijs</v>
      </c>
      <c r="C74" s="10" t="s">
        <v>1203</v>
      </c>
      <c r="D74" s="10" t="s">
        <v>1306</v>
      </c>
      <c r="E74" s="9" t="str">
        <f>HYPERLINK("https://twitter.com/iblijs/status/1353457403447095297","1353457403447095297")</f>
        <v>1353457403447095297</v>
      </c>
      <c r="F74" s="11" t="s">
        <v>1307</v>
      </c>
      <c r="G74" s="12"/>
      <c r="H74" s="12"/>
      <c r="I74" s="13">
        <v>0.0</v>
      </c>
      <c r="J74" s="13">
        <v>0.0</v>
      </c>
      <c r="K74" s="9" t="str">
        <f>HYPERLINK("http://twitter.com/download/iphone","Twitter for iPhone")</f>
        <v>Twitter for iPhone</v>
      </c>
      <c r="L74" s="14">
        <v>101.0</v>
      </c>
      <c r="M74" s="14">
        <v>411.0</v>
      </c>
      <c r="N74" s="14">
        <v>1.0</v>
      </c>
      <c r="O74" s="19"/>
      <c r="P74" s="16">
        <v>40965.52300925926</v>
      </c>
      <c r="Q74" s="12"/>
      <c r="R74" s="10" t="s">
        <v>1206</v>
      </c>
      <c r="S74" s="12"/>
      <c r="T74" s="12"/>
      <c r="U74" s="17" t="str">
        <f>HYPERLINK("https://pbs.twimg.com/profile_images/1241125047512809472/Jn-KPZXF.jpg","View")</f>
        <v>View</v>
      </c>
      <c r="V74" s="12"/>
      <c r="W74" s="12"/>
      <c r="X74" s="12"/>
      <c r="Y74" s="12"/>
      <c r="Z74" s="12"/>
    </row>
    <row r="75">
      <c r="A75" s="8">
        <v>44220.64539351852</v>
      </c>
      <c r="B75" s="9" t="str">
        <f>HYPERLINK("https://twitter.com/divino_panda","@divino_panda")</f>
        <v>@divino_panda</v>
      </c>
      <c r="C75" s="10" t="s">
        <v>1308</v>
      </c>
      <c r="D75" s="10" t="s">
        <v>1309</v>
      </c>
      <c r="E75" s="9" t="str">
        <f>HYPERLINK("https://twitter.com/divino_panda/status/1353454874915008512","1353454874915008512")</f>
        <v>1353454874915008512</v>
      </c>
      <c r="F75" s="12"/>
      <c r="G75" s="11" t="s">
        <v>1310</v>
      </c>
      <c r="H75" s="12"/>
      <c r="I75" s="13">
        <v>13.0</v>
      </c>
      <c r="J75" s="13">
        <v>111.0</v>
      </c>
      <c r="K75" s="9" t="str">
        <f>HYPERLINK("http://twitter.com/download/android","Twitter for Android")</f>
        <v>Twitter for Android</v>
      </c>
      <c r="L75" s="14">
        <v>4172.0</v>
      </c>
      <c r="M75" s="14">
        <v>4078.0</v>
      </c>
      <c r="N75" s="14">
        <v>1.0</v>
      </c>
      <c r="O75" s="19"/>
      <c r="P75" s="16">
        <v>44132.40246527777</v>
      </c>
      <c r="Q75" s="12"/>
      <c r="R75" s="10" t="s">
        <v>1311</v>
      </c>
      <c r="S75" s="12"/>
      <c r="T75" s="12"/>
      <c r="U75" s="17" t="str">
        <f>HYPERLINK("https://pbs.twimg.com/profile_images/1350300950783795211/9g0gVxnj.jpg","View")</f>
        <v>View</v>
      </c>
      <c r="V75" s="12"/>
      <c r="W75" s="12"/>
      <c r="X75" s="12"/>
      <c r="Y75" s="12"/>
      <c r="Z75" s="12"/>
    </row>
    <row r="76">
      <c r="A76" s="8">
        <v>44220.63928240741</v>
      </c>
      <c r="B76" s="9" t="str">
        <f>HYPERLINK("https://twitter.com/iblijs","@iblijs")</f>
        <v>@iblijs</v>
      </c>
      <c r="C76" s="10" t="s">
        <v>1203</v>
      </c>
      <c r="D76" s="10" t="s">
        <v>1312</v>
      </c>
      <c r="E76" s="9" t="str">
        <f>HYPERLINK("https://twitter.com/iblijs/status/1353452660171681792","1353452660171681792")</f>
        <v>1353452660171681792</v>
      </c>
      <c r="F76" s="11" t="s">
        <v>1313</v>
      </c>
      <c r="G76" s="11" t="s">
        <v>1314</v>
      </c>
      <c r="H76" s="12"/>
      <c r="I76" s="13">
        <v>0.0</v>
      </c>
      <c r="J76" s="13">
        <v>0.0</v>
      </c>
      <c r="K76" s="9" t="str">
        <f>HYPERLINK("http://twitter.com/download/iphone","Twitter for iPhone")</f>
        <v>Twitter for iPhone</v>
      </c>
      <c r="L76" s="14">
        <v>101.0</v>
      </c>
      <c r="M76" s="14">
        <v>411.0</v>
      </c>
      <c r="N76" s="14">
        <v>1.0</v>
      </c>
      <c r="O76" s="19"/>
      <c r="P76" s="16">
        <v>40965.52300925926</v>
      </c>
      <c r="Q76" s="12"/>
      <c r="R76" s="10" t="s">
        <v>1206</v>
      </c>
      <c r="S76" s="12"/>
      <c r="T76" s="12"/>
      <c r="U76" s="17" t="str">
        <f>HYPERLINK("https://pbs.twimg.com/profile_images/1241125047512809472/Jn-KPZXF.jpg","View")</f>
        <v>View</v>
      </c>
      <c r="V76" s="12"/>
      <c r="W76" s="12"/>
      <c r="X76" s="12"/>
      <c r="Y76" s="12"/>
      <c r="Z76" s="12"/>
    </row>
    <row r="77">
      <c r="A77" s="8">
        <v>44220.6334375</v>
      </c>
      <c r="B77" s="9" t="str">
        <f>HYPERLINK("https://twitter.com/robertbourdain1","@robertbourdain1")</f>
        <v>@robertbourdain1</v>
      </c>
      <c r="C77" s="10" t="s">
        <v>1315</v>
      </c>
      <c r="D77" s="10" t="s">
        <v>1316</v>
      </c>
      <c r="E77" s="9" t="str">
        <f>HYPERLINK("https://twitter.com/robertbourdain1/status/1353450541318164480","1353450541318164480")</f>
        <v>1353450541318164480</v>
      </c>
      <c r="F77" s="12"/>
      <c r="G77" s="11" t="s">
        <v>1317</v>
      </c>
      <c r="H77" s="12"/>
      <c r="I77" s="13">
        <v>0.0</v>
      </c>
      <c r="J77" s="13">
        <v>7.0</v>
      </c>
      <c r="K77" s="9" t="str">
        <f>HYPERLINK("http://twitter.com/download/android","Twitter for Android")</f>
        <v>Twitter for Android</v>
      </c>
      <c r="L77" s="14">
        <v>3735.0</v>
      </c>
      <c r="M77" s="14">
        <v>4368.0</v>
      </c>
      <c r="N77" s="14">
        <v>17.0</v>
      </c>
      <c r="O77" s="19"/>
      <c r="P77" s="16">
        <v>41604.798310185186</v>
      </c>
      <c r="Q77" s="10" t="s">
        <v>1318</v>
      </c>
      <c r="R77" s="10" t="s">
        <v>1319</v>
      </c>
      <c r="S77" s="12"/>
      <c r="T77" s="12"/>
      <c r="U77" s="17" t="str">
        <f>HYPERLINK("https://pbs.twimg.com/profile_images/1331055622817767429/NoZNOZ_S.jpg","View")</f>
        <v>View</v>
      </c>
      <c r="V77" s="12"/>
      <c r="W77" s="12"/>
      <c r="X77" s="12"/>
      <c r="Y77" s="12"/>
      <c r="Z77" s="12"/>
    </row>
    <row r="78">
      <c r="A78" s="8">
        <v>44220.543865740736</v>
      </c>
      <c r="B78" s="9" t="str">
        <f>HYPERLINK("https://twitter.com/belmont_ii","@belmont_ii")</f>
        <v>@belmont_ii</v>
      </c>
      <c r="C78" s="10" t="s">
        <v>1320</v>
      </c>
      <c r="D78" s="10" t="s">
        <v>1321</v>
      </c>
      <c r="E78" s="9" t="str">
        <f>HYPERLINK("https://twitter.com/belmont_ii/status/1353418081154945024","1353418081154945024")</f>
        <v>1353418081154945024</v>
      </c>
      <c r="F78" s="12"/>
      <c r="G78" s="11" t="s">
        <v>1322</v>
      </c>
      <c r="H78" s="12"/>
      <c r="I78" s="13">
        <v>0.0</v>
      </c>
      <c r="J78" s="13">
        <v>0.0</v>
      </c>
      <c r="K78" s="9" t="str">
        <f>HYPERLINK("http://twitter.com/download/iphone","Twitter for iPhone")</f>
        <v>Twitter for iPhone</v>
      </c>
      <c r="L78" s="14">
        <v>171.0</v>
      </c>
      <c r="M78" s="14">
        <v>1143.0</v>
      </c>
      <c r="N78" s="14">
        <v>0.0</v>
      </c>
      <c r="O78" s="19"/>
      <c r="P78" s="16">
        <v>43981.42340277778</v>
      </c>
      <c r="Q78" s="10" t="s">
        <v>1323</v>
      </c>
      <c r="R78" s="10" t="s">
        <v>1324</v>
      </c>
      <c r="S78" s="12"/>
      <c r="T78" s="12"/>
      <c r="U78" s="17" t="str">
        <f>HYPERLINK("https://pbs.twimg.com/profile_images/1346165872264622080/e_wBrf2o.jpg","View")</f>
        <v>View</v>
      </c>
      <c r="V78" s="12"/>
      <c r="W78" s="12"/>
      <c r="X78" s="12"/>
      <c r="Y78" s="12"/>
      <c r="Z78" s="12"/>
    </row>
    <row r="79">
      <c r="A79" s="8">
        <v>44220.54131944444</v>
      </c>
      <c r="B79" s="9" t="str">
        <f>HYPERLINK("https://twitter.com/OswaldoC10","@OswaldoC10")</f>
        <v>@OswaldoC10</v>
      </c>
      <c r="C79" s="10" t="s">
        <v>1325</v>
      </c>
      <c r="D79" s="10" t="s">
        <v>1326</v>
      </c>
      <c r="E79" s="9" t="str">
        <f>HYPERLINK("https://twitter.com/OswaldoC10/status/1353417159926444033","1353417159926444033")</f>
        <v>1353417159926444033</v>
      </c>
      <c r="F79" s="11" t="s">
        <v>1327</v>
      </c>
      <c r="G79" s="12"/>
      <c r="H79" s="12"/>
      <c r="I79" s="13">
        <v>0.0</v>
      </c>
      <c r="J79" s="13">
        <v>1.0</v>
      </c>
      <c r="K79" s="9" t="str">
        <f>HYPERLINK("http://twitter.com/download/android","Twitter for Android")</f>
        <v>Twitter for Android</v>
      </c>
      <c r="L79" s="14">
        <v>786.0</v>
      </c>
      <c r="M79" s="14">
        <v>1401.0</v>
      </c>
      <c r="N79" s="14">
        <v>1.0</v>
      </c>
      <c r="O79" s="19"/>
      <c r="P79" s="16">
        <v>40764.31140046296</v>
      </c>
      <c r="Q79" s="10" t="s">
        <v>1328</v>
      </c>
      <c r="R79" s="10" t="s">
        <v>1329</v>
      </c>
      <c r="S79" s="12"/>
      <c r="T79" s="12"/>
      <c r="U79" s="17" t="str">
        <f>HYPERLINK("https://pbs.twimg.com/profile_images/1350987992060600322/vO0cD-e-.jpg","View")</f>
        <v>View</v>
      </c>
      <c r="V79" s="12"/>
      <c r="W79" s="12"/>
      <c r="X79" s="12"/>
      <c r="Y79" s="12"/>
      <c r="Z79" s="12"/>
    </row>
    <row r="80">
      <c r="A80" s="8">
        <v>44220.53829861111</v>
      </c>
      <c r="B80" s="9" t="str">
        <f>HYPERLINK("https://twitter.com/medinom","@medinom")</f>
        <v>@medinom</v>
      </c>
      <c r="C80" s="10" t="s">
        <v>1330</v>
      </c>
      <c r="D80" s="10" t="s">
        <v>1331</v>
      </c>
      <c r="E80" s="9" t="str">
        <f>HYPERLINK("https://twitter.com/medinom/status/1353416063334064129","1353416063334064129")</f>
        <v>1353416063334064129</v>
      </c>
      <c r="F80" s="11" t="s">
        <v>1332</v>
      </c>
      <c r="G80" s="12"/>
      <c r="H80" s="12"/>
      <c r="I80" s="13">
        <v>0.0</v>
      </c>
      <c r="J80" s="13">
        <v>0.0</v>
      </c>
      <c r="K80" s="9" t="str">
        <f>HYPERLINK("http://twitter.com/download/iphone","Twitter for iPhone")</f>
        <v>Twitter for iPhone</v>
      </c>
      <c r="L80" s="14">
        <v>830.0</v>
      </c>
      <c r="M80" s="14">
        <v>264.0</v>
      </c>
      <c r="N80" s="14">
        <v>7.0</v>
      </c>
      <c r="O80" s="19"/>
      <c r="P80" s="16">
        <v>40197.14542824074</v>
      </c>
      <c r="Q80" s="10" t="s">
        <v>1333</v>
      </c>
      <c r="R80" s="10" t="s">
        <v>1334</v>
      </c>
      <c r="S80" s="12"/>
      <c r="T80" s="12"/>
      <c r="U80" s="17" t="str">
        <f>HYPERLINK("https://pbs.twimg.com/profile_images/1425742771/valp.jpg","View")</f>
        <v>View</v>
      </c>
      <c r="V80" s="12"/>
      <c r="W80" s="12"/>
      <c r="X80" s="12"/>
      <c r="Y80" s="12"/>
      <c r="Z80" s="12"/>
    </row>
    <row r="81">
      <c r="A81" s="8">
        <v>44220.528969907406</v>
      </c>
      <c r="B81" s="9" t="str">
        <f>HYPERLINK("https://twitter.com/RuizEmiliano3","@RuizEmiliano3")</f>
        <v>@RuizEmiliano3</v>
      </c>
      <c r="C81" s="10" t="s">
        <v>1222</v>
      </c>
      <c r="D81" s="10" t="s">
        <v>1335</v>
      </c>
      <c r="E81" s="9" t="str">
        <f>HYPERLINK("https://twitter.com/RuizEmiliano3/status/1353412684675510275","1353412684675510275")</f>
        <v>1353412684675510275</v>
      </c>
      <c r="F81" s="11" t="s">
        <v>1336</v>
      </c>
      <c r="G81" s="12"/>
      <c r="H81" s="12"/>
      <c r="I81" s="13">
        <v>0.0</v>
      </c>
      <c r="J81" s="13">
        <v>0.0</v>
      </c>
      <c r="K81" s="9" t="str">
        <f>HYPERLINK("https://mobile.twitter.com","Twitter Web App")</f>
        <v>Twitter Web App</v>
      </c>
      <c r="L81" s="14">
        <v>1285.0</v>
      </c>
      <c r="M81" s="14">
        <v>1288.0</v>
      </c>
      <c r="N81" s="14">
        <v>1.0</v>
      </c>
      <c r="O81" s="19"/>
      <c r="P81" s="16">
        <v>43700.62075231482</v>
      </c>
      <c r="Q81" s="10" t="s">
        <v>1225</v>
      </c>
      <c r="R81" s="10" t="s">
        <v>1226</v>
      </c>
      <c r="S81" s="12"/>
      <c r="T81" s="12"/>
      <c r="U81" s="17" t="str">
        <f>HYPERLINK("https://pbs.twimg.com/profile_images/1324917922834374657/0zkMJ7Mg.jpg","View")</f>
        <v>View</v>
      </c>
      <c r="V81" s="12"/>
      <c r="W81" s="12"/>
      <c r="X81" s="12"/>
      <c r="Y81" s="12"/>
      <c r="Z81" s="12"/>
    </row>
    <row r="82">
      <c r="A82" s="8">
        <v>44220.51347222222</v>
      </c>
      <c r="B82" s="9" t="str">
        <f>HYPERLINK("https://twitter.com/Abadon00","@Abadon00")</f>
        <v>@Abadon00</v>
      </c>
      <c r="C82" s="10" t="s">
        <v>1337</v>
      </c>
      <c r="D82" s="10" t="s">
        <v>1338</v>
      </c>
      <c r="E82" s="9" t="str">
        <f>HYPERLINK("https://twitter.com/Abadon00/status/1353407067093086208","1353407067093086208")</f>
        <v>1353407067093086208</v>
      </c>
      <c r="F82" s="11" t="s">
        <v>1336</v>
      </c>
      <c r="G82" s="12"/>
      <c r="H82" s="12"/>
      <c r="I82" s="13">
        <v>0.0</v>
      </c>
      <c r="J82" s="13">
        <v>1.0</v>
      </c>
      <c r="K82" s="9" t="str">
        <f t="shared" ref="K82:K85" si="27">HYPERLINK("http://twitter.com/download/android","Twitter for Android")</f>
        <v>Twitter for Android</v>
      </c>
      <c r="L82" s="14">
        <v>2427.0</v>
      </c>
      <c r="M82" s="14">
        <v>686.0</v>
      </c>
      <c r="N82" s="14">
        <v>14.0</v>
      </c>
      <c r="O82" s="19"/>
      <c r="P82" s="16">
        <v>40236.373125</v>
      </c>
      <c r="Q82" s="10" t="s">
        <v>1339</v>
      </c>
      <c r="R82" s="10" t="s">
        <v>1340</v>
      </c>
      <c r="S82" s="12"/>
      <c r="T82" s="12"/>
      <c r="U82" s="17" t="str">
        <f>HYPERLINK("https://pbs.twimg.com/profile_images/1347425450323292160/qqRuKrTJ.jpg","View")</f>
        <v>View</v>
      </c>
      <c r="V82" s="12"/>
      <c r="W82" s="12"/>
      <c r="X82" s="12"/>
      <c r="Y82" s="12"/>
      <c r="Z82" s="12"/>
    </row>
    <row r="83">
      <c r="A83" s="8">
        <v>44220.48646990741</v>
      </c>
      <c r="B83" s="9" t="str">
        <f>HYPERLINK("https://twitter.com/diamantewero","@diamantewero")</f>
        <v>@diamantewero</v>
      </c>
      <c r="C83" s="10" t="s">
        <v>1341</v>
      </c>
      <c r="D83" s="10" t="s">
        <v>1342</v>
      </c>
      <c r="E83" s="9" t="str">
        <f>HYPERLINK("https://twitter.com/diamantewero/status/1353397281009987584","1353397281009987584")</f>
        <v>1353397281009987584</v>
      </c>
      <c r="F83" s="12"/>
      <c r="G83" s="11" t="s">
        <v>1343</v>
      </c>
      <c r="H83" s="12"/>
      <c r="I83" s="13">
        <v>0.0</v>
      </c>
      <c r="J83" s="13">
        <v>0.0</v>
      </c>
      <c r="K83" s="9" t="str">
        <f t="shared" si="27"/>
        <v>Twitter for Android</v>
      </c>
      <c r="L83" s="14">
        <v>3369.0</v>
      </c>
      <c r="M83" s="14">
        <v>3995.0</v>
      </c>
      <c r="N83" s="14">
        <v>8.0</v>
      </c>
      <c r="O83" s="19"/>
      <c r="P83" s="16">
        <v>40353.45039351852</v>
      </c>
      <c r="Q83" s="10" t="s">
        <v>1344</v>
      </c>
      <c r="R83" s="10" t="s">
        <v>1345</v>
      </c>
      <c r="S83" s="12"/>
      <c r="T83" s="12"/>
      <c r="U83" s="17" t="str">
        <f>HYPERLINK("https://pbs.twimg.com/profile_images/1333464316595486723/u2s1S66g.jpg","View")</f>
        <v>View</v>
      </c>
      <c r="V83" s="12"/>
      <c r="W83" s="12"/>
      <c r="X83" s="12"/>
      <c r="Y83" s="12"/>
      <c r="Z83" s="12"/>
    </row>
    <row r="84">
      <c r="A84" s="8">
        <v>44220.47366898148</v>
      </c>
      <c r="B84" s="9" t="str">
        <f>HYPERLINK("https://twitter.com/SPapasquiaro","@SPapasquiaro")</f>
        <v>@SPapasquiaro</v>
      </c>
      <c r="C84" s="10" t="s">
        <v>1346</v>
      </c>
      <c r="D84" s="10" t="s">
        <v>1347</v>
      </c>
      <c r="E84" s="9" t="str">
        <f>HYPERLINK("https://twitter.com/SPapasquiaro/status/1353392642990759936","1353392642990759936")</f>
        <v>1353392642990759936</v>
      </c>
      <c r="F84" s="11" t="s">
        <v>1348</v>
      </c>
      <c r="G84" s="11" t="s">
        <v>1349</v>
      </c>
      <c r="H84" s="12"/>
      <c r="I84" s="13">
        <v>0.0</v>
      </c>
      <c r="J84" s="13">
        <v>0.0</v>
      </c>
      <c r="K84" s="9" t="str">
        <f t="shared" si="27"/>
        <v>Twitter for Android</v>
      </c>
      <c r="L84" s="14">
        <v>131.0</v>
      </c>
      <c r="M84" s="14">
        <v>1007.0</v>
      </c>
      <c r="N84" s="14">
        <v>2.0</v>
      </c>
      <c r="O84" s="19"/>
      <c r="P84" s="16">
        <v>41074.59373842592</v>
      </c>
      <c r="Q84" s="12"/>
      <c r="R84" s="12"/>
      <c r="S84" s="12"/>
      <c r="T84" s="12"/>
      <c r="U84" s="17" t="str">
        <f>HYPERLINK("https://pbs.twimg.com/profile_images/1319110496340086784/TIGLh9-M.jpg","View")</f>
        <v>View</v>
      </c>
      <c r="V84" s="12"/>
      <c r="W84" s="12"/>
      <c r="X84" s="12"/>
      <c r="Y84" s="12"/>
      <c r="Z84" s="12"/>
    </row>
    <row r="85">
      <c r="A85" s="8">
        <v>44220.44082175926</v>
      </c>
      <c r="B85" s="9" t="str">
        <f>HYPERLINK("https://twitter.com/JoseLop61267768","@JoseLop61267768")</f>
        <v>@JoseLop61267768</v>
      </c>
      <c r="C85" s="10" t="s">
        <v>1350</v>
      </c>
      <c r="D85" s="10" t="s">
        <v>1351</v>
      </c>
      <c r="E85" s="9" t="str">
        <f>HYPERLINK("https://twitter.com/JoseLop61267768/status/1353380739660701696","1353380739660701696")</f>
        <v>1353380739660701696</v>
      </c>
      <c r="F85" s="12"/>
      <c r="G85" s="11" t="s">
        <v>1352</v>
      </c>
      <c r="H85" s="12"/>
      <c r="I85" s="13">
        <v>0.0</v>
      </c>
      <c r="J85" s="13">
        <v>0.0</v>
      </c>
      <c r="K85" s="9" t="str">
        <f t="shared" si="27"/>
        <v>Twitter for Android</v>
      </c>
      <c r="L85" s="14">
        <v>1071.0</v>
      </c>
      <c r="M85" s="14">
        <v>1362.0</v>
      </c>
      <c r="N85" s="14">
        <v>3.0</v>
      </c>
      <c r="O85" s="19"/>
      <c r="P85" s="16">
        <v>43633.639560185184</v>
      </c>
      <c r="Q85" s="12"/>
      <c r="R85" s="10" t="s">
        <v>1353</v>
      </c>
      <c r="S85" s="12"/>
      <c r="T85" s="12"/>
      <c r="U85" s="17" t="str">
        <f>HYPERLINK("https://pbs.twimg.com/profile_images/1352403760631394306/rxH_Bxte.jpg","View")</f>
        <v>View</v>
      </c>
      <c r="V85" s="12"/>
      <c r="W85" s="12"/>
      <c r="X85" s="12"/>
      <c r="Y85" s="12"/>
      <c r="Z85" s="12"/>
    </row>
    <row r="86">
      <c r="A86" s="8">
        <v>44220.437581018516</v>
      </c>
      <c r="B86" s="9" t="str">
        <f>HYPERLINK("https://twitter.com/alrochaarr","@alrochaarr")</f>
        <v>@alrochaarr</v>
      </c>
      <c r="C86" s="10" t="s">
        <v>1354</v>
      </c>
      <c r="D86" s="10" t="s">
        <v>1355</v>
      </c>
      <c r="E86" s="9" t="str">
        <f>HYPERLINK("https://twitter.com/alrochaarr/status/1353379565595369473","1353379565595369473")</f>
        <v>1353379565595369473</v>
      </c>
      <c r="F86" s="11" t="s">
        <v>1356</v>
      </c>
      <c r="G86" s="12"/>
      <c r="H86" s="12"/>
      <c r="I86" s="13">
        <v>0.0</v>
      </c>
      <c r="J86" s="13">
        <v>0.0</v>
      </c>
      <c r="K86" s="9" t="str">
        <f t="shared" ref="K86:K87" si="28">HYPERLINK("http://twitter.com/download/iphone","Twitter for iPhone")</f>
        <v>Twitter for iPhone</v>
      </c>
      <c r="L86" s="14">
        <v>423.0</v>
      </c>
      <c r="M86" s="14">
        <v>1147.0</v>
      </c>
      <c r="N86" s="14">
        <v>8.0</v>
      </c>
      <c r="O86" s="19"/>
      <c r="P86" s="16">
        <v>40839.48715277778</v>
      </c>
      <c r="Q86" s="12"/>
      <c r="R86" s="12"/>
      <c r="S86" s="12"/>
      <c r="T86" s="12"/>
      <c r="U86" s="17" t="str">
        <f>HYPERLINK("https://pbs.twimg.com/profile_images/1323693225161355265/Zb6CdTH-.jpg","View")</f>
        <v>View</v>
      </c>
      <c r="V86" s="12"/>
      <c r="W86" s="12"/>
      <c r="X86" s="12"/>
      <c r="Y86" s="12"/>
      <c r="Z86" s="12"/>
    </row>
    <row r="87">
      <c r="A87" s="8">
        <v>44220.43649305556</v>
      </c>
      <c r="B87" s="9" t="str">
        <f>HYPERLINK("https://twitter.com/jorovelo","@jorovelo")</f>
        <v>@jorovelo</v>
      </c>
      <c r="C87" s="10" t="s">
        <v>1357</v>
      </c>
      <c r="D87" s="10" t="s">
        <v>1358</v>
      </c>
      <c r="E87" s="9" t="str">
        <f>HYPERLINK("https://twitter.com/jorovelo/status/1353379171901333505","1353379171901333505")</f>
        <v>1353379171901333505</v>
      </c>
      <c r="F87" s="12"/>
      <c r="G87" s="12"/>
      <c r="H87" s="12"/>
      <c r="I87" s="13">
        <v>0.0</v>
      </c>
      <c r="J87" s="13">
        <v>1.0</v>
      </c>
      <c r="K87" s="9" t="str">
        <f t="shared" si="28"/>
        <v>Twitter for iPhone</v>
      </c>
      <c r="L87" s="14">
        <v>380.0</v>
      </c>
      <c r="M87" s="14">
        <v>588.0</v>
      </c>
      <c r="N87" s="14">
        <v>6.0</v>
      </c>
      <c r="O87" s="19"/>
      <c r="P87" s="16">
        <v>40193.695868055554</v>
      </c>
      <c r="Q87" s="12"/>
      <c r="R87" s="10" t="s">
        <v>1359</v>
      </c>
      <c r="S87" s="12"/>
      <c r="T87" s="12"/>
      <c r="U87" s="17" t="str">
        <f>HYPERLINK("https://pbs.twimg.com/profile_images/1329117889379622912/pGD3Q-tX.jpg","View")</f>
        <v>View</v>
      </c>
      <c r="V87" s="12"/>
      <c r="W87" s="12"/>
      <c r="X87" s="12"/>
      <c r="Y87" s="12"/>
      <c r="Z87" s="12"/>
    </row>
    <row r="88">
      <c r="A88" s="8">
        <v>44220.42271990741</v>
      </c>
      <c r="B88" s="9" t="str">
        <f>HYPERLINK("https://twitter.com/chsmlopez","@chsmlopez")</f>
        <v>@chsmlopez</v>
      </c>
      <c r="C88" s="10" t="s">
        <v>1360</v>
      </c>
      <c r="D88" s="10" t="s">
        <v>1361</v>
      </c>
      <c r="E88" s="9" t="str">
        <f>HYPERLINK("https://twitter.com/chsmlopez/status/1353374179568066560","1353374179568066560")</f>
        <v>1353374179568066560</v>
      </c>
      <c r="F88" s="11" t="s">
        <v>1362</v>
      </c>
      <c r="G88" s="11" t="s">
        <v>1363</v>
      </c>
      <c r="H88" s="12"/>
      <c r="I88" s="13">
        <v>0.0</v>
      </c>
      <c r="J88" s="13">
        <v>0.0</v>
      </c>
      <c r="K88" s="9" t="str">
        <f>HYPERLINK("http://twitter.com/download/android","Twitter for Android")</f>
        <v>Twitter for Android</v>
      </c>
      <c r="L88" s="14">
        <v>120.0</v>
      </c>
      <c r="M88" s="14">
        <v>410.0</v>
      </c>
      <c r="N88" s="14">
        <v>0.0</v>
      </c>
      <c r="O88" s="19"/>
      <c r="P88" s="16">
        <v>44196.32678240741</v>
      </c>
      <c r="Q88" s="12"/>
      <c r="R88" s="10" t="s">
        <v>1364</v>
      </c>
      <c r="S88" s="12"/>
      <c r="T88" s="12"/>
      <c r="U88" s="17" t="str">
        <f>HYPERLINK("https://pbs.twimg.com/profile_images/1344818013455998977/1KVnX5Y7.jpg","View")</f>
        <v>View</v>
      </c>
      <c r="V88" s="12"/>
      <c r="W88" s="12"/>
      <c r="X88" s="12"/>
      <c r="Y88" s="12"/>
      <c r="Z88" s="12"/>
    </row>
    <row r="89">
      <c r="A89" s="8">
        <v>44220.39886574074</v>
      </c>
      <c r="B89" s="9" t="str">
        <f>HYPERLINK("https://twitter.com/arevalomeyer","@arevalomeyer")</f>
        <v>@arevalomeyer</v>
      </c>
      <c r="C89" s="10" t="s">
        <v>1365</v>
      </c>
      <c r="D89" s="10" t="s">
        <v>1366</v>
      </c>
      <c r="E89" s="9" t="str">
        <f>HYPERLINK("https://twitter.com/arevalomeyer/status/1353365534029402112","1353365534029402112")</f>
        <v>1353365534029402112</v>
      </c>
      <c r="F89" s="11" t="s">
        <v>1367</v>
      </c>
      <c r="G89" s="11" t="s">
        <v>1368</v>
      </c>
      <c r="H89" s="12"/>
      <c r="I89" s="13">
        <v>2.0</v>
      </c>
      <c r="J89" s="13">
        <v>1.0</v>
      </c>
      <c r="K89" s="9" t="str">
        <f>HYPERLINK("http://twitter.com/download/iphone","Twitter for iPhone")</f>
        <v>Twitter for iPhone</v>
      </c>
      <c r="L89" s="14">
        <v>1420.0</v>
      </c>
      <c r="M89" s="14">
        <v>2523.0</v>
      </c>
      <c r="N89" s="14">
        <v>48.0</v>
      </c>
      <c r="O89" s="19"/>
      <c r="P89" s="16">
        <v>40331.76938657407</v>
      </c>
      <c r="Q89" s="10" t="s">
        <v>1369</v>
      </c>
      <c r="R89" s="10" t="s">
        <v>1370</v>
      </c>
      <c r="S89" s="11" t="s">
        <v>1371</v>
      </c>
      <c r="T89" s="12"/>
      <c r="U89" s="17" t="str">
        <f>HYPERLINK("https://pbs.twimg.com/profile_images/1083560718778028032/1ivH3Zc_.jpg","View")</f>
        <v>View</v>
      </c>
      <c r="V89" s="12"/>
      <c r="W89" s="12"/>
      <c r="X89" s="12"/>
      <c r="Y89" s="12"/>
      <c r="Z89" s="12"/>
    </row>
    <row r="90">
      <c r="A90" s="8">
        <v>44220.394328703704</v>
      </c>
      <c r="B90" s="9" t="str">
        <f>HYPERLINK("https://twitter.com/proscenio9anaki","@proscenio9anaki")</f>
        <v>@proscenio9anaki</v>
      </c>
      <c r="C90" s="10" t="s">
        <v>1372</v>
      </c>
      <c r="D90" s="10" t="s">
        <v>1373</v>
      </c>
      <c r="E90" s="9" t="str">
        <f>HYPERLINK("https://twitter.com/proscenio9anaki/status/1353363891905060864","1353363891905060864")</f>
        <v>1353363891905060864</v>
      </c>
      <c r="F90" s="12"/>
      <c r="G90" s="11" t="s">
        <v>1374</v>
      </c>
      <c r="H90" s="12"/>
      <c r="I90" s="13">
        <v>0.0</v>
      </c>
      <c r="J90" s="13">
        <v>0.0</v>
      </c>
      <c r="K90" s="9" t="str">
        <f t="shared" ref="K90:K91" si="29">HYPERLINK("http://twitter.com/download/android","Twitter for Android")</f>
        <v>Twitter for Android</v>
      </c>
      <c r="L90" s="14">
        <v>43.0</v>
      </c>
      <c r="M90" s="14">
        <v>89.0</v>
      </c>
      <c r="N90" s="14">
        <v>0.0</v>
      </c>
      <c r="O90" s="19"/>
      <c r="P90" s="16">
        <v>41768.58385416667</v>
      </c>
      <c r="Q90" s="12"/>
      <c r="R90" s="12"/>
      <c r="S90" s="12"/>
      <c r="T90" s="12"/>
      <c r="U90" s="17" t="str">
        <f>HYPERLINK("https://pbs.twimg.com/profile_images/1270131676321124354/hJ3TOLiQ.jpg","View")</f>
        <v>View</v>
      </c>
      <c r="V90" s="12"/>
      <c r="W90" s="12"/>
      <c r="X90" s="12"/>
      <c r="Y90" s="12"/>
      <c r="Z90" s="12"/>
    </row>
    <row r="91">
      <c r="A91" s="8">
        <v>44220.382997685185</v>
      </c>
      <c r="B91" s="9" t="str">
        <f>HYPERLINK("https://twitter.com/smokingwolf16","@smokingwolf16")</f>
        <v>@smokingwolf16</v>
      </c>
      <c r="C91" s="10" t="s">
        <v>1375</v>
      </c>
      <c r="D91" s="10" t="s">
        <v>1376</v>
      </c>
      <c r="E91" s="9" t="str">
        <f>HYPERLINK("https://twitter.com/smokingwolf16/status/1353359786457387011","1353359786457387011")</f>
        <v>1353359786457387011</v>
      </c>
      <c r="F91" s="12"/>
      <c r="G91" s="11" t="s">
        <v>1377</v>
      </c>
      <c r="H91" s="12"/>
      <c r="I91" s="13">
        <v>0.0</v>
      </c>
      <c r="J91" s="13">
        <v>0.0</v>
      </c>
      <c r="K91" s="9" t="str">
        <f t="shared" si="29"/>
        <v>Twitter for Android</v>
      </c>
      <c r="L91" s="14">
        <v>484.0</v>
      </c>
      <c r="M91" s="14">
        <v>1001.0</v>
      </c>
      <c r="N91" s="14">
        <v>1.0</v>
      </c>
      <c r="O91" s="19"/>
      <c r="P91" s="16">
        <v>40672.51797453704</v>
      </c>
      <c r="Q91" s="10" t="s">
        <v>478</v>
      </c>
      <c r="R91" s="10" t="s">
        <v>1378</v>
      </c>
      <c r="S91" s="11" t="s">
        <v>1379</v>
      </c>
      <c r="T91" s="12"/>
      <c r="U91" s="17" t="str">
        <f>HYPERLINK("https://pbs.twimg.com/profile_images/1343242271563636736/lru-UTvz.jpg","View")</f>
        <v>View</v>
      </c>
      <c r="V91" s="12"/>
      <c r="W91" s="12"/>
      <c r="X91" s="12"/>
      <c r="Y91" s="12"/>
      <c r="Z91" s="12"/>
    </row>
    <row r="92">
      <c r="A92" s="8">
        <v>44220.372349537036</v>
      </c>
      <c r="B92" s="9" t="str">
        <f>HYPERLINK("https://twitter.com/ALFREDOMARTNEZ8","@ALFREDOMARTNEZ8")</f>
        <v>@ALFREDOMARTNEZ8</v>
      </c>
      <c r="C92" s="10" t="s">
        <v>1380</v>
      </c>
      <c r="D92" s="10" t="s">
        <v>1381</v>
      </c>
      <c r="E92" s="9" t="str">
        <f>HYPERLINK("https://twitter.com/ALFREDOMARTNEZ8/status/1353355927143911424","1353355927143911424")</f>
        <v>1353355927143911424</v>
      </c>
      <c r="F92" s="11" t="s">
        <v>1382</v>
      </c>
      <c r="G92" s="12"/>
      <c r="H92" s="12"/>
      <c r="I92" s="13">
        <v>0.0</v>
      </c>
      <c r="J92" s="13">
        <v>0.0</v>
      </c>
      <c r="K92" s="9" t="str">
        <f t="shared" ref="K92:K94" si="30">HYPERLINK("http://twitter.com/download/iphone","Twitter for iPhone")</f>
        <v>Twitter for iPhone</v>
      </c>
      <c r="L92" s="14">
        <v>284.0</v>
      </c>
      <c r="M92" s="14">
        <v>670.0</v>
      </c>
      <c r="N92" s="14">
        <v>0.0</v>
      </c>
      <c r="O92" s="19"/>
      <c r="P92" s="16">
        <v>41015.707777777774</v>
      </c>
      <c r="Q92" s="10" t="s">
        <v>1383</v>
      </c>
      <c r="R92" s="10" t="s">
        <v>1384</v>
      </c>
      <c r="S92" s="12"/>
      <c r="T92" s="12"/>
      <c r="U92" s="17" t="str">
        <f>HYPERLINK("https://pbs.twimg.com/profile_images/1296217545964363777/j-RKNln4.jpg","View")</f>
        <v>View</v>
      </c>
      <c r="V92" s="12"/>
      <c r="W92" s="12"/>
      <c r="X92" s="12"/>
      <c r="Y92" s="12"/>
      <c r="Z92" s="12"/>
    </row>
    <row r="93">
      <c r="A93" s="8">
        <v>44220.35715277778</v>
      </c>
      <c r="B93" s="9" t="str">
        <f>HYPERLINK("https://twitter.com/Mariano_cdmx","@Mariano_cdmx")</f>
        <v>@Mariano_cdmx</v>
      </c>
      <c r="C93" s="10" t="s">
        <v>1385</v>
      </c>
      <c r="D93" s="10" t="s">
        <v>1386</v>
      </c>
      <c r="E93" s="9" t="str">
        <f>HYPERLINK("https://twitter.com/Mariano_cdmx/status/1353350420417007616","1353350420417007616")</f>
        <v>1353350420417007616</v>
      </c>
      <c r="F93" s="10" t="s">
        <v>1387</v>
      </c>
      <c r="G93" s="12"/>
      <c r="H93" s="12"/>
      <c r="I93" s="13">
        <v>0.0</v>
      </c>
      <c r="J93" s="13">
        <v>0.0</v>
      </c>
      <c r="K93" s="9" t="str">
        <f t="shared" si="30"/>
        <v>Twitter for iPhone</v>
      </c>
      <c r="L93" s="14">
        <v>802.0</v>
      </c>
      <c r="M93" s="14">
        <v>767.0</v>
      </c>
      <c r="N93" s="14">
        <v>6.0</v>
      </c>
      <c r="O93" s="19"/>
      <c r="P93" s="16">
        <v>43966.90561342593</v>
      </c>
      <c r="Q93" s="10" t="s">
        <v>1388</v>
      </c>
      <c r="R93" s="10" t="s">
        <v>1389</v>
      </c>
      <c r="S93" s="12"/>
      <c r="T93" s="12"/>
      <c r="U93" s="17" t="str">
        <f>HYPERLINK("https://pbs.twimg.com/profile_images/1264784834678775811/epjMMOwF.jpg","View")</f>
        <v>View</v>
      </c>
      <c r="V93" s="12"/>
      <c r="W93" s="12"/>
      <c r="X93" s="12"/>
      <c r="Y93" s="12"/>
      <c r="Z93" s="12"/>
    </row>
    <row r="94">
      <c r="A94" s="8">
        <v>44220.31391203703</v>
      </c>
      <c r="B94" s="9" t="str">
        <f>HYPERLINK("https://twitter.com/GiuIianoDMedici","@GiuIianoDMedici")</f>
        <v>@GiuIianoDMedici</v>
      </c>
      <c r="C94" s="10" t="s">
        <v>1390</v>
      </c>
      <c r="D94" s="10" t="s">
        <v>1391</v>
      </c>
      <c r="E94" s="9" t="str">
        <f>HYPERLINK("https://twitter.com/GiuIianoDMedici/status/1353334748244926464","1353334748244926464")</f>
        <v>1353334748244926464</v>
      </c>
      <c r="F94" s="11" t="s">
        <v>1392</v>
      </c>
      <c r="G94" s="12"/>
      <c r="H94" s="12"/>
      <c r="I94" s="13">
        <v>0.0</v>
      </c>
      <c r="J94" s="13">
        <v>0.0</v>
      </c>
      <c r="K94" s="9" t="str">
        <f t="shared" si="30"/>
        <v>Twitter for iPhone</v>
      </c>
      <c r="L94" s="14">
        <v>1227.0</v>
      </c>
      <c r="M94" s="14">
        <v>1194.0</v>
      </c>
      <c r="N94" s="14">
        <v>3.0</v>
      </c>
      <c r="O94" s="19"/>
      <c r="P94" s="16">
        <v>43875.41909722222</v>
      </c>
      <c r="Q94" s="12"/>
      <c r="R94" s="10" t="s">
        <v>1393</v>
      </c>
      <c r="S94" s="12"/>
      <c r="T94" s="12"/>
      <c r="U94" s="17" t="str">
        <f>HYPERLINK("https://pbs.twimg.com/profile_images/1340353747738787840/uOWlX3pn.jpg","View")</f>
        <v>View</v>
      </c>
      <c r="V94" s="12"/>
      <c r="W94" s="12"/>
      <c r="X94" s="12"/>
      <c r="Y94" s="12"/>
      <c r="Z94" s="12"/>
    </row>
    <row r="95">
      <c r="A95" s="8">
        <v>44220.16878472222</v>
      </c>
      <c r="B95" s="9" t="str">
        <f>HYPERLINK("https://twitter.com/manehp19","@manehp19")</f>
        <v>@manehp19</v>
      </c>
      <c r="C95" s="10" t="s">
        <v>1394</v>
      </c>
      <c r="D95" s="10" t="s">
        <v>1395</v>
      </c>
      <c r="E95" s="9" t="str">
        <f>HYPERLINK("https://twitter.com/manehp19/status/1353282156370423809","1353282156370423809")</f>
        <v>1353282156370423809</v>
      </c>
      <c r="F95" s="11" t="s">
        <v>1396</v>
      </c>
      <c r="G95" s="11" t="s">
        <v>1397</v>
      </c>
      <c r="H95" s="12"/>
      <c r="I95" s="13">
        <v>0.0</v>
      </c>
      <c r="J95" s="13">
        <v>1.0</v>
      </c>
      <c r="K95" s="9" t="str">
        <f t="shared" ref="K95:K97" si="31">HYPERLINK("http://twitter.com/download/android","Twitter for Android")</f>
        <v>Twitter for Android</v>
      </c>
      <c r="L95" s="14">
        <v>407.0</v>
      </c>
      <c r="M95" s="14">
        <v>584.0</v>
      </c>
      <c r="N95" s="14">
        <v>6.0</v>
      </c>
      <c r="O95" s="19"/>
      <c r="P95" s="16">
        <v>41015.79809027778</v>
      </c>
      <c r="Q95" s="12"/>
      <c r="R95" s="10" t="s">
        <v>1398</v>
      </c>
      <c r="S95" s="12"/>
      <c r="T95" s="12"/>
      <c r="U95" s="17" t="str">
        <f>HYPERLINK("https://pbs.twimg.com/profile_images/1346927299585859591/rr2gvU_Z.jpg","View")</f>
        <v>View</v>
      </c>
      <c r="V95" s="12"/>
      <c r="W95" s="12"/>
      <c r="X95" s="12"/>
      <c r="Y95" s="12"/>
      <c r="Z95" s="12"/>
    </row>
    <row r="96">
      <c r="A96" s="8">
        <v>44220.025601851856</v>
      </c>
      <c r="B96" s="9" t="str">
        <f>HYPERLINK("https://twitter.com/SarmizaBilcesc","@SarmizaBilcesc")</f>
        <v>@SarmizaBilcesc</v>
      </c>
      <c r="C96" s="10" t="s">
        <v>1399</v>
      </c>
      <c r="D96" s="10" t="s">
        <v>1400</v>
      </c>
      <c r="E96" s="9" t="str">
        <f>HYPERLINK("https://twitter.com/SarmizaBilcesc/status/1353230269449342976","1353230269449342976")</f>
        <v>1353230269449342976</v>
      </c>
      <c r="F96" s="12"/>
      <c r="G96" s="12"/>
      <c r="H96" s="12"/>
      <c r="I96" s="13">
        <v>1.0</v>
      </c>
      <c r="J96" s="13">
        <v>2.0</v>
      </c>
      <c r="K96" s="9" t="str">
        <f t="shared" si="31"/>
        <v>Twitter for Android</v>
      </c>
      <c r="L96" s="14">
        <v>67.0</v>
      </c>
      <c r="M96" s="14">
        <v>88.0</v>
      </c>
      <c r="N96" s="14">
        <v>0.0</v>
      </c>
      <c r="O96" s="19"/>
      <c r="P96" s="16">
        <v>44157.677777777775</v>
      </c>
      <c r="Q96" s="12"/>
      <c r="R96" s="10" t="s">
        <v>1401</v>
      </c>
      <c r="S96" s="12"/>
      <c r="T96" s="12"/>
      <c r="U96" s="17" t="str">
        <f>HYPERLINK("https://pbs.twimg.com/profile_images/1353440000218521600/8ryh-Q2s.jpg","View")</f>
        <v>View</v>
      </c>
      <c r="V96" s="12"/>
      <c r="W96" s="12"/>
      <c r="X96" s="12"/>
      <c r="Y96" s="12"/>
      <c r="Z96" s="12"/>
    </row>
    <row r="97">
      <c r="A97" s="8">
        <v>44220.00521990741</v>
      </c>
      <c r="B97" s="9" t="str">
        <f>HYPERLINK("https://twitter.com/Sumerio_loco","@Sumerio_loco")</f>
        <v>@Sumerio_loco</v>
      </c>
      <c r="C97" s="10" t="s">
        <v>1402</v>
      </c>
      <c r="D97" s="10" t="s">
        <v>1403</v>
      </c>
      <c r="E97" s="9" t="str">
        <f>HYPERLINK("https://twitter.com/Sumerio_loco/status/1353222880616718342","1353222880616718342")</f>
        <v>1353222880616718342</v>
      </c>
      <c r="F97" s="11" t="s">
        <v>1336</v>
      </c>
      <c r="G97" s="12"/>
      <c r="H97" s="12"/>
      <c r="I97" s="13">
        <v>0.0</v>
      </c>
      <c r="J97" s="13">
        <v>0.0</v>
      </c>
      <c r="K97" s="9" t="str">
        <f t="shared" si="31"/>
        <v>Twitter for Android</v>
      </c>
      <c r="L97" s="14">
        <v>1004.0</v>
      </c>
      <c r="M97" s="14">
        <v>1849.0</v>
      </c>
      <c r="N97" s="14">
        <v>0.0</v>
      </c>
      <c r="O97" s="19"/>
      <c r="P97" s="16">
        <v>43024.39059027778</v>
      </c>
      <c r="Q97" s="12"/>
      <c r="R97" s="12"/>
      <c r="S97" s="12"/>
      <c r="T97" s="12"/>
      <c r="U97" s="17" t="str">
        <f>HYPERLINK("https://pbs.twimg.com/profile_images/1129589665223401472/NvnVbtiw.jpg","View")</f>
        <v>View</v>
      </c>
      <c r="V97" s="12"/>
      <c r="W97" s="12"/>
      <c r="X97" s="12"/>
      <c r="Y97" s="12"/>
      <c r="Z97" s="12"/>
    </row>
    <row r="98">
      <c r="A98" s="8">
        <v>44219.97219907407</v>
      </c>
      <c r="B98" s="9" t="str">
        <f>HYPERLINK("https://twitter.com/LunaGilV","@LunaGilV")</f>
        <v>@LunaGilV</v>
      </c>
      <c r="C98" s="10" t="s">
        <v>1404</v>
      </c>
      <c r="D98" s="10" t="s">
        <v>1405</v>
      </c>
      <c r="E98" s="9" t="str">
        <f>HYPERLINK("https://twitter.com/LunaGilV/status/1353210915756380166","1353210915756380166")</f>
        <v>1353210915756380166</v>
      </c>
      <c r="F98" s="12"/>
      <c r="G98" s="11" t="s">
        <v>1406</v>
      </c>
      <c r="H98" s="12"/>
      <c r="I98" s="13">
        <v>21.0</v>
      </c>
      <c r="J98" s="13">
        <v>99.0</v>
      </c>
      <c r="K98" s="9" t="str">
        <f>HYPERLINK("https://about.twitter.com/products/tweetdeck","TweetDeck")</f>
        <v>TweetDeck</v>
      </c>
      <c r="L98" s="14">
        <v>33058.0</v>
      </c>
      <c r="M98" s="14">
        <v>153.0</v>
      </c>
      <c r="N98" s="14">
        <v>17.0</v>
      </c>
      <c r="O98" s="19"/>
      <c r="P98" s="16">
        <v>42522.91565972222</v>
      </c>
      <c r="Q98" s="10" t="s">
        <v>1407</v>
      </c>
      <c r="R98" s="10" t="s">
        <v>1408</v>
      </c>
      <c r="S98" s="11" t="s">
        <v>1409</v>
      </c>
      <c r="T98" s="12"/>
      <c r="U98" s="17" t="str">
        <f>HYPERLINK("https://pbs.twimg.com/profile_images/1354150473331318786/dPtwoBny.jpg","View")</f>
        <v>View</v>
      </c>
      <c r="V98" s="12"/>
      <c r="W98" s="12"/>
      <c r="X98" s="12"/>
      <c r="Y98" s="12"/>
      <c r="Z98" s="12"/>
    </row>
    <row r="99">
      <c r="A99" s="8">
        <v>44219.93467592592</v>
      </c>
      <c r="B99" s="9" t="str">
        <f>HYPERLINK("https://twitter.com/ChihuAGUA2021","@ChihuAGUA2021")</f>
        <v>@ChihuAGUA2021</v>
      </c>
      <c r="C99" s="10" t="s">
        <v>1410</v>
      </c>
      <c r="D99" s="10" t="s">
        <v>1411</v>
      </c>
      <c r="E99" s="9" t="str">
        <f>HYPERLINK("https://twitter.com/ChihuAGUA2021/status/1353197319131262976","1353197319131262976")</f>
        <v>1353197319131262976</v>
      </c>
      <c r="F99" s="11" t="s">
        <v>1412</v>
      </c>
      <c r="G99" s="11" t="s">
        <v>1413</v>
      </c>
      <c r="H99" s="12"/>
      <c r="I99" s="13">
        <v>1.0</v>
      </c>
      <c r="J99" s="13">
        <v>1.0</v>
      </c>
      <c r="K99" s="9" t="str">
        <f>HYPERLINK("http://twitter.com/download/android","Twitter for Android")</f>
        <v>Twitter for Android</v>
      </c>
      <c r="L99" s="14">
        <v>382.0</v>
      </c>
      <c r="M99" s="14">
        <v>378.0</v>
      </c>
      <c r="N99" s="14">
        <v>0.0</v>
      </c>
      <c r="O99" s="19"/>
      <c r="P99" s="16">
        <v>44104.898148148146</v>
      </c>
      <c r="Q99" s="10" t="s">
        <v>1414</v>
      </c>
      <c r="R99" s="10" t="s">
        <v>1415</v>
      </c>
      <c r="S99" s="12"/>
      <c r="T99" s="12"/>
      <c r="U99" s="17" t="str">
        <f>HYPERLINK("https://pbs.twimg.com/profile_images/1311499992213807104/mvhWfSBw.jpg","View")</f>
        <v>View</v>
      </c>
      <c r="V99" s="12"/>
      <c r="W99" s="12"/>
      <c r="X99" s="12"/>
      <c r="Y99" s="12"/>
      <c r="Z99" s="12"/>
    </row>
    <row r="100">
      <c r="A100" s="8">
        <v>44219.921053240745</v>
      </c>
      <c r="B100" s="9" t="str">
        <f>HYPERLINK("https://twitter.com/ManuelAlarcnPi1","@ManuelAlarcnPi1")</f>
        <v>@ManuelAlarcnPi1</v>
      </c>
      <c r="C100" s="10" t="s">
        <v>1416</v>
      </c>
      <c r="D100" s="10" t="s">
        <v>1417</v>
      </c>
      <c r="E100" s="9" t="str">
        <f>HYPERLINK("https://twitter.com/ManuelAlarcnPi1/status/1353192380791480320","1353192380791480320")</f>
        <v>1353192380791480320</v>
      </c>
      <c r="F100" s="10" t="s">
        <v>1418</v>
      </c>
      <c r="G100" s="11" t="s">
        <v>1419</v>
      </c>
      <c r="H100" s="12"/>
      <c r="I100" s="13">
        <v>0.0</v>
      </c>
      <c r="J100" s="13">
        <v>0.0</v>
      </c>
      <c r="K100" s="9" t="str">
        <f t="shared" ref="K100:K102" si="32">HYPERLINK("http://twitter.com/download/iphone","Twitter for iPhone")</f>
        <v>Twitter for iPhone</v>
      </c>
      <c r="L100" s="14">
        <v>81.0</v>
      </c>
      <c r="M100" s="14">
        <v>160.0</v>
      </c>
      <c r="N100" s="14">
        <v>0.0</v>
      </c>
      <c r="O100" s="19"/>
      <c r="P100" s="16">
        <v>43610.47809027778</v>
      </c>
      <c r="Q100" s="12"/>
      <c r="R100" s="10" t="s">
        <v>1420</v>
      </c>
      <c r="S100" s="12"/>
      <c r="T100" s="12"/>
      <c r="U100" s="17" t="str">
        <f>HYPERLINK("https://pbs.twimg.com/profile_images/1350520639732510722/1xiDjQnE.jpg","View")</f>
        <v>View</v>
      </c>
      <c r="V100" s="12"/>
      <c r="W100" s="12"/>
      <c r="X100" s="12"/>
      <c r="Y100" s="12"/>
      <c r="Z100" s="12"/>
    </row>
    <row r="101">
      <c r="A101" s="8">
        <v>44219.91511574074</v>
      </c>
      <c r="B101" s="9" t="str">
        <f>HYPERLINK("https://twitter.com/geographunk","@geographunk")</f>
        <v>@geographunk</v>
      </c>
      <c r="C101" s="10" t="s">
        <v>1421</v>
      </c>
      <c r="D101" s="10" t="s">
        <v>1422</v>
      </c>
      <c r="E101" s="9" t="str">
        <f>HYPERLINK("https://twitter.com/geographunk/status/1353190231047102464","1353190231047102464")</f>
        <v>1353190231047102464</v>
      </c>
      <c r="F101" s="12"/>
      <c r="G101" s="11" t="s">
        <v>1423</v>
      </c>
      <c r="H101" s="12"/>
      <c r="I101" s="13">
        <v>0.0</v>
      </c>
      <c r="J101" s="13">
        <v>0.0</v>
      </c>
      <c r="K101" s="9" t="str">
        <f t="shared" si="32"/>
        <v>Twitter for iPhone</v>
      </c>
      <c r="L101" s="14">
        <v>296.0</v>
      </c>
      <c r="M101" s="14">
        <v>100.0</v>
      </c>
      <c r="N101" s="14">
        <v>22.0</v>
      </c>
      <c r="O101" s="19"/>
      <c r="P101" s="16">
        <v>40540.90085648148</v>
      </c>
      <c r="Q101" s="10" t="s">
        <v>1424</v>
      </c>
      <c r="R101" s="10" t="s">
        <v>1425</v>
      </c>
      <c r="S101" s="11" t="s">
        <v>1426</v>
      </c>
      <c r="T101" s="12"/>
      <c r="U101" s="17" t="str">
        <f>HYPERLINK("https://pbs.twimg.com/profile_images/1352506992364048384/t5xbEWwU.jpg","View")</f>
        <v>View</v>
      </c>
      <c r="V101" s="12"/>
      <c r="W101" s="12"/>
      <c r="X101" s="12"/>
      <c r="Y101" s="12"/>
      <c r="Z101" s="12"/>
    </row>
    <row r="102">
      <c r="A102" s="8">
        <v>44219.91422453704</v>
      </c>
      <c r="B102" s="9" t="str">
        <f>HYPERLINK("https://twitter.com/AlexOpinaMx","@AlexOpinaMx")</f>
        <v>@AlexOpinaMx</v>
      </c>
      <c r="C102" s="10" t="s">
        <v>1068</v>
      </c>
      <c r="D102" s="10" t="s">
        <v>1427</v>
      </c>
      <c r="E102" s="9" t="str">
        <f>HYPERLINK("https://twitter.com/AlexOpinaMx/status/1353189904885444615","1353189904885444615")</f>
        <v>1353189904885444615</v>
      </c>
      <c r="F102" s="11" t="s">
        <v>1428</v>
      </c>
      <c r="G102" s="11" t="s">
        <v>1429</v>
      </c>
      <c r="H102" s="12"/>
      <c r="I102" s="13">
        <v>0.0</v>
      </c>
      <c r="J102" s="13">
        <v>0.0</v>
      </c>
      <c r="K102" s="9" t="str">
        <f t="shared" si="32"/>
        <v>Twitter for iPhone</v>
      </c>
      <c r="L102" s="14">
        <v>9146.0</v>
      </c>
      <c r="M102" s="14">
        <v>1048.0</v>
      </c>
      <c r="N102" s="14">
        <v>18.0</v>
      </c>
      <c r="O102" s="19"/>
      <c r="P102" s="16">
        <v>41053.5537037037</v>
      </c>
      <c r="Q102" s="12"/>
      <c r="R102" s="10" t="s">
        <v>1072</v>
      </c>
      <c r="S102" s="12"/>
      <c r="T102" s="12"/>
      <c r="U102" s="17" t="str">
        <f>HYPERLINK("https://pbs.twimg.com/profile_images/1240484047043862529/71GqPTma.jpg","View")</f>
        <v>View</v>
      </c>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sheetData>
  <hyperlinks>
    <hyperlink r:id="rId1" ref="F3"/>
    <hyperlink r:id="rId2" ref="F4"/>
    <hyperlink r:id="rId3" ref="G4"/>
    <hyperlink r:id="rId4" ref="F5"/>
    <hyperlink r:id="rId5" ref="S5"/>
    <hyperlink r:id="rId6" ref="G6"/>
    <hyperlink r:id="rId7" ref="S6"/>
    <hyperlink r:id="rId8" ref="F7"/>
    <hyperlink r:id="rId9" ref="G10"/>
    <hyperlink r:id="rId10" ref="S10"/>
    <hyperlink r:id="rId11" ref="F11"/>
    <hyperlink r:id="rId12" ref="G11"/>
    <hyperlink r:id="rId13" ref="F12"/>
    <hyperlink r:id="rId14" ref="F13"/>
    <hyperlink r:id="rId15" ref="G13"/>
    <hyperlink r:id="rId16" ref="S13"/>
    <hyperlink r:id="rId17" ref="F14"/>
    <hyperlink r:id="rId18" ref="G14"/>
    <hyperlink r:id="rId19" ref="S14"/>
    <hyperlink r:id="rId20" ref="S16"/>
    <hyperlink r:id="rId21" ref="F18"/>
    <hyperlink r:id="rId22" ref="G18"/>
    <hyperlink r:id="rId23" ref="F19"/>
    <hyperlink r:id="rId24" ref="S20"/>
    <hyperlink r:id="rId25" ref="F21"/>
    <hyperlink r:id="rId26" ref="G21"/>
    <hyperlink r:id="rId27" ref="S22"/>
    <hyperlink r:id="rId28" ref="F23"/>
    <hyperlink r:id="rId29" ref="G25"/>
    <hyperlink r:id="rId30" ref="S25"/>
    <hyperlink r:id="rId31" ref="F26"/>
    <hyperlink r:id="rId32" ref="G26"/>
    <hyperlink r:id="rId33" ref="F28"/>
    <hyperlink r:id="rId34" ref="G28"/>
    <hyperlink r:id="rId35" ref="F29"/>
    <hyperlink r:id="rId36" ref="G29"/>
    <hyperlink r:id="rId37" ref="F30"/>
    <hyperlink r:id="rId38" ref="F31"/>
    <hyperlink r:id="rId39" ref="G31"/>
    <hyperlink r:id="rId40" ref="G33"/>
    <hyperlink r:id="rId41" ref="S33"/>
    <hyperlink r:id="rId42" ref="F34"/>
    <hyperlink r:id="rId43" ref="G34"/>
    <hyperlink r:id="rId44" ref="F35"/>
    <hyperlink r:id="rId45" ref="F36"/>
    <hyperlink r:id="rId46" ref="G36"/>
    <hyperlink r:id="rId47" ref="F37"/>
    <hyperlink r:id="rId48" ref="G37"/>
    <hyperlink r:id="rId49" ref="F38"/>
    <hyperlink r:id="rId50" ref="F39"/>
    <hyperlink r:id="rId51" ref="G39"/>
    <hyperlink r:id="rId52" ref="F40"/>
    <hyperlink r:id="rId53" ref="G40"/>
    <hyperlink r:id="rId54" ref="G41"/>
    <hyperlink r:id="rId55" ref="F43"/>
    <hyperlink r:id="rId56" ref="G43"/>
    <hyperlink r:id="rId57" ref="S43"/>
    <hyperlink r:id="rId58" ref="F45"/>
    <hyperlink r:id="rId59" ref="G45"/>
    <hyperlink r:id="rId60" ref="F46"/>
    <hyperlink r:id="rId61" ref="F49"/>
    <hyperlink r:id="rId62" ref="G50"/>
    <hyperlink r:id="rId63" ref="G51"/>
    <hyperlink r:id="rId64" ref="F52"/>
    <hyperlink r:id="rId65" ref="S53"/>
    <hyperlink r:id="rId66" ref="F57"/>
    <hyperlink r:id="rId67" ref="G57"/>
    <hyperlink r:id="rId68" ref="G58"/>
    <hyperlink r:id="rId69" ref="S58"/>
    <hyperlink r:id="rId70" ref="F60"/>
    <hyperlink r:id="rId71" ref="G60"/>
    <hyperlink r:id="rId72" ref="G61"/>
    <hyperlink r:id="rId73" ref="G62"/>
    <hyperlink r:id="rId74" ref="F63"/>
    <hyperlink r:id="rId75" ref="G63"/>
    <hyperlink r:id="rId76" ref="S63"/>
    <hyperlink r:id="rId77" ref="S64"/>
    <hyperlink r:id="rId78" ref="G65"/>
    <hyperlink r:id="rId79" ref="F67"/>
    <hyperlink r:id="rId80" ref="F68"/>
    <hyperlink r:id="rId81" ref="G69"/>
    <hyperlink r:id="rId82" ref="S69"/>
    <hyperlink r:id="rId83" ref="G70"/>
    <hyperlink r:id="rId84" ref="F71"/>
    <hyperlink r:id="rId85" ref="G71"/>
    <hyperlink r:id="rId86" ref="S71"/>
    <hyperlink r:id="rId87" ref="F72"/>
    <hyperlink r:id="rId88" ref="G72"/>
    <hyperlink r:id="rId89" ref="G73"/>
    <hyperlink r:id="rId90" ref="S73"/>
    <hyperlink r:id="rId91" ref="F74"/>
    <hyperlink r:id="rId92" ref="G75"/>
    <hyperlink r:id="rId93" ref="F76"/>
    <hyperlink r:id="rId94" ref="G76"/>
    <hyperlink r:id="rId95" ref="G77"/>
    <hyperlink r:id="rId96" ref="G78"/>
    <hyperlink r:id="rId97" ref="F79"/>
    <hyperlink r:id="rId98" ref="F80"/>
    <hyperlink r:id="rId99" ref="F81"/>
    <hyperlink r:id="rId100" ref="F82"/>
    <hyperlink r:id="rId101" ref="G83"/>
    <hyperlink r:id="rId102" ref="F84"/>
    <hyperlink r:id="rId103" ref="G84"/>
    <hyperlink r:id="rId104" ref="G85"/>
    <hyperlink r:id="rId105" ref="F86"/>
    <hyperlink r:id="rId106" ref="F88"/>
    <hyperlink r:id="rId107" ref="G88"/>
    <hyperlink r:id="rId108" ref="F89"/>
    <hyperlink r:id="rId109" ref="G89"/>
    <hyperlink r:id="rId110" ref="S89"/>
    <hyperlink r:id="rId111" ref="G90"/>
    <hyperlink r:id="rId112" ref="G91"/>
    <hyperlink r:id="rId113" ref="S91"/>
    <hyperlink r:id="rId114" ref="F92"/>
    <hyperlink r:id="rId115" ref="F94"/>
    <hyperlink r:id="rId116" ref="F95"/>
    <hyperlink r:id="rId117" ref="G95"/>
    <hyperlink r:id="rId118" ref="F97"/>
    <hyperlink r:id="rId119" ref="G98"/>
    <hyperlink r:id="rId120" ref="S98"/>
    <hyperlink r:id="rId121" ref="F99"/>
    <hyperlink r:id="rId122" ref="G99"/>
    <hyperlink r:id="rId123" ref="G100"/>
    <hyperlink r:id="rId124" ref="G101"/>
    <hyperlink r:id="rId125" ref="S101"/>
    <hyperlink r:id="rId126" ref="F102"/>
    <hyperlink r:id="rId127" ref="G102"/>
  </hyperlinks>
  <drawing r:id="rId128"/>
  <tableParts count="1">
    <tablePart r:id="rId130"/>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1430</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44221.8146412037</v>
      </c>
      <c r="B3" s="9" t="str">
        <f t="shared" ref="B3:B17" si="1">HYPERLINK("https://twitter.com/GeraldinePonceM","@GeraldinePonceM")</f>
        <v>@GeraldinePonceM</v>
      </c>
      <c r="C3" s="10" t="s">
        <v>1431</v>
      </c>
      <c r="D3" s="10" t="s">
        <v>1432</v>
      </c>
      <c r="E3" s="9" t="str">
        <f>HYPERLINK("https://twitter.com/GeraldinePonceM/status/1353878593290428416","1353878593290428416")</f>
        <v>1353878593290428416</v>
      </c>
      <c r="F3" s="12"/>
      <c r="G3" s="11" t="s">
        <v>1433</v>
      </c>
      <c r="H3" s="12"/>
      <c r="I3" s="13">
        <v>30.0</v>
      </c>
      <c r="J3" s="13">
        <v>170.0</v>
      </c>
      <c r="K3" s="9" t="str">
        <f t="shared" ref="K3:K17" si="2">HYPERLINK("http://twitter.com/download/iphone","Twitter for iPhone")</f>
        <v>Twitter for iPhone</v>
      </c>
      <c r="L3" s="14">
        <v>57140.0</v>
      </c>
      <c r="M3" s="14">
        <v>228.0</v>
      </c>
      <c r="N3" s="14">
        <v>81.0</v>
      </c>
      <c r="O3" s="19"/>
      <c r="P3" s="16">
        <v>40394.01232638889</v>
      </c>
      <c r="Q3" s="10" t="s">
        <v>1434</v>
      </c>
      <c r="R3" s="10" t="s">
        <v>1435</v>
      </c>
      <c r="S3" s="11" t="s">
        <v>1436</v>
      </c>
      <c r="T3" s="12"/>
      <c r="U3" s="17" t="str">
        <f t="shared" ref="U3:U17" si="3">HYPERLINK("https://pbs.twimg.com/profile_images/1328366054679089152/xCJ7bBTB.jpg","View")</f>
        <v>View</v>
      </c>
      <c r="V3" s="12"/>
      <c r="W3" s="12"/>
      <c r="X3" s="12"/>
      <c r="Y3" s="12"/>
      <c r="Z3" s="12"/>
    </row>
    <row r="4">
      <c r="A4" s="8">
        <v>44221.57108796296</v>
      </c>
      <c r="B4" s="9" t="str">
        <f t="shared" si="1"/>
        <v>@GeraldinePonceM</v>
      </c>
      <c r="C4" s="10" t="s">
        <v>1431</v>
      </c>
      <c r="D4" s="10" t="s">
        <v>1437</v>
      </c>
      <c r="E4" s="9" t="str">
        <f>HYPERLINK("https://twitter.com/GeraldinePonceM/status/1353790336108138496","1353790336108138496")</f>
        <v>1353790336108138496</v>
      </c>
      <c r="F4" s="12"/>
      <c r="G4" s="12"/>
      <c r="H4" s="12"/>
      <c r="I4" s="13">
        <v>435.0</v>
      </c>
      <c r="J4" s="13">
        <v>1229.0</v>
      </c>
      <c r="K4" s="9" t="str">
        <f t="shared" si="2"/>
        <v>Twitter for iPhone</v>
      </c>
      <c r="L4" s="14">
        <v>57140.0</v>
      </c>
      <c r="M4" s="14">
        <v>228.0</v>
      </c>
      <c r="N4" s="14">
        <v>81.0</v>
      </c>
      <c r="O4" s="19"/>
      <c r="P4" s="16">
        <v>40394.01232638889</v>
      </c>
      <c r="Q4" s="10" t="s">
        <v>1434</v>
      </c>
      <c r="R4" s="10" t="s">
        <v>1435</v>
      </c>
      <c r="S4" s="11" t="s">
        <v>1436</v>
      </c>
      <c r="T4" s="12"/>
      <c r="U4" s="17" t="str">
        <f t="shared" si="3"/>
        <v>View</v>
      </c>
      <c r="V4" s="12"/>
      <c r="W4" s="12"/>
      <c r="X4" s="12"/>
      <c r="Y4" s="12"/>
      <c r="Z4" s="12"/>
    </row>
    <row r="5">
      <c r="A5" s="8">
        <v>44221.44863425926</v>
      </c>
      <c r="B5" s="9" t="str">
        <f t="shared" si="1"/>
        <v>@GeraldinePonceM</v>
      </c>
      <c r="C5" s="10" t="s">
        <v>1431</v>
      </c>
      <c r="D5" s="10" t="s">
        <v>1438</v>
      </c>
      <c r="E5" s="9" t="str">
        <f>HYPERLINK("https://twitter.com/GeraldinePonceM/status/1353745958736019456","1353745958736019456")</f>
        <v>1353745958736019456</v>
      </c>
      <c r="F5" s="11" t="s">
        <v>311</v>
      </c>
      <c r="G5" s="11" t="s">
        <v>312</v>
      </c>
      <c r="H5" s="12"/>
      <c r="I5" s="13">
        <v>43.0</v>
      </c>
      <c r="J5" s="13">
        <v>273.0</v>
      </c>
      <c r="K5" s="9" t="str">
        <f t="shared" si="2"/>
        <v>Twitter for iPhone</v>
      </c>
      <c r="L5" s="14">
        <v>57140.0</v>
      </c>
      <c r="M5" s="14">
        <v>228.0</v>
      </c>
      <c r="N5" s="14">
        <v>81.0</v>
      </c>
      <c r="O5" s="19"/>
      <c r="P5" s="16">
        <v>40394.01232638889</v>
      </c>
      <c r="Q5" s="10" t="s">
        <v>1434</v>
      </c>
      <c r="R5" s="10" t="s">
        <v>1435</v>
      </c>
      <c r="S5" s="11" t="s">
        <v>1436</v>
      </c>
      <c r="T5" s="12"/>
      <c r="U5" s="17" t="str">
        <f t="shared" si="3"/>
        <v>View</v>
      </c>
      <c r="V5" s="12"/>
      <c r="W5" s="12"/>
      <c r="X5" s="12"/>
      <c r="Y5" s="12"/>
      <c r="Z5" s="12"/>
    </row>
    <row r="6">
      <c r="A6" s="8">
        <v>44220.79418981481</v>
      </c>
      <c r="B6" s="9" t="str">
        <f t="shared" si="1"/>
        <v>@GeraldinePonceM</v>
      </c>
      <c r="C6" s="10" t="s">
        <v>1431</v>
      </c>
      <c r="D6" s="10" t="s">
        <v>1439</v>
      </c>
      <c r="E6" s="9" t="str">
        <f>HYPERLINK("https://twitter.com/GeraldinePonceM/status/1353508796962750464","1353508796962750464")</f>
        <v>1353508796962750464</v>
      </c>
      <c r="F6" s="12"/>
      <c r="G6" s="12"/>
      <c r="H6" s="12"/>
      <c r="I6" s="13">
        <v>248.0</v>
      </c>
      <c r="J6" s="13">
        <v>1660.0</v>
      </c>
      <c r="K6" s="9" t="str">
        <f t="shared" si="2"/>
        <v>Twitter for iPhone</v>
      </c>
      <c r="L6" s="14">
        <v>57140.0</v>
      </c>
      <c r="M6" s="14">
        <v>228.0</v>
      </c>
      <c r="N6" s="14">
        <v>81.0</v>
      </c>
      <c r="O6" s="19"/>
      <c r="P6" s="16">
        <v>40394.01232638889</v>
      </c>
      <c r="Q6" s="10" t="s">
        <v>1434</v>
      </c>
      <c r="R6" s="10" t="s">
        <v>1435</v>
      </c>
      <c r="S6" s="11" t="s">
        <v>1436</v>
      </c>
      <c r="T6" s="12"/>
      <c r="U6" s="17" t="str">
        <f t="shared" si="3"/>
        <v>View</v>
      </c>
      <c r="V6" s="12"/>
      <c r="W6" s="12"/>
      <c r="X6" s="12"/>
      <c r="Y6" s="12"/>
      <c r="Z6" s="12"/>
    </row>
    <row r="7">
      <c r="A7" s="8">
        <v>44220.55032407407</v>
      </c>
      <c r="B7" s="9" t="str">
        <f t="shared" si="1"/>
        <v>@GeraldinePonceM</v>
      </c>
      <c r="C7" s="10" t="s">
        <v>1431</v>
      </c>
      <c r="D7" s="10" t="s">
        <v>1440</v>
      </c>
      <c r="E7" s="9" t="str">
        <f>HYPERLINK("https://twitter.com/GeraldinePonceM/status/1353420422570631169","1353420422570631169")</f>
        <v>1353420422570631169</v>
      </c>
      <c r="F7" s="12"/>
      <c r="G7" s="11" t="s">
        <v>1441</v>
      </c>
      <c r="H7" s="12"/>
      <c r="I7" s="13">
        <v>12.0</v>
      </c>
      <c r="J7" s="13">
        <v>115.0</v>
      </c>
      <c r="K7" s="9" t="str">
        <f t="shared" si="2"/>
        <v>Twitter for iPhone</v>
      </c>
      <c r="L7" s="14">
        <v>57140.0</v>
      </c>
      <c r="M7" s="14">
        <v>228.0</v>
      </c>
      <c r="N7" s="14">
        <v>81.0</v>
      </c>
      <c r="O7" s="19"/>
      <c r="P7" s="16">
        <v>40394.01232638889</v>
      </c>
      <c r="Q7" s="10" t="s">
        <v>1434</v>
      </c>
      <c r="R7" s="10" t="s">
        <v>1435</v>
      </c>
      <c r="S7" s="11" t="s">
        <v>1436</v>
      </c>
      <c r="T7" s="12"/>
      <c r="U7" s="17" t="str">
        <f t="shared" si="3"/>
        <v>View</v>
      </c>
      <c r="V7" s="12"/>
      <c r="W7" s="12"/>
      <c r="X7" s="12"/>
      <c r="Y7" s="12"/>
      <c r="Z7" s="12"/>
    </row>
    <row r="8">
      <c r="A8" s="8">
        <v>44219.47421296296</v>
      </c>
      <c r="B8" s="9" t="str">
        <f t="shared" si="1"/>
        <v>@GeraldinePonceM</v>
      </c>
      <c r="C8" s="10" t="s">
        <v>1431</v>
      </c>
      <c r="D8" s="10" t="s">
        <v>1442</v>
      </c>
      <c r="E8" s="9" t="str">
        <f>HYPERLINK("https://twitter.com/GeraldinePonceM/status/1353030453016453120","1353030453016453120")</f>
        <v>1353030453016453120</v>
      </c>
      <c r="F8" s="12"/>
      <c r="G8" s="11" t="s">
        <v>1443</v>
      </c>
      <c r="H8" s="12"/>
      <c r="I8" s="13">
        <v>9.0</v>
      </c>
      <c r="J8" s="13">
        <v>66.0</v>
      </c>
      <c r="K8" s="9" t="str">
        <f t="shared" si="2"/>
        <v>Twitter for iPhone</v>
      </c>
      <c r="L8" s="14">
        <v>57140.0</v>
      </c>
      <c r="M8" s="14">
        <v>228.0</v>
      </c>
      <c r="N8" s="14">
        <v>81.0</v>
      </c>
      <c r="O8" s="19"/>
      <c r="P8" s="16">
        <v>40394.01232638889</v>
      </c>
      <c r="Q8" s="10" t="s">
        <v>1434</v>
      </c>
      <c r="R8" s="10" t="s">
        <v>1435</v>
      </c>
      <c r="S8" s="11" t="s">
        <v>1436</v>
      </c>
      <c r="T8" s="12"/>
      <c r="U8" s="17" t="str">
        <f t="shared" si="3"/>
        <v>View</v>
      </c>
      <c r="V8" s="12"/>
      <c r="W8" s="12"/>
      <c r="X8" s="12"/>
      <c r="Y8" s="12"/>
      <c r="Z8" s="12"/>
    </row>
    <row r="9">
      <c r="A9" s="8">
        <v>44218.94563657408</v>
      </c>
      <c r="B9" s="9" t="str">
        <f t="shared" si="1"/>
        <v>@GeraldinePonceM</v>
      </c>
      <c r="C9" s="10" t="s">
        <v>1431</v>
      </c>
      <c r="D9" s="10" t="s">
        <v>1444</v>
      </c>
      <c r="E9" s="9" t="str">
        <f>HYPERLINK("https://twitter.com/GeraldinePonceM/status/1352838904106258432","1352838904106258432")</f>
        <v>1352838904106258432</v>
      </c>
      <c r="F9" s="12"/>
      <c r="G9" s="11" t="s">
        <v>1445</v>
      </c>
      <c r="H9" s="12"/>
      <c r="I9" s="13">
        <v>18.0</v>
      </c>
      <c r="J9" s="13">
        <v>281.0</v>
      </c>
      <c r="K9" s="9" t="str">
        <f t="shared" si="2"/>
        <v>Twitter for iPhone</v>
      </c>
      <c r="L9" s="14">
        <v>57140.0</v>
      </c>
      <c r="M9" s="14">
        <v>228.0</v>
      </c>
      <c r="N9" s="14">
        <v>81.0</v>
      </c>
      <c r="O9" s="19"/>
      <c r="P9" s="16">
        <v>40394.01232638889</v>
      </c>
      <c r="Q9" s="10" t="s">
        <v>1434</v>
      </c>
      <c r="R9" s="10" t="s">
        <v>1435</v>
      </c>
      <c r="S9" s="11" t="s">
        <v>1436</v>
      </c>
      <c r="T9" s="12"/>
      <c r="U9" s="17" t="str">
        <f t="shared" si="3"/>
        <v>View</v>
      </c>
      <c r="V9" s="12"/>
      <c r="W9" s="12"/>
      <c r="X9" s="12"/>
      <c r="Y9" s="12"/>
      <c r="Z9" s="12"/>
    </row>
    <row r="10">
      <c r="A10" s="8">
        <v>44218.81497685185</v>
      </c>
      <c r="B10" s="9" t="str">
        <f t="shared" si="1"/>
        <v>@GeraldinePonceM</v>
      </c>
      <c r="C10" s="10" t="s">
        <v>1431</v>
      </c>
      <c r="D10" s="10" t="s">
        <v>1446</v>
      </c>
      <c r="E10" s="9" t="str">
        <f>HYPERLINK("https://twitter.com/GeraldinePonceM/status/1352791553174081537","1352791553174081537")</f>
        <v>1352791553174081537</v>
      </c>
      <c r="F10" s="12"/>
      <c r="G10" s="11" t="s">
        <v>1447</v>
      </c>
      <c r="H10" s="12"/>
      <c r="I10" s="13">
        <v>6.0</v>
      </c>
      <c r="J10" s="13">
        <v>40.0</v>
      </c>
      <c r="K10" s="9" t="str">
        <f t="shared" si="2"/>
        <v>Twitter for iPhone</v>
      </c>
      <c r="L10" s="14">
        <v>57140.0</v>
      </c>
      <c r="M10" s="14">
        <v>228.0</v>
      </c>
      <c r="N10" s="14">
        <v>81.0</v>
      </c>
      <c r="O10" s="19"/>
      <c r="P10" s="16">
        <v>40394.01232638889</v>
      </c>
      <c r="Q10" s="10" t="s">
        <v>1434</v>
      </c>
      <c r="R10" s="10" t="s">
        <v>1435</v>
      </c>
      <c r="S10" s="11" t="s">
        <v>1436</v>
      </c>
      <c r="T10" s="12"/>
      <c r="U10" s="17" t="str">
        <f t="shared" si="3"/>
        <v>View</v>
      </c>
      <c r="V10" s="12"/>
      <c r="W10" s="12"/>
      <c r="X10" s="12"/>
      <c r="Y10" s="12"/>
      <c r="Z10" s="12"/>
    </row>
    <row r="11">
      <c r="A11" s="8">
        <v>44217.86934027778</v>
      </c>
      <c r="B11" s="9" t="str">
        <f t="shared" si="1"/>
        <v>@GeraldinePonceM</v>
      </c>
      <c r="C11" s="10" t="s">
        <v>1431</v>
      </c>
      <c r="D11" s="10" t="s">
        <v>1448</v>
      </c>
      <c r="E11" s="9" t="str">
        <f>HYPERLINK("https://twitter.com/GeraldinePonceM/status/1352448866461786115","1352448866461786115")</f>
        <v>1352448866461786115</v>
      </c>
      <c r="F11" s="12"/>
      <c r="G11" s="11" t="s">
        <v>1449</v>
      </c>
      <c r="H11" s="12"/>
      <c r="I11" s="13">
        <v>17.0</v>
      </c>
      <c r="J11" s="13">
        <v>54.0</v>
      </c>
      <c r="K11" s="9" t="str">
        <f t="shared" si="2"/>
        <v>Twitter for iPhone</v>
      </c>
      <c r="L11" s="14">
        <v>57140.0</v>
      </c>
      <c r="M11" s="14">
        <v>228.0</v>
      </c>
      <c r="N11" s="14">
        <v>81.0</v>
      </c>
      <c r="O11" s="19"/>
      <c r="P11" s="16">
        <v>40394.01232638889</v>
      </c>
      <c r="Q11" s="10" t="s">
        <v>1434</v>
      </c>
      <c r="R11" s="10" t="s">
        <v>1435</v>
      </c>
      <c r="S11" s="11" t="s">
        <v>1436</v>
      </c>
      <c r="T11" s="12"/>
      <c r="U11" s="17" t="str">
        <f t="shared" si="3"/>
        <v>View</v>
      </c>
      <c r="V11" s="12"/>
      <c r="W11" s="12"/>
      <c r="X11" s="12"/>
      <c r="Y11" s="12"/>
      <c r="Z11" s="12"/>
    </row>
    <row r="12">
      <c r="A12" s="8">
        <v>44216.91837962963</v>
      </c>
      <c r="B12" s="9" t="str">
        <f t="shared" si="1"/>
        <v>@GeraldinePonceM</v>
      </c>
      <c r="C12" s="10" t="s">
        <v>1431</v>
      </c>
      <c r="D12" s="10" t="s">
        <v>1450</v>
      </c>
      <c r="E12" s="9" t="str">
        <f>HYPERLINK("https://twitter.com/GeraldinePonceM/status/1352104249161781248","1352104249161781248")</f>
        <v>1352104249161781248</v>
      </c>
      <c r="F12" s="12"/>
      <c r="G12" s="11" t="s">
        <v>1451</v>
      </c>
      <c r="H12" s="12"/>
      <c r="I12" s="13">
        <v>7.0</v>
      </c>
      <c r="J12" s="13">
        <v>67.0</v>
      </c>
      <c r="K12" s="9" t="str">
        <f t="shared" si="2"/>
        <v>Twitter for iPhone</v>
      </c>
      <c r="L12" s="14">
        <v>57140.0</v>
      </c>
      <c r="M12" s="14">
        <v>228.0</v>
      </c>
      <c r="N12" s="14">
        <v>81.0</v>
      </c>
      <c r="O12" s="19"/>
      <c r="P12" s="16">
        <v>40394.01232638889</v>
      </c>
      <c r="Q12" s="10" t="s">
        <v>1434</v>
      </c>
      <c r="R12" s="10" t="s">
        <v>1435</v>
      </c>
      <c r="S12" s="11" t="s">
        <v>1436</v>
      </c>
      <c r="T12" s="12"/>
      <c r="U12" s="17" t="str">
        <f t="shared" si="3"/>
        <v>View</v>
      </c>
      <c r="V12" s="12"/>
      <c r="W12" s="12"/>
      <c r="X12" s="12"/>
      <c r="Y12" s="12"/>
      <c r="Z12" s="12"/>
    </row>
    <row r="13">
      <c r="A13" s="8">
        <v>44216.835868055554</v>
      </c>
      <c r="B13" s="9" t="str">
        <f t="shared" si="1"/>
        <v>@GeraldinePonceM</v>
      </c>
      <c r="C13" s="10" t="s">
        <v>1431</v>
      </c>
      <c r="D13" s="10" t="s">
        <v>1452</v>
      </c>
      <c r="E13" s="9" t="str">
        <f>HYPERLINK("https://twitter.com/GeraldinePonceM/status/1352074345825316871","1352074345825316871")</f>
        <v>1352074345825316871</v>
      </c>
      <c r="F13" s="12"/>
      <c r="G13" s="11" t="s">
        <v>1453</v>
      </c>
      <c r="H13" s="12"/>
      <c r="I13" s="13">
        <v>3.0</v>
      </c>
      <c r="J13" s="13">
        <v>35.0</v>
      </c>
      <c r="K13" s="9" t="str">
        <f t="shared" si="2"/>
        <v>Twitter for iPhone</v>
      </c>
      <c r="L13" s="14">
        <v>57140.0</v>
      </c>
      <c r="M13" s="14">
        <v>228.0</v>
      </c>
      <c r="N13" s="14">
        <v>81.0</v>
      </c>
      <c r="O13" s="19"/>
      <c r="P13" s="16">
        <v>40394.01232638889</v>
      </c>
      <c r="Q13" s="10" t="s">
        <v>1434</v>
      </c>
      <c r="R13" s="10" t="s">
        <v>1435</v>
      </c>
      <c r="S13" s="11" t="s">
        <v>1436</v>
      </c>
      <c r="T13" s="12"/>
      <c r="U13" s="17" t="str">
        <f t="shared" si="3"/>
        <v>View</v>
      </c>
      <c r="V13" s="12"/>
      <c r="W13" s="12"/>
      <c r="X13" s="12"/>
      <c r="Y13" s="12"/>
      <c r="Z13" s="12"/>
    </row>
    <row r="14">
      <c r="A14" s="8">
        <v>44216.51497685185</v>
      </c>
      <c r="B14" s="9" t="str">
        <f t="shared" si="1"/>
        <v>@GeraldinePonceM</v>
      </c>
      <c r="C14" s="10" t="s">
        <v>1431</v>
      </c>
      <c r="D14" s="10" t="s">
        <v>1454</v>
      </c>
      <c r="E14" s="9" t="str">
        <f>HYPERLINK("https://twitter.com/GeraldinePonceM/status/1351958062609756161","1351958062609756161")</f>
        <v>1351958062609756161</v>
      </c>
      <c r="F14" s="11" t="s">
        <v>1455</v>
      </c>
      <c r="G14" s="12"/>
      <c r="H14" s="12"/>
      <c r="I14" s="13">
        <v>11.0</v>
      </c>
      <c r="J14" s="13">
        <v>53.0</v>
      </c>
      <c r="K14" s="9" t="str">
        <f t="shared" si="2"/>
        <v>Twitter for iPhone</v>
      </c>
      <c r="L14" s="14">
        <v>57140.0</v>
      </c>
      <c r="M14" s="14">
        <v>228.0</v>
      </c>
      <c r="N14" s="14">
        <v>81.0</v>
      </c>
      <c r="O14" s="19"/>
      <c r="P14" s="16">
        <v>40394.01232638889</v>
      </c>
      <c r="Q14" s="10" t="s">
        <v>1434</v>
      </c>
      <c r="R14" s="10" t="s">
        <v>1435</v>
      </c>
      <c r="S14" s="11" t="s">
        <v>1436</v>
      </c>
      <c r="T14" s="12"/>
      <c r="U14" s="17" t="str">
        <f t="shared" si="3"/>
        <v>View</v>
      </c>
      <c r="V14" s="12"/>
      <c r="W14" s="12"/>
      <c r="X14" s="12"/>
      <c r="Y14" s="12"/>
      <c r="Z14" s="12"/>
    </row>
    <row r="15">
      <c r="A15" s="8">
        <v>44215.97097222222</v>
      </c>
      <c r="B15" s="9" t="str">
        <f t="shared" si="1"/>
        <v>@GeraldinePonceM</v>
      </c>
      <c r="C15" s="10" t="s">
        <v>1431</v>
      </c>
      <c r="D15" s="10" t="s">
        <v>1456</v>
      </c>
      <c r="E15" s="9" t="str">
        <f>HYPERLINK("https://twitter.com/GeraldinePonceM/status/1351760918263201795","1351760918263201795")</f>
        <v>1351760918263201795</v>
      </c>
      <c r="F15" s="12"/>
      <c r="G15" s="11" t="s">
        <v>1457</v>
      </c>
      <c r="H15" s="12"/>
      <c r="I15" s="13">
        <v>9.0</v>
      </c>
      <c r="J15" s="13">
        <v>65.0</v>
      </c>
      <c r="K15" s="9" t="str">
        <f t="shared" si="2"/>
        <v>Twitter for iPhone</v>
      </c>
      <c r="L15" s="14">
        <v>57140.0</v>
      </c>
      <c r="M15" s="14">
        <v>228.0</v>
      </c>
      <c r="N15" s="14">
        <v>81.0</v>
      </c>
      <c r="O15" s="19"/>
      <c r="P15" s="16">
        <v>40394.01232638889</v>
      </c>
      <c r="Q15" s="10" t="s">
        <v>1434</v>
      </c>
      <c r="R15" s="10" t="s">
        <v>1435</v>
      </c>
      <c r="S15" s="11" t="s">
        <v>1436</v>
      </c>
      <c r="T15" s="12"/>
      <c r="U15" s="17" t="str">
        <f t="shared" si="3"/>
        <v>View</v>
      </c>
      <c r="V15" s="12"/>
      <c r="W15" s="12"/>
      <c r="X15" s="12"/>
      <c r="Y15" s="12"/>
      <c r="Z15" s="12"/>
    </row>
    <row r="16">
      <c r="A16" s="8">
        <v>44215.70954861111</v>
      </c>
      <c r="B16" s="9" t="str">
        <f t="shared" si="1"/>
        <v>@GeraldinePonceM</v>
      </c>
      <c r="C16" s="10" t="s">
        <v>1431</v>
      </c>
      <c r="D16" s="10" t="s">
        <v>1458</v>
      </c>
      <c r="E16" s="9" t="str">
        <f>HYPERLINK("https://twitter.com/GeraldinePonceM/status/1351666184995762176","1351666184995762176")</f>
        <v>1351666184995762176</v>
      </c>
      <c r="F16" s="12"/>
      <c r="G16" s="11" t="s">
        <v>1459</v>
      </c>
      <c r="H16" s="12"/>
      <c r="I16" s="13">
        <v>4.0</v>
      </c>
      <c r="J16" s="13">
        <v>36.0</v>
      </c>
      <c r="K16" s="9" t="str">
        <f t="shared" si="2"/>
        <v>Twitter for iPhone</v>
      </c>
      <c r="L16" s="14">
        <v>57140.0</v>
      </c>
      <c r="M16" s="14">
        <v>228.0</v>
      </c>
      <c r="N16" s="14">
        <v>81.0</v>
      </c>
      <c r="O16" s="19"/>
      <c r="P16" s="16">
        <v>40394.01232638889</v>
      </c>
      <c r="Q16" s="10" t="s">
        <v>1434</v>
      </c>
      <c r="R16" s="10" t="s">
        <v>1435</v>
      </c>
      <c r="S16" s="11" t="s">
        <v>1436</v>
      </c>
      <c r="T16" s="12"/>
      <c r="U16" s="17" t="str">
        <f t="shared" si="3"/>
        <v>View</v>
      </c>
      <c r="V16" s="12"/>
      <c r="W16" s="12"/>
      <c r="X16" s="12"/>
      <c r="Y16" s="12"/>
      <c r="Z16" s="12"/>
    </row>
    <row r="17">
      <c r="A17" s="8">
        <v>44214.84667824074</v>
      </c>
      <c r="B17" s="9" t="str">
        <f t="shared" si="1"/>
        <v>@GeraldinePonceM</v>
      </c>
      <c r="C17" s="10" t="s">
        <v>1431</v>
      </c>
      <c r="D17" s="10" t="s">
        <v>1460</v>
      </c>
      <c r="E17" s="9" t="str">
        <f>HYPERLINK("https://twitter.com/GeraldinePonceM/status/1351353490799550465","1351353490799550465")</f>
        <v>1351353490799550465</v>
      </c>
      <c r="F17" s="10" t="s">
        <v>1461</v>
      </c>
      <c r="G17" s="12"/>
      <c r="H17" s="12"/>
      <c r="I17" s="13">
        <v>7.0</v>
      </c>
      <c r="J17" s="13">
        <v>40.0</v>
      </c>
      <c r="K17" s="9" t="str">
        <f t="shared" si="2"/>
        <v>Twitter for iPhone</v>
      </c>
      <c r="L17" s="14">
        <v>57140.0</v>
      </c>
      <c r="M17" s="14">
        <v>228.0</v>
      </c>
      <c r="N17" s="14">
        <v>81.0</v>
      </c>
      <c r="O17" s="19"/>
      <c r="P17" s="16">
        <v>40394.01232638889</v>
      </c>
      <c r="Q17" s="10" t="s">
        <v>1434</v>
      </c>
      <c r="R17" s="10" t="s">
        <v>1435</v>
      </c>
      <c r="S17" s="11" t="s">
        <v>1436</v>
      </c>
      <c r="T17" s="12"/>
      <c r="U17" s="17" t="str">
        <f t="shared" si="3"/>
        <v>View</v>
      </c>
      <c r="V17" s="12"/>
      <c r="W17" s="12"/>
      <c r="X17" s="12"/>
      <c r="Y17" s="12"/>
      <c r="Z17" s="12"/>
    </row>
    <row r="18">
      <c r="A18" s="18"/>
      <c r="B18" s="12"/>
      <c r="C18" s="12"/>
      <c r="D18" s="12"/>
      <c r="E18" s="12"/>
      <c r="F18" s="12"/>
      <c r="G18" s="12"/>
      <c r="H18" s="12"/>
      <c r="I18" s="12"/>
      <c r="J18" s="12"/>
      <c r="K18" s="12"/>
      <c r="L18" s="19"/>
      <c r="M18" s="19"/>
      <c r="N18" s="19"/>
      <c r="O18" s="19"/>
      <c r="P18" s="19"/>
      <c r="Q18" s="12"/>
      <c r="R18" s="12"/>
      <c r="S18" s="12"/>
      <c r="T18" s="12"/>
      <c r="U18" s="19"/>
      <c r="V18" s="12"/>
      <c r="W18" s="12"/>
      <c r="X18" s="12"/>
      <c r="Y18" s="12"/>
      <c r="Z18" s="12"/>
    </row>
    <row r="19">
      <c r="A19" s="18"/>
      <c r="B19" s="12"/>
      <c r="C19" s="12"/>
      <c r="D19" s="12"/>
      <c r="E19" s="12"/>
      <c r="F19" s="12"/>
      <c r="G19" s="12"/>
      <c r="H19" s="12"/>
      <c r="I19" s="12"/>
      <c r="J19" s="12"/>
      <c r="K19" s="12"/>
      <c r="L19" s="19"/>
      <c r="M19" s="19"/>
      <c r="N19" s="19"/>
      <c r="O19" s="19"/>
      <c r="P19" s="19"/>
      <c r="Q19" s="12"/>
      <c r="R19" s="12"/>
      <c r="S19" s="12"/>
      <c r="T19" s="12"/>
      <c r="U19" s="19"/>
      <c r="V19" s="12"/>
      <c r="W19" s="12"/>
      <c r="X19" s="12"/>
      <c r="Y19" s="12"/>
      <c r="Z19" s="12"/>
    </row>
    <row r="20">
      <c r="A20" s="18"/>
      <c r="B20" s="12"/>
      <c r="C20" s="12"/>
      <c r="D20" s="12"/>
      <c r="E20" s="12"/>
      <c r="F20" s="12"/>
      <c r="G20" s="12"/>
      <c r="H20" s="12"/>
      <c r="I20" s="12"/>
      <c r="J20" s="12"/>
      <c r="K20" s="12"/>
      <c r="L20" s="19"/>
      <c r="M20" s="19"/>
      <c r="N20" s="19"/>
      <c r="O20" s="19"/>
      <c r="P20" s="19"/>
      <c r="Q20" s="12"/>
      <c r="R20" s="12"/>
      <c r="S20" s="12"/>
      <c r="T20" s="12"/>
      <c r="U20" s="19"/>
      <c r="V20" s="12"/>
      <c r="W20" s="12"/>
      <c r="X20" s="12"/>
      <c r="Y20" s="12"/>
      <c r="Z20" s="12"/>
    </row>
    <row r="21">
      <c r="A21" s="18"/>
      <c r="B21" s="12"/>
      <c r="C21" s="12"/>
      <c r="D21" s="12"/>
      <c r="E21" s="12"/>
      <c r="F21" s="12"/>
      <c r="G21" s="12"/>
      <c r="H21" s="12"/>
      <c r="I21" s="12"/>
      <c r="J21" s="12"/>
      <c r="K21" s="12"/>
      <c r="L21" s="19"/>
      <c r="M21" s="19"/>
      <c r="N21" s="19"/>
      <c r="O21" s="19"/>
      <c r="P21" s="19"/>
      <c r="Q21" s="12"/>
      <c r="R21" s="12"/>
      <c r="S21" s="12"/>
      <c r="T21" s="12"/>
      <c r="U21" s="19"/>
      <c r="V21" s="12"/>
      <c r="W21" s="12"/>
      <c r="X21" s="12"/>
      <c r="Y21" s="12"/>
      <c r="Z21" s="12"/>
    </row>
    <row r="22">
      <c r="A22" s="18"/>
      <c r="B22" s="12"/>
      <c r="C22" s="12"/>
      <c r="D22" s="12"/>
      <c r="E22" s="12"/>
      <c r="F22" s="12"/>
      <c r="G22" s="12"/>
      <c r="H22" s="12"/>
      <c r="I22" s="12"/>
      <c r="J22" s="12"/>
      <c r="K22" s="12"/>
      <c r="L22" s="19"/>
      <c r="M22" s="19"/>
      <c r="N22" s="19"/>
      <c r="O22" s="19"/>
      <c r="P22" s="19"/>
      <c r="Q22" s="12"/>
      <c r="R22" s="12"/>
      <c r="S22" s="12"/>
      <c r="T22" s="12"/>
      <c r="U22" s="19"/>
      <c r="V22" s="12"/>
      <c r="W22" s="12"/>
      <c r="X22" s="12"/>
      <c r="Y22" s="12"/>
      <c r="Z22" s="12"/>
    </row>
    <row r="23">
      <c r="A23" s="18"/>
      <c r="B23" s="12"/>
      <c r="C23" s="12"/>
      <c r="D23" s="12"/>
      <c r="E23" s="12"/>
      <c r="F23" s="12"/>
      <c r="G23" s="12"/>
      <c r="H23" s="12"/>
      <c r="I23" s="12"/>
      <c r="J23" s="12"/>
      <c r="K23" s="12"/>
      <c r="L23" s="19"/>
      <c r="M23" s="19"/>
      <c r="N23" s="19"/>
      <c r="O23" s="19"/>
      <c r="P23" s="19"/>
      <c r="Q23" s="12"/>
      <c r="R23" s="12"/>
      <c r="S23" s="12"/>
      <c r="T23" s="12"/>
      <c r="U23" s="19"/>
      <c r="V23" s="12"/>
      <c r="W23" s="12"/>
      <c r="X23" s="12"/>
      <c r="Y23" s="12"/>
      <c r="Z23" s="12"/>
    </row>
    <row r="24">
      <c r="A24" s="18"/>
      <c r="B24" s="12"/>
      <c r="C24" s="12"/>
      <c r="D24" s="12"/>
      <c r="E24" s="12"/>
      <c r="F24" s="12"/>
      <c r="G24" s="12"/>
      <c r="H24" s="12"/>
      <c r="I24" s="12"/>
      <c r="J24" s="12"/>
      <c r="K24" s="12"/>
      <c r="L24" s="19"/>
      <c r="M24" s="19"/>
      <c r="N24" s="19"/>
      <c r="O24" s="19"/>
      <c r="P24" s="19"/>
      <c r="Q24" s="12"/>
      <c r="R24" s="12"/>
      <c r="S24" s="12"/>
      <c r="T24" s="12"/>
      <c r="U24" s="19"/>
      <c r="V24" s="12"/>
      <c r="W24" s="12"/>
      <c r="X24" s="12"/>
      <c r="Y24" s="12"/>
      <c r="Z24" s="12"/>
    </row>
    <row r="25">
      <c r="A25" s="18"/>
      <c r="B25" s="12"/>
      <c r="C25" s="12"/>
      <c r="D25" s="12"/>
      <c r="E25" s="12"/>
      <c r="F25" s="12"/>
      <c r="G25" s="12"/>
      <c r="H25" s="12"/>
      <c r="I25" s="12"/>
      <c r="J25" s="12"/>
      <c r="K25" s="12"/>
      <c r="L25" s="19"/>
      <c r="M25" s="19"/>
      <c r="N25" s="19"/>
      <c r="O25" s="19"/>
      <c r="P25" s="19"/>
      <c r="Q25" s="12"/>
      <c r="R25" s="12"/>
      <c r="S25" s="12"/>
      <c r="T25" s="12"/>
      <c r="U25" s="19"/>
      <c r="V25" s="12"/>
      <c r="W25" s="12"/>
      <c r="X25" s="12"/>
      <c r="Y25" s="12"/>
      <c r="Z25" s="12"/>
    </row>
    <row r="26">
      <c r="A26" s="18"/>
      <c r="B26" s="12"/>
      <c r="C26" s="12"/>
      <c r="D26" s="12"/>
      <c r="E26" s="12"/>
      <c r="F26" s="12"/>
      <c r="G26" s="12"/>
      <c r="H26" s="12"/>
      <c r="I26" s="12"/>
      <c r="J26" s="12"/>
      <c r="K26" s="12"/>
      <c r="L26" s="19"/>
      <c r="M26" s="19"/>
      <c r="N26" s="19"/>
      <c r="O26" s="19"/>
      <c r="P26" s="19"/>
      <c r="Q26" s="12"/>
      <c r="R26" s="12"/>
      <c r="S26" s="12"/>
      <c r="T26" s="12"/>
      <c r="U26" s="19"/>
      <c r="V26" s="12"/>
      <c r="W26" s="12"/>
      <c r="X26" s="12"/>
      <c r="Y26" s="12"/>
      <c r="Z26" s="12"/>
    </row>
    <row r="27">
      <c r="A27" s="18"/>
      <c r="B27" s="12"/>
      <c r="C27" s="12"/>
      <c r="D27" s="12"/>
      <c r="E27" s="12"/>
      <c r="F27" s="12"/>
      <c r="G27" s="12"/>
      <c r="H27" s="12"/>
      <c r="I27" s="12"/>
      <c r="J27" s="12"/>
      <c r="K27" s="12"/>
      <c r="L27" s="19"/>
      <c r="M27" s="19"/>
      <c r="N27" s="19"/>
      <c r="O27" s="19"/>
      <c r="P27" s="19"/>
      <c r="Q27" s="12"/>
      <c r="R27" s="12"/>
      <c r="S27" s="12"/>
      <c r="T27" s="12"/>
      <c r="U27" s="19"/>
      <c r="V27" s="12"/>
      <c r="W27" s="12"/>
      <c r="X27" s="12"/>
      <c r="Y27" s="12"/>
      <c r="Z27" s="12"/>
    </row>
    <row r="28">
      <c r="A28" s="18"/>
      <c r="B28" s="12"/>
      <c r="C28" s="12"/>
      <c r="D28" s="12"/>
      <c r="E28" s="12"/>
      <c r="F28" s="12"/>
      <c r="G28" s="12"/>
      <c r="H28" s="12"/>
      <c r="I28" s="12"/>
      <c r="J28" s="12"/>
      <c r="K28" s="12"/>
      <c r="L28" s="19"/>
      <c r="M28" s="19"/>
      <c r="N28" s="19"/>
      <c r="O28" s="19"/>
      <c r="P28" s="19"/>
      <c r="Q28" s="12"/>
      <c r="R28" s="12"/>
      <c r="S28" s="12"/>
      <c r="T28" s="12"/>
      <c r="U28" s="19"/>
      <c r="V28" s="12"/>
      <c r="W28" s="12"/>
      <c r="X28" s="12"/>
      <c r="Y28" s="12"/>
      <c r="Z28" s="12"/>
    </row>
    <row r="29">
      <c r="A29" s="18"/>
      <c r="B29" s="12"/>
      <c r="C29" s="12"/>
      <c r="D29" s="12"/>
      <c r="E29" s="12"/>
      <c r="F29" s="12"/>
      <c r="G29" s="12"/>
      <c r="H29" s="12"/>
      <c r="I29" s="12"/>
      <c r="J29" s="12"/>
      <c r="K29" s="12"/>
      <c r="L29" s="19"/>
      <c r="M29" s="19"/>
      <c r="N29" s="19"/>
      <c r="O29" s="19"/>
      <c r="P29" s="19"/>
      <c r="Q29" s="12"/>
      <c r="R29" s="12"/>
      <c r="S29" s="12"/>
      <c r="T29" s="12"/>
      <c r="U29" s="19"/>
      <c r="V29" s="12"/>
      <c r="W29" s="12"/>
      <c r="X29" s="12"/>
      <c r="Y29" s="12"/>
      <c r="Z29" s="12"/>
    </row>
    <row r="30">
      <c r="A30" s="18"/>
      <c r="B30" s="12"/>
      <c r="C30" s="12"/>
      <c r="D30" s="12"/>
      <c r="E30" s="12"/>
      <c r="F30" s="12"/>
      <c r="G30" s="12"/>
      <c r="H30" s="12"/>
      <c r="I30" s="12"/>
      <c r="J30" s="12"/>
      <c r="K30" s="12"/>
      <c r="L30" s="19"/>
      <c r="M30" s="19"/>
      <c r="N30" s="19"/>
      <c r="O30" s="19"/>
      <c r="P30" s="19"/>
      <c r="Q30" s="12"/>
      <c r="R30" s="12"/>
      <c r="S30" s="12"/>
      <c r="T30" s="12"/>
      <c r="U30" s="19"/>
      <c r="V30" s="12"/>
      <c r="W30" s="12"/>
      <c r="X30" s="12"/>
      <c r="Y30" s="12"/>
      <c r="Z30" s="12"/>
    </row>
    <row r="31">
      <c r="A31" s="18"/>
      <c r="B31" s="12"/>
      <c r="C31" s="12"/>
      <c r="D31" s="12"/>
      <c r="E31" s="12"/>
      <c r="F31" s="12"/>
      <c r="G31" s="12"/>
      <c r="H31" s="12"/>
      <c r="I31" s="12"/>
      <c r="J31" s="12"/>
      <c r="K31" s="12"/>
      <c r="L31" s="19"/>
      <c r="M31" s="19"/>
      <c r="N31" s="19"/>
      <c r="O31" s="19"/>
      <c r="P31" s="19"/>
      <c r="Q31" s="12"/>
      <c r="R31" s="12"/>
      <c r="S31" s="12"/>
      <c r="T31" s="12"/>
      <c r="U31" s="19"/>
      <c r="V31" s="12"/>
      <c r="W31" s="12"/>
      <c r="X31" s="12"/>
      <c r="Y31" s="12"/>
      <c r="Z31" s="12"/>
    </row>
    <row r="32">
      <c r="A32" s="18"/>
      <c r="B32" s="12"/>
      <c r="C32" s="12"/>
      <c r="D32" s="12"/>
      <c r="E32" s="12"/>
      <c r="F32" s="12"/>
      <c r="G32" s="12"/>
      <c r="H32" s="12"/>
      <c r="I32" s="12"/>
      <c r="J32" s="12"/>
      <c r="K32" s="12"/>
      <c r="L32" s="19"/>
      <c r="M32" s="19"/>
      <c r="N32" s="19"/>
      <c r="O32" s="19"/>
      <c r="P32" s="19"/>
      <c r="Q32" s="12"/>
      <c r="R32" s="12"/>
      <c r="S32" s="12"/>
      <c r="T32" s="12"/>
      <c r="U32" s="19"/>
      <c r="V32" s="12"/>
      <c r="W32" s="12"/>
      <c r="X32" s="12"/>
      <c r="Y32" s="12"/>
      <c r="Z32" s="12"/>
    </row>
    <row r="33">
      <c r="A33" s="18"/>
      <c r="B33" s="12"/>
      <c r="C33" s="12"/>
      <c r="D33" s="12"/>
      <c r="E33" s="12"/>
      <c r="F33" s="12"/>
      <c r="G33" s="12"/>
      <c r="H33" s="12"/>
      <c r="I33" s="12"/>
      <c r="J33" s="12"/>
      <c r="K33" s="12"/>
      <c r="L33" s="19"/>
      <c r="M33" s="19"/>
      <c r="N33" s="19"/>
      <c r="O33" s="19"/>
      <c r="P33" s="19"/>
      <c r="Q33" s="12"/>
      <c r="R33" s="12"/>
      <c r="S33" s="12"/>
      <c r="T33" s="12"/>
      <c r="U33" s="19"/>
      <c r="V33" s="12"/>
      <c r="W33" s="12"/>
      <c r="X33" s="12"/>
      <c r="Y33" s="12"/>
      <c r="Z33" s="12"/>
    </row>
    <row r="34">
      <c r="A34" s="18"/>
      <c r="B34" s="12"/>
      <c r="C34" s="12"/>
      <c r="D34" s="12"/>
      <c r="E34" s="12"/>
      <c r="F34" s="12"/>
      <c r="G34" s="12"/>
      <c r="H34" s="12"/>
      <c r="I34" s="12"/>
      <c r="J34" s="12"/>
      <c r="K34" s="12"/>
      <c r="L34" s="19"/>
      <c r="M34" s="19"/>
      <c r="N34" s="19"/>
      <c r="O34" s="19"/>
      <c r="P34" s="19"/>
      <c r="Q34" s="12"/>
      <c r="R34" s="12"/>
      <c r="S34" s="12"/>
      <c r="T34" s="12"/>
      <c r="U34" s="19"/>
      <c r="V34" s="12"/>
      <c r="W34" s="12"/>
      <c r="X34" s="12"/>
      <c r="Y34" s="12"/>
      <c r="Z34" s="12"/>
    </row>
    <row r="35">
      <c r="A35" s="18"/>
      <c r="B35" s="12"/>
      <c r="C35" s="12"/>
      <c r="D35" s="12"/>
      <c r="E35" s="12"/>
      <c r="F35" s="12"/>
      <c r="G35" s="12"/>
      <c r="H35" s="12"/>
      <c r="I35" s="12"/>
      <c r="J35" s="12"/>
      <c r="K35" s="12"/>
      <c r="L35" s="19"/>
      <c r="M35" s="19"/>
      <c r="N35" s="19"/>
      <c r="O35" s="19"/>
      <c r="P35" s="19"/>
      <c r="Q35" s="12"/>
      <c r="R35" s="12"/>
      <c r="S35" s="12"/>
      <c r="T35" s="12"/>
      <c r="U35" s="19"/>
      <c r="V35" s="12"/>
      <c r="W35" s="12"/>
      <c r="X35" s="12"/>
      <c r="Y35" s="12"/>
      <c r="Z35" s="12"/>
    </row>
    <row r="36">
      <c r="A36" s="18"/>
      <c r="B36" s="12"/>
      <c r="C36" s="12"/>
      <c r="D36" s="12"/>
      <c r="E36" s="12"/>
      <c r="F36" s="12"/>
      <c r="G36" s="12"/>
      <c r="H36" s="12"/>
      <c r="I36" s="12"/>
      <c r="J36" s="12"/>
      <c r="K36" s="12"/>
      <c r="L36" s="19"/>
      <c r="M36" s="19"/>
      <c r="N36" s="19"/>
      <c r="O36" s="19"/>
      <c r="P36" s="19"/>
      <c r="Q36" s="12"/>
      <c r="R36" s="12"/>
      <c r="S36" s="12"/>
      <c r="T36" s="12"/>
      <c r="U36" s="19"/>
      <c r="V36" s="12"/>
      <c r="W36" s="12"/>
      <c r="X36" s="12"/>
      <c r="Y36" s="12"/>
      <c r="Z36" s="12"/>
    </row>
    <row r="37">
      <c r="A37" s="18"/>
      <c r="B37" s="12"/>
      <c r="C37" s="12"/>
      <c r="D37" s="12"/>
      <c r="E37" s="12"/>
      <c r="F37" s="12"/>
      <c r="G37" s="12"/>
      <c r="H37" s="12"/>
      <c r="I37" s="12"/>
      <c r="J37" s="12"/>
      <c r="K37" s="12"/>
      <c r="L37" s="19"/>
      <c r="M37" s="19"/>
      <c r="N37" s="19"/>
      <c r="O37" s="19"/>
      <c r="P37" s="19"/>
      <c r="Q37" s="12"/>
      <c r="R37" s="12"/>
      <c r="S37" s="12"/>
      <c r="T37" s="12"/>
      <c r="U37" s="19"/>
      <c r="V37" s="12"/>
      <c r="W37" s="12"/>
      <c r="X37" s="12"/>
      <c r="Y37" s="12"/>
      <c r="Z37" s="12"/>
    </row>
    <row r="38">
      <c r="A38" s="18"/>
      <c r="B38" s="12"/>
      <c r="C38" s="12"/>
      <c r="D38" s="12"/>
      <c r="E38" s="12"/>
      <c r="F38" s="12"/>
      <c r="G38" s="12"/>
      <c r="H38" s="12"/>
      <c r="I38" s="12"/>
      <c r="J38" s="12"/>
      <c r="K38" s="12"/>
      <c r="L38" s="19"/>
      <c r="M38" s="19"/>
      <c r="N38" s="19"/>
      <c r="O38" s="19"/>
      <c r="P38" s="19"/>
      <c r="Q38" s="12"/>
      <c r="R38" s="12"/>
      <c r="S38" s="12"/>
      <c r="T38" s="12"/>
      <c r="U38" s="19"/>
      <c r="V38" s="12"/>
      <c r="W38" s="12"/>
      <c r="X38" s="12"/>
      <c r="Y38" s="12"/>
      <c r="Z38" s="12"/>
    </row>
    <row r="39">
      <c r="A39" s="18"/>
      <c r="B39" s="12"/>
      <c r="C39" s="12"/>
      <c r="D39" s="12"/>
      <c r="E39" s="12"/>
      <c r="F39" s="12"/>
      <c r="G39" s="12"/>
      <c r="H39" s="12"/>
      <c r="I39" s="12"/>
      <c r="J39" s="12"/>
      <c r="K39" s="12"/>
      <c r="L39" s="19"/>
      <c r="M39" s="19"/>
      <c r="N39" s="19"/>
      <c r="O39" s="19"/>
      <c r="P39" s="19"/>
      <c r="Q39" s="12"/>
      <c r="R39" s="12"/>
      <c r="S39" s="12"/>
      <c r="T39" s="12"/>
      <c r="U39" s="19"/>
      <c r="V39" s="12"/>
      <c r="W39" s="12"/>
      <c r="X39" s="12"/>
      <c r="Y39" s="12"/>
      <c r="Z39" s="12"/>
    </row>
    <row r="40">
      <c r="A40" s="18"/>
      <c r="B40" s="12"/>
      <c r="C40" s="12"/>
      <c r="D40" s="12"/>
      <c r="E40" s="12"/>
      <c r="F40" s="12"/>
      <c r="G40" s="12"/>
      <c r="H40" s="12"/>
      <c r="I40" s="12"/>
      <c r="J40" s="12"/>
      <c r="K40" s="12"/>
      <c r="L40" s="19"/>
      <c r="M40" s="19"/>
      <c r="N40" s="19"/>
      <c r="O40" s="19"/>
      <c r="P40" s="19"/>
      <c r="Q40" s="12"/>
      <c r="R40" s="12"/>
      <c r="S40" s="12"/>
      <c r="T40" s="12"/>
      <c r="U40" s="19"/>
      <c r="V40" s="12"/>
      <c r="W40" s="12"/>
      <c r="X40" s="12"/>
      <c r="Y40" s="12"/>
      <c r="Z40" s="12"/>
    </row>
    <row r="41">
      <c r="A41" s="18"/>
      <c r="B41" s="12"/>
      <c r="C41" s="12"/>
      <c r="D41" s="12"/>
      <c r="E41" s="12"/>
      <c r="F41" s="12"/>
      <c r="G41" s="12"/>
      <c r="H41" s="12"/>
      <c r="I41" s="12"/>
      <c r="J41" s="12"/>
      <c r="K41" s="12"/>
      <c r="L41" s="19"/>
      <c r="M41" s="19"/>
      <c r="N41" s="19"/>
      <c r="O41" s="19"/>
      <c r="P41" s="19"/>
      <c r="Q41" s="12"/>
      <c r="R41" s="12"/>
      <c r="S41" s="12"/>
      <c r="T41" s="12"/>
      <c r="U41" s="19"/>
      <c r="V41" s="12"/>
      <c r="W41" s="12"/>
      <c r="X41" s="12"/>
      <c r="Y41" s="12"/>
      <c r="Z41" s="12"/>
    </row>
    <row r="42">
      <c r="A42" s="18"/>
      <c r="B42" s="12"/>
      <c r="C42" s="12"/>
      <c r="D42" s="12"/>
      <c r="E42" s="12"/>
      <c r="F42" s="12"/>
      <c r="G42" s="12"/>
      <c r="H42" s="12"/>
      <c r="I42" s="12"/>
      <c r="J42" s="12"/>
      <c r="K42" s="12"/>
      <c r="L42" s="19"/>
      <c r="M42" s="19"/>
      <c r="N42" s="19"/>
      <c r="O42" s="19"/>
      <c r="P42" s="19"/>
      <c r="Q42" s="12"/>
      <c r="R42" s="12"/>
      <c r="S42" s="12"/>
      <c r="T42" s="12"/>
      <c r="U42" s="19"/>
      <c r="V42" s="12"/>
      <c r="W42" s="12"/>
      <c r="X42" s="12"/>
      <c r="Y42" s="12"/>
      <c r="Z42" s="12"/>
    </row>
    <row r="43">
      <c r="A43" s="18"/>
      <c r="B43" s="12"/>
      <c r="C43" s="12"/>
      <c r="D43" s="12"/>
      <c r="E43" s="12"/>
      <c r="F43" s="12"/>
      <c r="G43" s="12"/>
      <c r="H43" s="12"/>
      <c r="I43" s="12"/>
      <c r="J43" s="12"/>
      <c r="K43" s="12"/>
      <c r="L43" s="19"/>
      <c r="M43" s="19"/>
      <c r="N43" s="19"/>
      <c r="O43" s="19"/>
      <c r="P43" s="19"/>
      <c r="Q43" s="12"/>
      <c r="R43" s="12"/>
      <c r="S43" s="12"/>
      <c r="T43" s="12"/>
      <c r="U43" s="19"/>
      <c r="V43" s="12"/>
      <c r="W43" s="12"/>
      <c r="X43" s="12"/>
      <c r="Y43" s="12"/>
      <c r="Z43" s="12"/>
    </row>
    <row r="44">
      <c r="A44" s="18"/>
      <c r="B44" s="12"/>
      <c r="C44" s="12"/>
      <c r="D44" s="12"/>
      <c r="E44" s="12"/>
      <c r="F44" s="12"/>
      <c r="G44" s="12"/>
      <c r="H44" s="12"/>
      <c r="I44" s="12"/>
      <c r="J44" s="12"/>
      <c r="K44" s="12"/>
      <c r="L44" s="19"/>
      <c r="M44" s="19"/>
      <c r="N44" s="19"/>
      <c r="O44" s="19"/>
      <c r="P44" s="19"/>
      <c r="Q44" s="12"/>
      <c r="R44" s="12"/>
      <c r="S44" s="12"/>
      <c r="T44" s="12"/>
      <c r="U44" s="19"/>
      <c r="V44" s="12"/>
      <c r="W44" s="12"/>
      <c r="X44" s="12"/>
      <c r="Y44" s="12"/>
      <c r="Z44" s="12"/>
    </row>
    <row r="45">
      <c r="A45" s="18"/>
      <c r="B45" s="12"/>
      <c r="C45" s="12"/>
      <c r="D45" s="12"/>
      <c r="E45" s="12"/>
      <c r="F45" s="12"/>
      <c r="G45" s="12"/>
      <c r="H45" s="12"/>
      <c r="I45" s="12"/>
      <c r="J45" s="12"/>
      <c r="K45" s="12"/>
      <c r="L45" s="19"/>
      <c r="M45" s="19"/>
      <c r="N45" s="19"/>
      <c r="O45" s="19"/>
      <c r="P45" s="19"/>
      <c r="Q45" s="12"/>
      <c r="R45" s="12"/>
      <c r="S45" s="12"/>
      <c r="T45" s="12"/>
      <c r="U45" s="19"/>
      <c r="V45" s="12"/>
      <c r="W45" s="12"/>
      <c r="X45" s="12"/>
      <c r="Y45" s="12"/>
      <c r="Z45" s="12"/>
    </row>
    <row r="46">
      <c r="A46" s="18"/>
      <c r="B46" s="12"/>
      <c r="C46" s="12"/>
      <c r="D46" s="12"/>
      <c r="E46" s="12"/>
      <c r="F46" s="12"/>
      <c r="G46" s="12"/>
      <c r="H46" s="12"/>
      <c r="I46" s="12"/>
      <c r="J46" s="12"/>
      <c r="K46" s="12"/>
      <c r="L46" s="19"/>
      <c r="M46" s="19"/>
      <c r="N46" s="19"/>
      <c r="O46" s="19"/>
      <c r="P46" s="19"/>
      <c r="Q46" s="12"/>
      <c r="R46" s="12"/>
      <c r="S46" s="12"/>
      <c r="T46" s="12"/>
      <c r="U46" s="19"/>
      <c r="V46" s="12"/>
      <c r="W46" s="12"/>
      <c r="X46" s="12"/>
      <c r="Y46" s="12"/>
      <c r="Z46" s="12"/>
    </row>
    <row r="47">
      <c r="A47" s="18"/>
      <c r="B47" s="12"/>
      <c r="C47" s="12"/>
      <c r="D47" s="12"/>
      <c r="E47" s="12"/>
      <c r="F47" s="12"/>
      <c r="G47" s="12"/>
      <c r="H47" s="12"/>
      <c r="I47" s="12"/>
      <c r="J47" s="12"/>
      <c r="K47" s="12"/>
      <c r="L47" s="19"/>
      <c r="M47" s="19"/>
      <c r="N47" s="19"/>
      <c r="O47" s="19"/>
      <c r="P47" s="19"/>
      <c r="Q47" s="12"/>
      <c r="R47" s="12"/>
      <c r="S47" s="12"/>
      <c r="T47" s="12"/>
      <c r="U47" s="19"/>
      <c r="V47" s="12"/>
      <c r="W47" s="12"/>
      <c r="X47" s="12"/>
      <c r="Y47" s="12"/>
      <c r="Z47" s="12"/>
    </row>
    <row r="48">
      <c r="A48" s="18"/>
      <c r="B48" s="12"/>
      <c r="C48" s="12"/>
      <c r="D48" s="12"/>
      <c r="E48" s="12"/>
      <c r="F48" s="12"/>
      <c r="G48" s="12"/>
      <c r="H48" s="12"/>
      <c r="I48" s="12"/>
      <c r="J48" s="12"/>
      <c r="K48" s="12"/>
      <c r="L48" s="19"/>
      <c r="M48" s="19"/>
      <c r="N48" s="19"/>
      <c r="O48" s="19"/>
      <c r="P48" s="19"/>
      <c r="Q48" s="12"/>
      <c r="R48" s="12"/>
      <c r="S48" s="12"/>
      <c r="T48" s="12"/>
      <c r="U48" s="19"/>
      <c r="V48" s="12"/>
      <c r="W48" s="12"/>
      <c r="X48" s="12"/>
      <c r="Y48" s="12"/>
      <c r="Z48" s="12"/>
    </row>
    <row r="49">
      <c r="A49" s="18"/>
      <c r="B49" s="12"/>
      <c r="C49" s="12"/>
      <c r="D49" s="12"/>
      <c r="E49" s="12"/>
      <c r="F49" s="12"/>
      <c r="G49" s="12"/>
      <c r="H49" s="12"/>
      <c r="I49" s="12"/>
      <c r="J49" s="12"/>
      <c r="K49" s="12"/>
      <c r="L49" s="19"/>
      <c r="M49" s="19"/>
      <c r="N49" s="19"/>
      <c r="O49" s="19"/>
      <c r="P49" s="19"/>
      <c r="Q49" s="12"/>
      <c r="R49" s="12"/>
      <c r="S49" s="12"/>
      <c r="T49" s="12"/>
      <c r="U49" s="19"/>
      <c r="V49" s="12"/>
      <c r="W49" s="12"/>
      <c r="X49" s="12"/>
      <c r="Y49" s="12"/>
      <c r="Z49" s="12"/>
    </row>
    <row r="50">
      <c r="A50" s="18"/>
      <c r="B50" s="12"/>
      <c r="C50" s="12"/>
      <c r="D50" s="12"/>
      <c r="E50" s="12"/>
      <c r="F50" s="12"/>
      <c r="G50" s="12"/>
      <c r="H50" s="12"/>
      <c r="I50" s="12"/>
      <c r="J50" s="12"/>
      <c r="K50" s="12"/>
      <c r="L50" s="19"/>
      <c r="M50" s="19"/>
      <c r="N50" s="19"/>
      <c r="O50" s="19"/>
      <c r="P50" s="19"/>
      <c r="Q50" s="12"/>
      <c r="R50" s="12"/>
      <c r="S50" s="12"/>
      <c r="T50" s="12"/>
      <c r="U50" s="19"/>
      <c r="V50" s="12"/>
      <c r="W50" s="12"/>
      <c r="X50" s="12"/>
      <c r="Y50" s="12"/>
      <c r="Z50" s="12"/>
    </row>
    <row r="51">
      <c r="A51" s="18"/>
      <c r="B51" s="12"/>
      <c r="C51" s="12"/>
      <c r="D51" s="12"/>
      <c r="E51" s="12"/>
      <c r="F51" s="12"/>
      <c r="G51" s="12"/>
      <c r="H51" s="12"/>
      <c r="I51" s="12"/>
      <c r="J51" s="12"/>
      <c r="K51" s="12"/>
      <c r="L51" s="19"/>
      <c r="M51" s="19"/>
      <c r="N51" s="19"/>
      <c r="O51" s="19"/>
      <c r="P51" s="19"/>
      <c r="Q51" s="12"/>
      <c r="R51" s="12"/>
      <c r="S51" s="12"/>
      <c r="T51" s="12"/>
      <c r="U51" s="19"/>
      <c r="V51" s="12"/>
      <c r="W51" s="12"/>
      <c r="X51" s="12"/>
      <c r="Y51" s="12"/>
      <c r="Z51" s="12"/>
    </row>
    <row r="52">
      <c r="A52" s="18"/>
      <c r="B52" s="12"/>
      <c r="C52" s="12"/>
      <c r="D52" s="12"/>
      <c r="E52" s="12"/>
      <c r="F52" s="12"/>
      <c r="G52" s="12"/>
      <c r="H52" s="12"/>
      <c r="I52" s="12"/>
      <c r="J52" s="12"/>
      <c r="K52" s="12"/>
      <c r="L52" s="19"/>
      <c r="M52" s="19"/>
      <c r="N52" s="19"/>
      <c r="O52" s="19"/>
      <c r="P52" s="19"/>
      <c r="Q52" s="12"/>
      <c r="R52" s="12"/>
      <c r="S52" s="12"/>
      <c r="T52" s="12"/>
      <c r="U52" s="19"/>
      <c r="V52" s="12"/>
      <c r="W52" s="12"/>
      <c r="X52" s="12"/>
      <c r="Y52" s="12"/>
      <c r="Z52" s="12"/>
    </row>
    <row r="53">
      <c r="A53" s="18"/>
      <c r="B53" s="12"/>
      <c r="C53" s="12"/>
      <c r="D53" s="12"/>
      <c r="E53" s="12"/>
      <c r="F53" s="12"/>
      <c r="G53" s="12"/>
      <c r="H53" s="12"/>
      <c r="I53" s="12"/>
      <c r="J53" s="12"/>
      <c r="K53" s="12"/>
      <c r="L53" s="19"/>
      <c r="M53" s="19"/>
      <c r="N53" s="19"/>
      <c r="O53" s="19"/>
      <c r="P53" s="19"/>
      <c r="Q53" s="12"/>
      <c r="R53" s="12"/>
      <c r="S53" s="12"/>
      <c r="T53" s="12"/>
      <c r="U53" s="19"/>
      <c r="V53" s="12"/>
      <c r="W53" s="12"/>
      <c r="X53" s="12"/>
      <c r="Y53" s="12"/>
      <c r="Z53" s="12"/>
    </row>
    <row r="54">
      <c r="A54" s="18"/>
      <c r="B54" s="12"/>
      <c r="C54" s="12"/>
      <c r="D54" s="12"/>
      <c r="E54" s="12"/>
      <c r="F54" s="12"/>
      <c r="G54" s="12"/>
      <c r="H54" s="12"/>
      <c r="I54" s="12"/>
      <c r="J54" s="12"/>
      <c r="K54" s="12"/>
      <c r="L54" s="19"/>
      <c r="M54" s="19"/>
      <c r="N54" s="19"/>
      <c r="O54" s="19"/>
      <c r="P54" s="19"/>
      <c r="Q54" s="12"/>
      <c r="R54" s="12"/>
      <c r="S54" s="12"/>
      <c r="T54" s="12"/>
      <c r="U54" s="19"/>
      <c r="V54" s="12"/>
      <c r="W54" s="12"/>
      <c r="X54" s="12"/>
      <c r="Y54" s="12"/>
      <c r="Z54" s="12"/>
    </row>
    <row r="55">
      <c r="A55" s="18"/>
      <c r="B55" s="12"/>
      <c r="C55" s="12"/>
      <c r="D55" s="12"/>
      <c r="E55" s="12"/>
      <c r="F55" s="12"/>
      <c r="G55" s="12"/>
      <c r="H55" s="12"/>
      <c r="I55" s="12"/>
      <c r="J55" s="12"/>
      <c r="K55" s="12"/>
      <c r="L55" s="19"/>
      <c r="M55" s="19"/>
      <c r="N55" s="19"/>
      <c r="O55" s="19"/>
      <c r="P55" s="19"/>
      <c r="Q55" s="12"/>
      <c r="R55" s="12"/>
      <c r="S55" s="12"/>
      <c r="T55" s="12"/>
      <c r="U55" s="19"/>
      <c r="V55" s="12"/>
      <c r="W55" s="12"/>
      <c r="X55" s="12"/>
      <c r="Y55" s="12"/>
      <c r="Z55" s="12"/>
    </row>
    <row r="56">
      <c r="A56" s="18"/>
      <c r="B56" s="12"/>
      <c r="C56" s="12"/>
      <c r="D56" s="12"/>
      <c r="E56" s="12"/>
      <c r="F56" s="12"/>
      <c r="G56" s="12"/>
      <c r="H56" s="12"/>
      <c r="I56" s="12"/>
      <c r="J56" s="12"/>
      <c r="K56" s="12"/>
      <c r="L56" s="19"/>
      <c r="M56" s="19"/>
      <c r="N56" s="19"/>
      <c r="O56" s="19"/>
      <c r="P56" s="19"/>
      <c r="Q56" s="12"/>
      <c r="R56" s="12"/>
      <c r="S56" s="12"/>
      <c r="T56" s="12"/>
      <c r="U56" s="19"/>
      <c r="V56" s="12"/>
      <c r="W56" s="12"/>
      <c r="X56" s="12"/>
      <c r="Y56" s="12"/>
      <c r="Z56" s="12"/>
    </row>
    <row r="57">
      <c r="A57" s="18"/>
      <c r="B57" s="12"/>
      <c r="C57" s="12"/>
      <c r="D57" s="12"/>
      <c r="E57" s="12"/>
      <c r="F57" s="12"/>
      <c r="G57" s="12"/>
      <c r="H57" s="12"/>
      <c r="I57" s="12"/>
      <c r="J57" s="12"/>
      <c r="K57" s="12"/>
      <c r="L57" s="19"/>
      <c r="M57" s="19"/>
      <c r="N57" s="19"/>
      <c r="O57" s="19"/>
      <c r="P57" s="19"/>
      <c r="Q57" s="12"/>
      <c r="R57" s="12"/>
      <c r="S57" s="12"/>
      <c r="T57" s="12"/>
      <c r="U57" s="19"/>
      <c r="V57" s="12"/>
      <c r="W57" s="12"/>
      <c r="X57" s="12"/>
      <c r="Y57" s="12"/>
      <c r="Z57" s="12"/>
    </row>
    <row r="58">
      <c r="A58" s="18"/>
      <c r="B58" s="12"/>
      <c r="C58" s="12"/>
      <c r="D58" s="12"/>
      <c r="E58" s="12"/>
      <c r="F58" s="12"/>
      <c r="G58" s="12"/>
      <c r="H58" s="12"/>
      <c r="I58" s="12"/>
      <c r="J58" s="12"/>
      <c r="K58" s="12"/>
      <c r="L58" s="19"/>
      <c r="M58" s="19"/>
      <c r="N58" s="19"/>
      <c r="O58" s="19"/>
      <c r="P58" s="19"/>
      <c r="Q58" s="12"/>
      <c r="R58" s="12"/>
      <c r="S58" s="12"/>
      <c r="T58" s="12"/>
      <c r="U58" s="19"/>
      <c r="V58" s="12"/>
      <c r="W58" s="12"/>
      <c r="X58" s="12"/>
      <c r="Y58" s="12"/>
      <c r="Z58" s="12"/>
    </row>
    <row r="59">
      <c r="A59" s="18"/>
      <c r="B59" s="12"/>
      <c r="C59" s="12"/>
      <c r="D59" s="12"/>
      <c r="E59" s="12"/>
      <c r="F59" s="12"/>
      <c r="G59" s="12"/>
      <c r="H59" s="12"/>
      <c r="I59" s="12"/>
      <c r="J59" s="12"/>
      <c r="K59" s="12"/>
      <c r="L59" s="19"/>
      <c r="M59" s="19"/>
      <c r="N59" s="19"/>
      <c r="O59" s="19"/>
      <c r="P59" s="19"/>
      <c r="Q59" s="12"/>
      <c r="R59" s="12"/>
      <c r="S59" s="12"/>
      <c r="T59" s="12"/>
      <c r="U59" s="19"/>
      <c r="V59" s="12"/>
      <c r="W59" s="12"/>
      <c r="X59" s="12"/>
      <c r="Y59" s="12"/>
      <c r="Z59" s="12"/>
    </row>
    <row r="60">
      <c r="A60" s="18"/>
      <c r="B60" s="12"/>
      <c r="C60" s="12"/>
      <c r="D60" s="12"/>
      <c r="E60" s="12"/>
      <c r="F60" s="12"/>
      <c r="G60" s="12"/>
      <c r="H60" s="12"/>
      <c r="I60" s="12"/>
      <c r="J60" s="12"/>
      <c r="K60" s="12"/>
      <c r="L60" s="19"/>
      <c r="M60" s="19"/>
      <c r="N60" s="19"/>
      <c r="O60" s="19"/>
      <c r="P60" s="19"/>
      <c r="Q60" s="12"/>
      <c r="R60" s="12"/>
      <c r="S60" s="12"/>
      <c r="T60" s="12"/>
      <c r="U60" s="19"/>
      <c r="V60" s="12"/>
      <c r="W60" s="12"/>
      <c r="X60" s="12"/>
      <c r="Y60" s="12"/>
      <c r="Z60" s="12"/>
    </row>
    <row r="61">
      <c r="A61" s="18"/>
      <c r="B61" s="12"/>
      <c r="C61" s="12"/>
      <c r="D61" s="12"/>
      <c r="E61" s="12"/>
      <c r="F61" s="12"/>
      <c r="G61" s="12"/>
      <c r="H61" s="12"/>
      <c r="I61" s="12"/>
      <c r="J61" s="12"/>
      <c r="K61" s="12"/>
      <c r="L61" s="19"/>
      <c r="M61" s="19"/>
      <c r="N61" s="19"/>
      <c r="O61" s="19"/>
      <c r="P61" s="19"/>
      <c r="Q61" s="12"/>
      <c r="R61" s="12"/>
      <c r="S61" s="12"/>
      <c r="T61" s="12"/>
      <c r="U61" s="19"/>
      <c r="V61" s="12"/>
      <c r="W61" s="12"/>
      <c r="X61" s="12"/>
      <c r="Y61" s="12"/>
      <c r="Z61" s="12"/>
    </row>
    <row r="62">
      <c r="A62" s="18"/>
      <c r="B62" s="12"/>
      <c r="C62" s="12"/>
      <c r="D62" s="12"/>
      <c r="E62" s="12"/>
      <c r="F62" s="12"/>
      <c r="G62" s="12"/>
      <c r="H62" s="12"/>
      <c r="I62" s="12"/>
      <c r="J62" s="12"/>
      <c r="K62" s="12"/>
      <c r="L62" s="19"/>
      <c r="M62" s="19"/>
      <c r="N62" s="19"/>
      <c r="O62" s="19"/>
      <c r="P62" s="19"/>
      <c r="Q62" s="12"/>
      <c r="R62" s="12"/>
      <c r="S62" s="12"/>
      <c r="T62" s="12"/>
      <c r="U62" s="19"/>
      <c r="V62" s="12"/>
      <c r="W62" s="12"/>
      <c r="X62" s="12"/>
      <c r="Y62" s="12"/>
      <c r="Z62" s="12"/>
    </row>
    <row r="63">
      <c r="A63" s="18"/>
      <c r="B63" s="12"/>
      <c r="C63" s="12"/>
      <c r="D63" s="12"/>
      <c r="E63" s="12"/>
      <c r="F63" s="12"/>
      <c r="G63" s="12"/>
      <c r="H63" s="12"/>
      <c r="I63" s="12"/>
      <c r="J63" s="12"/>
      <c r="K63" s="12"/>
      <c r="L63" s="19"/>
      <c r="M63" s="19"/>
      <c r="N63" s="19"/>
      <c r="O63" s="19"/>
      <c r="P63" s="19"/>
      <c r="Q63" s="12"/>
      <c r="R63" s="12"/>
      <c r="S63" s="12"/>
      <c r="T63" s="12"/>
      <c r="U63" s="19"/>
      <c r="V63" s="12"/>
      <c r="W63" s="12"/>
      <c r="X63" s="12"/>
      <c r="Y63" s="12"/>
      <c r="Z63" s="12"/>
    </row>
    <row r="64">
      <c r="A64" s="18"/>
      <c r="B64" s="12"/>
      <c r="C64" s="12"/>
      <c r="D64" s="12"/>
      <c r="E64" s="12"/>
      <c r="F64" s="12"/>
      <c r="G64" s="12"/>
      <c r="H64" s="12"/>
      <c r="I64" s="12"/>
      <c r="J64" s="12"/>
      <c r="K64" s="12"/>
      <c r="L64" s="19"/>
      <c r="M64" s="19"/>
      <c r="N64" s="19"/>
      <c r="O64" s="19"/>
      <c r="P64" s="19"/>
      <c r="Q64" s="12"/>
      <c r="R64" s="12"/>
      <c r="S64" s="12"/>
      <c r="T64" s="12"/>
      <c r="U64" s="19"/>
      <c r="V64" s="12"/>
      <c r="W64" s="12"/>
      <c r="X64" s="12"/>
      <c r="Y64" s="12"/>
      <c r="Z64" s="12"/>
    </row>
    <row r="65">
      <c r="A65" s="18"/>
      <c r="B65" s="12"/>
      <c r="C65" s="12"/>
      <c r="D65" s="12"/>
      <c r="E65" s="12"/>
      <c r="F65" s="12"/>
      <c r="G65" s="12"/>
      <c r="H65" s="12"/>
      <c r="I65" s="12"/>
      <c r="J65" s="12"/>
      <c r="K65" s="12"/>
      <c r="L65" s="19"/>
      <c r="M65" s="19"/>
      <c r="N65" s="19"/>
      <c r="O65" s="19"/>
      <c r="P65" s="19"/>
      <c r="Q65" s="12"/>
      <c r="R65" s="12"/>
      <c r="S65" s="12"/>
      <c r="T65" s="12"/>
      <c r="U65" s="19"/>
      <c r="V65" s="12"/>
      <c r="W65" s="12"/>
      <c r="X65" s="12"/>
      <c r="Y65" s="12"/>
      <c r="Z65" s="12"/>
    </row>
    <row r="66">
      <c r="A66" s="18"/>
      <c r="B66" s="12"/>
      <c r="C66" s="12"/>
      <c r="D66" s="12"/>
      <c r="E66" s="12"/>
      <c r="F66" s="12"/>
      <c r="G66" s="12"/>
      <c r="H66" s="12"/>
      <c r="I66" s="12"/>
      <c r="J66" s="12"/>
      <c r="K66" s="12"/>
      <c r="L66" s="19"/>
      <c r="M66" s="19"/>
      <c r="N66" s="19"/>
      <c r="O66" s="19"/>
      <c r="P66" s="19"/>
      <c r="Q66" s="12"/>
      <c r="R66" s="12"/>
      <c r="S66" s="12"/>
      <c r="T66" s="12"/>
      <c r="U66" s="19"/>
      <c r="V66" s="12"/>
      <c r="W66" s="12"/>
      <c r="X66" s="12"/>
      <c r="Y66" s="12"/>
      <c r="Z66" s="12"/>
    </row>
    <row r="67">
      <c r="A67" s="18"/>
      <c r="B67" s="12"/>
      <c r="C67" s="12"/>
      <c r="D67" s="12"/>
      <c r="E67" s="12"/>
      <c r="F67" s="12"/>
      <c r="G67" s="12"/>
      <c r="H67" s="12"/>
      <c r="I67" s="12"/>
      <c r="J67" s="12"/>
      <c r="K67" s="12"/>
      <c r="L67" s="19"/>
      <c r="M67" s="19"/>
      <c r="N67" s="19"/>
      <c r="O67" s="19"/>
      <c r="P67" s="19"/>
      <c r="Q67" s="12"/>
      <c r="R67" s="12"/>
      <c r="S67" s="12"/>
      <c r="T67" s="12"/>
      <c r="U67" s="19"/>
      <c r="V67" s="12"/>
      <c r="W67" s="12"/>
      <c r="X67" s="12"/>
      <c r="Y67" s="12"/>
      <c r="Z67" s="12"/>
    </row>
    <row r="68">
      <c r="A68" s="18"/>
      <c r="B68" s="12"/>
      <c r="C68" s="12"/>
      <c r="D68" s="12"/>
      <c r="E68" s="12"/>
      <c r="F68" s="12"/>
      <c r="G68" s="12"/>
      <c r="H68" s="12"/>
      <c r="I68" s="12"/>
      <c r="J68" s="12"/>
      <c r="K68" s="12"/>
      <c r="L68" s="19"/>
      <c r="M68" s="19"/>
      <c r="N68" s="19"/>
      <c r="O68" s="19"/>
      <c r="P68" s="19"/>
      <c r="Q68" s="12"/>
      <c r="R68" s="12"/>
      <c r="S68" s="12"/>
      <c r="T68" s="12"/>
      <c r="U68" s="19"/>
      <c r="V68" s="12"/>
      <c r="W68" s="12"/>
      <c r="X68" s="12"/>
      <c r="Y68" s="12"/>
      <c r="Z68" s="12"/>
    </row>
    <row r="69">
      <c r="A69" s="18"/>
      <c r="B69" s="12"/>
      <c r="C69" s="12"/>
      <c r="D69" s="12"/>
      <c r="E69" s="12"/>
      <c r="F69" s="12"/>
      <c r="G69" s="12"/>
      <c r="H69" s="12"/>
      <c r="I69" s="12"/>
      <c r="J69" s="12"/>
      <c r="K69" s="12"/>
      <c r="L69" s="19"/>
      <c r="M69" s="19"/>
      <c r="N69" s="19"/>
      <c r="O69" s="19"/>
      <c r="P69" s="19"/>
      <c r="Q69" s="12"/>
      <c r="R69" s="12"/>
      <c r="S69" s="12"/>
      <c r="T69" s="12"/>
      <c r="U69" s="19"/>
      <c r="V69" s="12"/>
      <c r="W69" s="12"/>
      <c r="X69" s="12"/>
      <c r="Y69" s="12"/>
      <c r="Z69" s="12"/>
    </row>
    <row r="70">
      <c r="A70" s="18"/>
      <c r="B70" s="12"/>
      <c r="C70" s="12"/>
      <c r="D70" s="12"/>
      <c r="E70" s="12"/>
      <c r="F70" s="12"/>
      <c r="G70" s="12"/>
      <c r="H70" s="12"/>
      <c r="I70" s="12"/>
      <c r="J70" s="12"/>
      <c r="K70" s="12"/>
      <c r="L70" s="19"/>
      <c r="M70" s="19"/>
      <c r="N70" s="19"/>
      <c r="O70" s="19"/>
      <c r="P70" s="19"/>
      <c r="Q70" s="12"/>
      <c r="R70" s="12"/>
      <c r="S70" s="12"/>
      <c r="T70" s="12"/>
      <c r="U70" s="19"/>
      <c r="V70" s="12"/>
      <c r="W70" s="12"/>
      <c r="X70" s="12"/>
      <c r="Y70" s="12"/>
      <c r="Z70" s="12"/>
    </row>
    <row r="71">
      <c r="A71" s="18"/>
      <c r="B71" s="12"/>
      <c r="C71" s="12"/>
      <c r="D71" s="12"/>
      <c r="E71" s="12"/>
      <c r="F71" s="12"/>
      <c r="G71" s="12"/>
      <c r="H71" s="12"/>
      <c r="I71" s="12"/>
      <c r="J71" s="12"/>
      <c r="K71" s="12"/>
      <c r="L71" s="19"/>
      <c r="M71" s="19"/>
      <c r="N71" s="19"/>
      <c r="O71" s="19"/>
      <c r="P71" s="19"/>
      <c r="Q71" s="12"/>
      <c r="R71" s="12"/>
      <c r="S71" s="12"/>
      <c r="T71" s="12"/>
      <c r="U71" s="19"/>
      <c r="V71" s="12"/>
      <c r="W71" s="12"/>
      <c r="X71" s="12"/>
      <c r="Y71" s="12"/>
      <c r="Z71" s="12"/>
    </row>
    <row r="72">
      <c r="A72" s="18"/>
      <c r="B72" s="12"/>
      <c r="C72" s="12"/>
      <c r="D72" s="12"/>
      <c r="E72" s="12"/>
      <c r="F72" s="12"/>
      <c r="G72" s="12"/>
      <c r="H72" s="12"/>
      <c r="I72" s="12"/>
      <c r="J72" s="12"/>
      <c r="K72" s="12"/>
      <c r="L72" s="19"/>
      <c r="M72" s="19"/>
      <c r="N72" s="19"/>
      <c r="O72" s="19"/>
      <c r="P72" s="19"/>
      <c r="Q72" s="12"/>
      <c r="R72" s="12"/>
      <c r="S72" s="12"/>
      <c r="T72" s="12"/>
      <c r="U72" s="19"/>
      <c r="V72" s="12"/>
      <c r="W72" s="12"/>
      <c r="X72" s="12"/>
      <c r="Y72" s="12"/>
      <c r="Z72" s="12"/>
    </row>
    <row r="73">
      <c r="A73" s="18"/>
      <c r="B73" s="12"/>
      <c r="C73" s="12"/>
      <c r="D73" s="12"/>
      <c r="E73" s="12"/>
      <c r="F73" s="12"/>
      <c r="G73" s="12"/>
      <c r="H73" s="12"/>
      <c r="I73" s="12"/>
      <c r="J73" s="12"/>
      <c r="K73" s="12"/>
      <c r="L73" s="19"/>
      <c r="M73" s="19"/>
      <c r="N73" s="19"/>
      <c r="O73" s="19"/>
      <c r="P73" s="19"/>
      <c r="Q73" s="12"/>
      <c r="R73" s="12"/>
      <c r="S73" s="12"/>
      <c r="T73" s="12"/>
      <c r="U73" s="19"/>
      <c r="V73" s="12"/>
      <c r="W73" s="12"/>
      <c r="X73" s="12"/>
      <c r="Y73" s="12"/>
      <c r="Z73" s="12"/>
    </row>
    <row r="74">
      <c r="A74" s="18"/>
      <c r="B74" s="12"/>
      <c r="C74" s="12"/>
      <c r="D74" s="12"/>
      <c r="E74" s="12"/>
      <c r="F74" s="12"/>
      <c r="G74" s="12"/>
      <c r="H74" s="12"/>
      <c r="I74" s="12"/>
      <c r="J74" s="12"/>
      <c r="K74" s="12"/>
      <c r="L74" s="19"/>
      <c r="M74" s="19"/>
      <c r="N74" s="19"/>
      <c r="O74" s="19"/>
      <c r="P74" s="19"/>
      <c r="Q74" s="12"/>
      <c r="R74" s="12"/>
      <c r="S74" s="12"/>
      <c r="T74" s="12"/>
      <c r="U74" s="19"/>
      <c r="V74" s="12"/>
      <c r="W74" s="12"/>
      <c r="X74" s="12"/>
      <c r="Y74" s="12"/>
      <c r="Z74" s="12"/>
    </row>
    <row r="75">
      <c r="A75" s="18"/>
      <c r="B75" s="12"/>
      <c r="C75" s="12"/>
      <c r="D75" s="12"/>
      <c r="E75" s="12"/>
      <c r="F75" s="12"/>
      <c r="G75" s="12"/>
      <c r="H75" s="12"/>
      <c r="I75" s="12"/>
      <c r="J75" s="12"/>
      <c r="K75" s="12"/>
      <c r="L75" s="19"/>
      <c r="M75" s="19"/>
      <c r="N75" s="19"/>
      <c r="O75" s="19"/>
      <c r="P75" s="19"/>
      <c r="Q75" s="12"/>
      <c r="R75" s="12"/>
      <c r="S75" s="12"/>
      <c r="T75" s="12"/>
      <c r="U75" s="19"/>
      <c r="V75" s="12"/>
      <c r="W75" s="12"/>
      <c r="X75" s="12"/>
      <c r="Y75" s="12"/>
      <c r="Z75" s="12"/>
    </row>
    <row r="76">
      <c r="A76" s="18"/>
      <c r="B76" s="12"/>
      <c r="C76" s="12"/>
      <c r="D76" s="12"/>
      <c r="E76" s="12"/>
      <c r="F76" s="12"/>
      <c r="G76" s="12"/>
      <c r="H76" s="12"/>
      <c r="I76" s="12"/>
      <c r="J76" s="12"/>
      <c r="K76" s="12"/>
      <c r="L76" s="19"/>
      <c r="M76" s="19"/>
      <c r="N76" s="19"/>
      <c r="O76" s="19"/>
      <c r="P76" s="19"/>
      <c r="Q76" s="12"/>
      <c r="R76" s="12"/>
      <c r="S76" s="12"/>
      <c r="T76" s="12"/>
      <c r="U76" s="19"/>
      <c r="V76" s="12"/>
      <c r="W76" s="12"/>
      <c r="X76" s="12"/>
      <c r="Y76" s="12"/>
      <c r="Z76" s="12"/>
    </row>
    <row r="77">
      <c r="A77" s="18"/>
      <c r="B77" s="12"/>
      <c r="C77" s="12"/>
      <c r="D77" s="12"/>
      <c r="E77" s="12"/>
      <c r="F77" s="12"/>
      <c r="G77" s="12"/>
      <c r="H77" s="12"/>
      <c r="I77" s="12"/>
      <c r="J77" s="12"/>
      <c r="K77" s="12"/>
      <c r="L77" s="19"/>
      <c r="M77" s="19"/>
      <c r="N77" s="19"/>
      <c r="O77" s="19"/>
      <c r="P77" s="19"/>
      <c r="Q77" s="12"/>
      <c r="R77" s="12"/>
      <c r="S77" s="12"/>
      <c r="T77" s="12"/>
      <c r="U77" s="19"/>
      <c r="V77" s="12"/>
      <c r="W77" s="12"/>
      <c r="X77" s="12"/>
      <c r="Y77" s="12"/>
      <c r="Z77" s="12"/>
    </row>
    <row r="78">
      <c r="A78" s="18"/>
      <c r="B78" s="12"/>
      <c r="C78" s="12"/>
      <c r="D78" s="12"/>
      <c r="E78" s="12"/>
      <c r="F78" s="12"/>
      <c r="G78" s="12"/>
      <c r="H78" s="12"/>
      <c r="I78" s="12"/>
      <c r="J78" s="12"/>
      <c r="K78" s="12"/>
      <c r="L78" s="19"/>
      <c r="M78" s="19"/>
      <c r="N78" s="19"/>
      <c r="O78" s="19"/>
      <c r="P78" s="19"/>
      <c r="Q78" s="12"/>
      <c r="R78" s="12"/>
      <c r="S78" s="12"/>
      <c r="T78" s="12"/>
      <c r="U78" s="19"/>
      <c r="V78" s="12"/>
      <c r="W78" s="12"/>
      <c r="X78" s="12"/>
      <c r="Y78" s="12"/>
      <c r="Z78" s="12"/>
    </row>
    <row r="79">
      <c r="A79" s="18"/>
      <c r="B79" s="12"/>
      <c r="C79" s="12"/>
      <c r="D79" s="12"/>
      <c r="E79" s="12"/>
      <c r="F79" s="12"/>
      <c r="G79" s="12"/>
      <c r="H79" s="12"/>
      <c r="I79" s="12"/>
      <c r="J79" s="12"/>
      <c r="K79" s="12"/>
      <c r="L79" s="19"/>
      <c r="M79" s="19"/>
      <c r="N79" s="19"/>
      <c r="O79" s="19"/>
      <c r="P79" s="19"/>
      <c r="Q79" s="12"/>
      <c r="R79" s="12"/>
      <c r="S79" s="12"/>
      <c r="T79" s="12"/>
      <c r="U79" s="19"/>
      <c r="V79" s="12"/>
      <c r="W79" s="12"/>
      <c r="X79" s="12"/>
      <c r="Y79" s="12"/>
      <c r="Z79" s="12"/>
    </row>
    <row r="80">
      <c r="A80" s="18"/>
      <c r="B80" s="12"/>
      <c r="C80" s="12"/>
      <c r="D80" s="12"/>
      <c r="E80" s="12"/>
      <c r="F80" s="12"/>
      <c r="G80" s="12"/>
      <c r="H80" s="12"/>
      <c r="I80" s="12"/>
      <c r="J80" s="12"/>
      <c r="K80" s="12"/>
      <c r="L80" s="19"/>
      <c r="M80" s="19"/>
      <c r="N80" s="19"/>
      <c r="O80" s="19"/>
      <c r="P80" s="19"/>
      <c r="Q80" s="12"/>
      <c r="R80" s="12"/>
      <c r="S80" s="12"/>
      <c r="T80" s="12"/>
      <c r="U80" s="19"/>
      <c r="V80" s="12"/>
      <c r="W80" s="12"/>
      <c r="X80" s="12"/>
      <c r="Y80" s="12"/>
      <c r="Z80" s="12"/>
    </row>
    <row r="81">
      <c r="A81" s="18"/>
      <c r="B81" s="12"/>
      <c r="C81" s="12"/>
      <c r="D81" s="12"/>
      <c r="E81" s="12"/>
      <c r="F81" s="12"/>
      <c r="G81" s="12"/>
      <c r="H81" s="12"/>
      <c r="I81" s="12"/>
      <c r="J81" s="12"/>
      <c r="K81" s="12"/>
      <c r="L81" s="19"/>
      <c r="M81" s="19"/>
      <c r="N81" s="19"/>
      <c r="O81" s="19"/>
      <c r="P81" s="19"/>
      <c r="Q81" s="12"/>
      <c r="R81" s="12"/>
      <c r="S81" s="12"/>
      <c r="T81" s="12"/>
      <c r="U81" s="19"/>
      <c r="V81" s="12"/>
      <c r="W81" s="12"/>
      <c r="X81" s="12"/>
      <c r="Y81" s="12"/>
      <c r="Z81" s="12"/>
    </row>
    <row r="82">
      <c r="A82" s="18"/>
      <c r="B82" s="12"/>
      <c r="C82" s="12"/>
      <c r="D82" s="12"/>
      <c r="E82" s="12"/>
      <c r="F82" s="12"/>
      <c r="G82" s="12"/>
      <c r="H82" s="12"/>
      <c r="I82" s="12"/>
      <c r="J82" s="12"/>
      <c r="K82" s="12"/>
      <c r="L82" s="19"/>
      <c r="M82" s="19"/>
      <c r="N82" s="19"/>
      <c r="O82" s="19"/>
      <c r="P82" s="19"/>
      <c r="Q82" s="12"/>
      <c r="R82" s="12"/>
      <c r="S82" s="12"/>
      <c r="T82" s="12"/>
      <c r="U82" s="19"/>
      <c r="V82" s="12"/>
      <c r="W82" s="12"/>
      <c r="X82" s="12"/>
      <c r="Y82" s="12"/>
      <c r="Z82" s="12"/>
    </row>
    <row r="83">
      <c r="A83" s="18"/>
      <c r="B83" s="12"/>
      <c r="C83" s="12"/>
      <c r="D83" s="12"/>
      <c r="E83" s="12"/>
      <c r="F83" s="12"/>
      <c r="G83" s="12"/>
      <c r="H83" s="12"/>
      <c r="I83" s="12"/>
      <c r="J83" s="12"/>
      <c r="K83" s="12"/>
      <c r="L83" s="19"/>
      <c r="M83" s="19"/>
      <c r="N83" s="19"/>
      <c r="O83" s="19"/>
      <c r="P83" s="19"/>
      <c r="Q83" s="12"/>
      <c r="R83" s="12"/>
      <c r="S83" s="12"/>
      <c r="T83" s="12"/>
      <c r="U83" s="19"/>
      <c r="V83" s="12"/>
      <c r="W83" s="12"/>
      <c r="X83" s="12"/>
      <c r="Y83" s="12"/>
      <c r="Z83" s="12"/>
    </row>
    <row r="84">
      <c r="A84" s="18"/>
      <c r="B84" s="12"/>
      <c r="C84" s="12"/>
      <c r="D84" s="12"/>
      <c r="E84" s="12"/>
      <c r="F84" s="12"/>
      <c r="G84" s="12"/>
      <c r="H84" s="12"/>
      <c r="I84" s="12"/>
      <c r="J84" s="12"/>
      <c r="K84" s="12"/>
      <c r="L84" s="19"/>
      <c r="M84" s="19"/>
      <c r="N84" s="19"/>
      <c r="O84" s="19"/>
      <c r="P84" s="19"/>
      <c r="Q84" s="12"/>
      <c r="R84" s="12"/>
      <c r="S84" s="12"/>
      <c r="T84" s="12"/>
      <c r="U84" s="19"/>
      <c r="V84" s="12"/>
      <c r="W84" s="12"/>
      <c r="X84" s="12"/>
      <c r="Y84" s="12"/>
      <c r="Z84" s="12"/>
    </row>
    <row r="85">
      <c r="A85" s="18"/>
      <c r="B85" s="12"/>
      <c r="C85" s="12"/>
      <c r="D85" s="12"/>
      <c r="E85" s="12"/>
      <c r="F85" s="12"/>
      <c r="G85" s="12"/>
      <c r="H85" s="12"/>
      <c r="I85" s="12"/>
      <c r="J85" s="12"/>
      <c r="K85" s="12"/>
      <c r="L85" s="19"/>
      <c r="M85" s="19"/>
      <c r="N85" s="19"/>
      <c r="O85" s="19"/>
      <c r="P85" s="19"/>
      <c r="Q85" s="12"/>
      <c r="R85" s="12"/>
      <c r="S85" s="12"/>
      <c r="T85" s="12"/>
      <c r="U85" s="19"/>
      <c r="V85" s="12"/>
      <c r="W85" s="12"/>
      <c r="X85" s="12"/>
      <c r="Y85" s="12"/>
      <c r="Z85" s="12"/>
    </row>
    <row r="86">
      <c r="A86" s="18"/>
      <c r="B86" s="12"/>
      <c r="C86" s="12"/>
      <c r="D86" s="12"/>
      <c r="E86" s="12"/>
      <c r="F86" s="12"/>
      <c r="G86" s="12"/>
      <c r="H86" s="12"/>
      <c r="I86" s="12"/>
      <c r="J86" s="12"/>
      <c r="K86" s="12"/>
      <c r="L86" s="19"/>
      <c r="M86" s="19"/>
      <c r="N86" s="19"/>
      <c r="O86" s="19"/>
      <c r="P86" s="19"/>
      <c r="Q86" s="12"/>
      <c r="R86" s="12"/>
      <c r="S86" s="12"/>
      <c r="T86" s="12"/>
      <c r="U86" s="19"/>
      <c r="V86" s="12"/>
      <c r="W86" s="12"/>
      <c r="X86" s="12"/>
      <c r="Y86" s="12"/>
      <c r="Z86" s="12"/>
    </row>
    <row r="87">
      <c r="A87" s="18"/>
      <c r="B87" s="12"/>
      <c r="C87" s="12"/>
      <c r="D87" s="12"/>
      <c r="E87" s="12"/>
      <c r="F87" s="12"/>
      <c r="G87" s="12"/>
      <c r="H87" s="12"/>
      <c r="I87" s="12"/>
      <c r="J87" s="12"/>
      <c r="K87" s="12"/>
      <c r="L87" s="19"/>
      <c r="M87" s="19"/>
      <c r="N87" s="19"/>
      <c r="O87" s="19"/>
      <c r="P87" s="19"/>
      <c r="Q87" s="12"/>
      <c r="R87" s="12"/>
      <c r="S87" s="12"/>
      <c r="T87" s="12"/>
      <c r="U87" s="19"/>
      <c r="V87" s="12"/>
      <c r="W87" s="12"/>
      <c r="X87" s="12"/>
      <c r="Y87" s="12"/>
      <c r="Z87" s="12"/>
    </row>
    <row r="88">
      <c r="A88" s="18"/>
      <c r="B88" s="12"/>
      <c r="C88" s="12"/>
      <c r="D88" s="12"/>
      <c r="E88" s="12"/>
      <c r="F88" s="12"/>
      <c r="G88" s="12"/>
      <c r="H88" s="12"/>
      <c r="I88" s="12"/>
      <c r="J88" s="12"/>
      <c r="K88" s="12"/>
      <c r="L88" s="19"/>
      <c r="M88" s="19"/>
      <c r="N88" s="19"/>
      <c r="O88" s="19"/>
      <c r="P88" s="19"/>
      <c r="Q88" s="12"/>
      <c r="R88" s="12"/>
      <c r="S88" s="12"/>
      <c r="T88" s="12"/>
      <c r="U88" s="19"/>
      <c r="V88" s="12"/>
      <c r="W88" s="12"/>
      <c r="X88" s="12"/>
      <c r="Y88" s="12"/>
      <c r="Z88" s="12"/>
    </row>
    <row r="89">
      <c r="A89" s="18"/>
      <c r="B89" s="12"/>
      <c r="C89" s="12"/>
      <c r="D89" s="12"/>
      <c r="E89" s="12"/>
      <c r="F89" s="12"/>
      <c r="G89" s="12"/>
      <c r="H89" s="12"/>
      <c r="I89" s="12"/>
      <c r="J89" s="12"/>
      <c r="K89" s="12"/>
      <c r="L89" s="19"/>
      <c r="M89" s="19"/>
      <c r="N89" s="19"/>
      <c r="O89" s="19"/>
      <c r="P89" s="19"/>
      <c r="Q89" s="12"/>
      <c r="R89" s="12"/>
      <c r="S89" s="12"/>
      <c r="T89" s="12"/>
      <c r="U89" s="19"/>
      <c r="V89" s="12"/>
      <c r="W89" s="12"/>
      <c r="X89" s="12"/>
      <c r="Y89" s="12"/>
      <c r="Z89" s="12"/>
    </row>
    <row r="90">
      <c r="A90" s="18"/>
      <c r="B90" s="12"/>
      <c r="C90" s="12"/>
      <c r="D90" s="12"/>
      <c r="E90" s="12"/>
      <c r="F90" s="12"/>
      <c r="G90" s="12"/>
      <c r="H90" s="12"/>
      <c r="I90" s="12"/>
      <c r="J90" s="12"/>
      <c r="K90" s="12"/>
      <c r="L90" s="19"/>
      <c r="M90" s="19"/>
      <c r="N90" s="19"/>
      <c r="O90" s="19"/>
      <c r="P90" s="19"/>
      <c r="Q90" s="12"/>
      <c r="R90" s="12"/>
      <c r="S90" s="12"/>
      <c r="T90" s="12"/>
      <c r="U90" s="19"/>
      <c r="V90" s="12"/>
      <c r="W90" s="12"/>
      <c r="X90" s="12"/>
      <c r="Y90" s="12"/>
      <c r="Z90" s="12"/>
    </row>
    <row r="91">
      <c r="A91" s="18"/>
      <c r="B91" s="12"/>
      <c r="C91" s="12"/>
      <c r="D91" s="12"/>
      <c r="E91" s="12"/>
      <c r="F91" s="12"/>
      <c r="G91" s="12"/>
      <c r="H91" s="12"/>
      <c r="I91" s="12"/>
      <c r="J91" s="12"/>
      <c r="K91" s="12"/>
      <c r="L91" s="19"/>
      <c r="M91" s="19"/>
      <c r="N91" s="19"/>
      <c r="O91" s="19"/>
      <c r="P91" s="19"/>
      <c r="Q91" s="12"/>
      <c r="R91" s="12"/>
      <c r="S91" s="12"/>
      <c r="T91" s="12"/>
      <c r="U91" s="19"/>
      <c r="V91" s="12"/>
      <c r="W91" s="12"/>
      <c r="X91" s="12"/>
      <c r="Y91" s="12"/>
      <c r="Z91" s="12"/>
    </row>
    <row r="92">
      <c r="A92" s="18"/>
      <c r="B92" s="12"/>
      <c r="C92" s="12"/>
      <c r="D92" s="12"/>
      <c r="E92" s="12"/>
      <c r="F92" s="12"/>
      <c r="G92" s="12"/>
      <c r="H92" s="12"/>
      <c r="I92" s="12"/>
      <c r="J92" s="12"/>
      <c r="K92" s="12"/>
      <c r="L92" s="19"/>
      <c r="M92" s="19"/>
      <c r="N92" s="19"/>
      <c r="O92" s="19"/>
      <c r="P92" s="19"/>
      <c r="Q92" s="12"/>
      <c r="R92" s="12"/>
      <c r="S92" s="12"/>
      <c r="T92" s="12"/>
      <c r="U92" s="19"/>
      <c r="V92" s="12"/>
      <c r="W92" s="12"/>
      <c r="X92" s="12"/>
      <c r="Y92" s="12"/>
      <c r="Z92" s="12"/>
    </row>
    <row r="93">
      <c r="A93" s="18"/>
      <c r="B93" s="12"/>
      <c r="C93" s="12"/>
      <c r="D93" s="12"/>
      <c r="E93" s="12"/>
      <c r="F93" s="12"/>
      <c r="G93" s="12"/>
      <c r="H93" s="12"/>
      <c r="I93" s="12"/>
      <c r="J93" s="12"/>
      <c r="K93" s="12"/>
      <c r="L93" s="19"/>
      <c r="M93" s="19"/>
      <c r="N93" s="19"/>
      <c r="O93" s="19"/>
      <c r="P93" s="19"/>
      <c r="Q93" s="12"/>
      <c r="R93" s="12"/>
      <c r="S93" s="12"/>
      <c r="T93" s="12"/>
      <c r="U93" s="19"/>
      <c r="V93" s="12"/>
      <c r="W93" s="12"/>
      <c r="X93" s="12"/>
      <c r="Y93" s="12"/>
      <c r="Z93" s="12"/>
    </row>
    <row r="94">
      <c r="A94" s="18"/>
      <c r="B94" s="12"/>
      <c r="C94" s="12"/>
      <c r="D94" s="12"/>
      <c r="E94" s="12"/>
      <c r="F94" s="12"/>
      <c r="G94" s="12"/>
      <c r="H94" s="12"/>
      <c r="I94" s="12"/>
      <c r="J94" s="12"/>
      <c r="K94" s="12"/>
      <c r="L94" s="19"/>
      <c r="M94" s="19"/>
      <c r="N94" s="19"/>
      <c r="O94" s="19"/>
      <c r="P94" s="19"/>
      <c r="Q94" s="12"/>
      <c r="R94" s="12"/>
      <c r="S94" s="12"/>
      <c r="T94" s="12"/>
      <c r="U94" s="19"/>
      <c r="V94" s="12"/>
      <c r="W94" s="12"/>
      <c r="X94" s="12"/>
      <c r="Y94" s="12"/>
      <c r="Z94" s="12"/>
    </row>
    <row r="95">
      <c r="A95" s="18"/>
      <c r="B95" s="12"/>
      <c r="C95" s="12"/>
      <c r="D95" s="12"/>
      <c r="E95" s="12"/>
      <c r="F95" s="12"/>
      <c r="G95" s="12"/>
      <c r="H95" s="12"/>
      <c r="I95" s="12"/>
      <c r="J95" s="12"/>
      <c r="K95" s="12"/>
      <c r="L95" s="19"/>
      <c r="M95" s="19"/>
      <c r="N95" s="19"/>
      <c r="O95" s="19"/>
      <c r="P95" s="19"/>
      <c r="Q95" s="12"/>
      <c r="R95" s="12"/>
      <c r="S95" s="12"/>
      <c r="T95" s="12"/>
      <c r="U95" s="19"/>
      <c r="V95" s="12"/>
      <c r="W95" s="12"/>
      <c r="X95" s="12"/>
      <c r="Y95" s="12"/>
      <c r="Z95" s="12"/>
    </row>
    <row r="96">
      <c r="A96" s="18"/>
      <c r="B96" s="12"/>
      <c r="C96" s="12"/>
      <c r="D96" s="12"/>
      <c r="E96" s="12"/>
      <c r="F96" s="12"/>
      <c r="G96" s="12"/>
      <c r="H96" s="12"/>
      <c r="I96" s="12"/>
      <c r="J96" s="12"/>
      <c r="K96" s="12"/>
      <c r="L96" s="19"/>
      <c r="M96" s="19"/>
      <c r="N96" s="19"/>
      <c r="O96" s="19"/>
      <c r="P96" s="19"/>
      <c r="Q96" s="12"/>
      <c r="R96" s="12"/>
      <c r="S96" s="12"/>
      <c r="T96" s="12"/>
      <c r="U96" s="19"/>
      <c r="V96" s="12"/>
      <c r="W96" s="12"/>
      <c r="X96" s="12"/>
      <c r="Y96" s="12"/>
      <c r="Z96" s="12"/>
    </row>
    <row r="97">
      <c r="A97" s="18"/>
      <c r="B97" s="12"/>
      <c r="C97" s="12"/>
      <c r="D97" s="12"/>
      <c r="E97" s="12"/>
      <c r="F97" s="12"/>
      <c r="G97" s="12"/>
      <c r="H97" s="12"/>
      <c r="I97" s="12"/>
      <c r="J97" s="12"/>
      <c r="K97" s="12"/>
      <c r="L97" s="19"/>
      <c r="M97" s="19"/>
      <c r="N97" s="19"/>
      <c r="O97" s="19"/>
      <c r="P97" s="19"/>
      <c r="Q97" s="12"/>
      <c r="R97" s="12"/>
      <c r="S97" s="12"/>
      <c r="T97" s="12"/>
      <c r="U97" s="19"/>
      <c r="V97" s="12"/>
      <c r="W97" s="12"/>
      <c r="X97" s="12"/>
      <c r="Y97" s="12"/>
      <c r="Z97" s="12"/>
    </row>
    <row r="98">
      <c r="A98" s="18"/>
      <c r="B98" s="12"/>
      <c r="C98" s="12"/>
      <c r="D98" s="12"/>
      <c r="E98" s="12"/>
      <c r="F98" s="12"/>
      <c r="G98" s="12"/>
      <c r="H98" s="12"/>
      <c r="I98" s="12"/>
      <c r="J98" s="12"/>
      <c r="K98" s="12"/>
      <c r="L98" s="19"/>
      <c r="M98" s="19"/>
      <c r="N98" s="19"/>
      <c r="O98" s="19"/>
      <c r="P98" s="19"/>
      <c r="Q98" s="12"/>
      <c r="R98" s="12"/>
      <c r="S98" s="12"/>
      <c r="T98" s="12"/>
      <c r="U98" s="19"/>
      <c r="V98" s="12"/>
      <c r="W98" s="12"/>
      <c r="X98" s="12"/>
      <c r="Y98" s="12"/>
      <c r="Z98" s="12"/>
    </row>
    <row r="99">
      <c r="A99" s="18"/>
      <c r="B99" s="12"/>
      <c r="C99" s="12"/>
      <c r="D99" s="12"/>
      <c r="E99" s="12"/>
      <c r="F99" s="12"/>
      <c r="G99" s="12"/>
      <c r="H99" s="12"/>
      <c r="I99" s="12"/>
      <c r="J99" s="12"/>
      <c r="K99" s="12"/>
      <c r="L99" s="19"/>
      <c r="M99" s="19"/>
      <c r="N99" s="19"/>
      <c r="O99" s="19"/>
      <c r="P99" s="19"/>
      <c r="Q99" s="12"/>
      <c r="R99" s="12"/>
      <c r="S99" s="12"/>
      <c r="T99" s="12"/>
      <c r="U99" s="19"/>
      <c r="V99" s="12"/>
      <c r="W99" s="12"/>
      <c r="X99" s="12"/>
      <c r="Y99" s="12"/>
      <c r="Z99" s="12"/>
    </row>
    <row r="100">
      <c r="A100" s="18"/>
      <c r="B100" s="12"/>
      <c r="C100" s="12"/>
      <c r="D100" s="12"/>
      <c r="E100" s="12"/>
      <c r="F100" s="12"/>
      <c r="G100" s="12"/>
      <c r="H100" s="12"/>
      <c r="I100" s="12"/>
      <c r="J100" s="12"/>
      <c r="K100" s="12"/>
      <c r="L100" s="19"/>
      <c r="M100" s="19"/>
      <c r="N100" s="19"/>
      <c r="O100" s="19"/>
      <c r="P100" s="19"/>
      <c r="Q100" s="12"/>
      <c r="R100" s="12"/>
      <c r="S100" s="12"/>
      <c r="T100" s="12"/>
      <c r="U100" s="19"/>
      <c r="V100" s="12"/>
      <c r="W100" s="12"/>
      <c r="X100" s="12"/>
      <c r="Y100" s="12"/>
      <c r="Z100" s="12"/>
    </row>
    <row r="101">
      <c r="A101" s="18"/>
      <c r="B101" s="12"/>
      <c r="C101" s="12"/>
      <c r="D101" s="12"/>
      <c r="E101" s="12"/>
      <c r="F101" s="12"/>
      <c r="G101" s="12"/>
      <c r="H101" s="12"/>
      <c r="I101" s="12"/>
      <c r="J101" s="12"/>
      <c r="K101" s="12"/>
      <c r="L101" s="19"/>
      <c r="M101" s="19"/>
      <c r="N101" s="19"/>
      <c r="O101" s="19"/>
      <c r="P101" s="19"/>
      <c r="Q101" s="12"/>
      <c r="R101" s="12"/>
      <c r="S101" s="12"/>
      <c r="T101" s="12"/>
      <c r="U101" s="19"/>
      <c r="V101" s="12"/>
      <c r="W101" s="12"/>
      <c r="X101" s="12"/>
      <c r="Y101" s="12"/>
      <c r="Z101" s="12"/>
    </row>
    <row r="102">
      <c r="A102" s="18"/>
      <c r="B102" s="12"/>
      <c r="C102" s="12"/>
      <c r="D102" s="12"/>
      <c r="E102" s="12"/>
      <c r="F102" s="12"/>
      <c r="G102" s="12"/>
      <c r="H102" s="12"/>
      <c r="I102" s="12"/>
      <c r="J102" s="12"/>
      <c r="K102" s="12"/>
      <c r="L102" s="19"/>
      <c r="M102" s="19"/>
      <c r="N102" s="19"/>
      <c r="O102" s="19"/>
      <c r="P102" s="19"/>
      <c r="Q102" s="12"/>
      <c r="R102" s="12"/>
      <c r="S102" s="12"/>
      <c r="T102" s="12"/>
      <c r="U102" s="19"/>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sheetData>
  <hyperlinks>
    <hyperlink r:id="rId1" ref="G3"/>
    <hyperlink r:id="rId2" ref="S3"/>
    <hyperlink r:id="rId3" ref="S4"/>
    <hyperlink r:id="rId4" ref="F5"/>
    <hyperlink r:id="rId5" ref="G5"/>
    <hyperlink r:id="rId6" ref="S5"/>
    <hyperlink r:id="rId7" ref="S6"/>
    <hyperlink r:id="rId8" ref="G7"/>
    <hyperlink r:id="rId9" ref="S7"/>
    <hyperlink r:id="rId10" ref="G8"/>
    <hyperlink r:id="rId11" ref="S8"/>
    <hyperlink r:id="rId12" ref="G9"/>
    <hyperlink r:id="rId13" ref="S9"/>
    <hyperlink r:id="rId14" ref="G10"/>
    <hyperlink r:id="rId15" ref="S10"/>
    <hyperlink r:id="rId16" ref="G11"/>
    <hyperlink r:id="rId17" ref="S11"/>
    <hyperlink r:id="rId18" ref="G12"/>
    <hyperlink r:id="rId19" ref="S12"/>
    <hyperlink r:id="rId20" ref="G13"/>
    <hyperlink r:id="rId21" ref="S13"/>
    <hyperlink r:id="rId22" ref="F14"/>
    <hyperlink r:id="rId23" ref="S14"/>
    <hyperlink r:id="rId24" ref="G15"/>
    <hyperlink r:id="rId25" ref="S15"/>
    <hyperlink r:id="rId26" ref="G16"/>
    <hyperlink r:id="rId27" ref="S16"/>
    <hyperlink r:id="rId28" ref="S17"/>
  </hyperlinks>
  <drawing r:id="rId29"/>
  <tableParts count="1">
    <tablePart r:id="rId31"/>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1462</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44222.606516203705</v>
      </c>
      <c r="B3" s="9" t="str">
        <f>HYPERLINK("https://twitter.com/LuisMememonge","@LuisMememonge")</f>
        <v>@LuisMememonge</v>
      </c>
      <c r="C3" s="10" t="s">
        <v>997</v>
      </c>
      <c r="D3" s="10" t="s">
        <v>998</v>
      </c>
      <c r="E3" s="9" t="str">
        <f>HYPERLINK("https://twitter.com/LuisMememonge/status/1354165558615306241","1354165558615306241")</f>
        <v>1354165558615306241</v>
      </c>
      <c r="F3" s="11" t="s">
        <v>999</v>
      </c>
      <c r="G3" s="10"/>
      <c r="H3" s="12"/>
      <c r="I3" s="13">
        <v>0.0</v>
      </c>
      <c r="J3" s="13">
        <v>0.0</v>
      </c>
      <c r="K3" s="9" t="str">
        <f>HYPERLINK("http://twitter.com/download/android","Twitter for Android")</f>
        <v>Twitter for Android</v>
      </c>
      <c r="L3" s="14">
        <v>78.0</v>
      </c>
      <c r="M3" s="14">
        <v>310.0</v>
      </c>
      <c r="N3" s="14">
        <v>0.0</v>
      </c>
      <c r="O3" s="19"/>
      <c r="P3" s="16">
        <v>41456.85295138889</v>
      </c>
      <c r="Q3" s="10"/>
      <c r="R3" s="10"/>
      <c r="S3" s="12"/>
      <c r="T3" s="12"/>
      <c r="U3" s="17" t="str">
        <f>HYPERLINK("https://pbs.twimg.com/profile_images/1339354033031528450/pnirh6UP.jpg","View")</f>
        <v>View</v>
      </c>
      <c r="V3" s="12"/>
      <c r="W3" s="12"/>
      <c r="X3" s="12"/>
      <c r="Y3" s="12"/>
      <c r="Z3" s="12"/>
    </row>
    <row r="4">
      <c r="A4" s="8">
        <v>44222.59887731481</v>
      </c>
      <c r="B4" s="9" t="str">
        <f>HYPERLINK("https://twitter.com/JaguarAguilar","@JaguarAguilar")</f>
        <v>@JaguarAguilar</v>
      </c>
      <c r="C4" s="10" t="s">
        <v>1463</v>
      </c>
      <c r="D4" s="10" t="s">
        <v>1464</v>
      </c>
      <c r="E4" s="9" t="str">
        <f>HYPERLINK("https://twitter.com/JaguarAguilar/status/1354162793273032705","1354162793273032705")</f>
        <v>1354162793273032705</v>
      </c>
      <c r="F4" s="12"/>
      <c r="G4" s="11" t="s">
        <v>1465</v>
      </c>
      <c r="H4" s="12"/>
      <c r="I4" s="13">
        <v>0.0</v>
      </c>
      <c r="J4" s="13">
        <v>0.0</v>
      </c>
      <c r="K4" s="9" t="str">
        <f>HYPERLINK("http://twitter.com/download/iphone","Twitter for iPhone")</f>
        <v>Twitter for iPhone</v>
      </c>
      <c r="L4" s="14">
        <v>817.0</v>
      </c>
      <c r="M4" s="14">
        <v>154.0</v>
      </c>
      <c r="N4" s="14">
        <v>12.0</v>
      </c>
      <c r="O4" s="19"/>
      <c r="P4" s="16">
        <v>40164.92288194445</v>
      </c>
      <c r="Q4" s="10" t="s">
        <v>1466</v>
      </c>
      <c r="R4" s="10" t="s">
        <v>1467</v>
      </c>
      <c r="S4" s="12"/>
      <c r="T4" s="12"/>
      <c r="U4" s="17" t="str">
        <f>HYPERLINK("https://pbs.twimg.com/profile_images/1351741843747303426/lT6rCg0D.jpg","View")</f>
        <v>View</v>
      </c>
      <c r="V4" s="12"/>
      <c r="W4" s="12"/>
      <c r="X4" s="12"/>
      <c r="Y4" s="12"/>
      <c r="Z4" s="12"/>
    </row>
    <row r="5">
      <c r="A5" s="8">
        <v>44222.56810185185</v>
      </c>
      <c r="B5" s="9" t="str">
        <f>HYPERLINK("https://twitter.com/jhmm61","@jhmm61")</f>
        <v>@jhmm61</v>
      </c>
      <c r="C5" s="10" t="s">
        <v>1468</v>
      </c>
      <c r="D5" s="10" t="s">
        <v>1469</v>
      </c>
      <c r="E5" s="9" t="str">
        <f>HYPERLINK("https://twitter.com/jhmm61/status/1354151639871938560","1354151639871938560")</f>
        <v>1354151639871938560</v>
      </c>
      <c r="F5" s="11" t="s">
        <v>1470</v>
      </c>
      <c r="G5" s="11" t="s">
        <v>1471</v>
      </c>
      <c r="H5" s="12"/>
      <c r="I5" s="13">
        <v>0.0</v>
      </c>
      <c r="J5" s="13">
        <v>0.0</v>
      </c>
      <c r="K5" s="9" t="str">
        <f>HYPERLINK("http://twitter.com/download/android","Twitter for Android")</f>
        <v>Twitter for Android</v>
      </c>
      <c r="L5" s="14">
        <v>2154.0</v>
      </c>
      <c r="M5" s="14">
        <v>1767.0</v>
      </c>
      <c r="N5" s="14">
        <v>22.0</v>
      </c>
      <c r="O5" s="19"/>
      <c r="P5" s="16">
        <v>40651.88928240741</v>
      </c>
      <c r="Q5" s="10" t="s">
        <v>1472</v>
      </c>
      <c r="R5" s="10" t="s">
        <v>1473</v>
      </c>
      <c r="S5" s="12"/>
      <c r="T5" s="12"/>
      <c r="U5" s="17" t="str">
        <f>HYPERLINK("https://pbs.twimg.com/profile_images/1298409082530013189/wW105PGX.jpg","View")</f>
        <v>View</v>
      </c>
      <c r="V5" s="12"/>
      <c r="W5" s="12"/>
      <c r="X5" s="12"/>
      <c r="Y5" s="12"/>
      <c r="Z5" s="12"/>
    </row>
    <row r="6">
      <c r="A6" s="8">
        <v>44222.56710648148</v>
      </c>
      <c r="B6" s="9" t="str">
        <f>HYPERLINK("https://twitter.com/fenomenals2","@fenomenals2")</f>
        <v>@fenomenals2</v>
      </c>
      <c r="C6" s="10" t="s">
        <v>1474</v>
      </c>
      <c r="D6" s="10" t="s">
        <v>1475</v>
      </c>
      <c r="E6" s="9" t="str">
        <f>HYPERLINK("https://twitter.com/fenomenals2/status/1354151277928673281","1354151277928673281")</f>
        <v>1354151277928673281</v>
      </c>
      <c r="F6" s="12"/>
      <c r="G6" s="11" t="s">
        <v>1476</v>
      </c>
      <c r="H6" s="12"/>
      <c r="I6" s="13">
        <v>0.0</v>
      </c>
      <c r="J6" s="13">
        <v>0.0</v>
      </c>
      <c r="K6" s="9" t="str">
        <f t="shared" ref="K6:K7" si="1">HYPERLINK("http://twitter.com/download/iphone","Twitter for iPhone")</f>
        <v>Twitter for iPhone</v>
      </c>
      <c r="L6" s="14">
        <v>24.0</v>
      </c>
      <c r="M6" s="14">
        <v>73.0</v>
      </c>
      <c r="N6" s="14">
        <v>0.0</v>
      </c>
      <c r="O6" s="19"/>
      <c r="P6" s="16">
        <v>44206.828622685185</v>
      </c>
      <c r="Q6" s="10"/>
      <c r="R6" s="10" t="s">
        <v>1477</v>
      </c>
      <c r="S6" s="12"/>
      <c r="T6" s="12"/>
      <c r="U6" s="17" t="str">
        <f>HYPERLINK("https://pbs.twimg.com/profile_images/1348448845219438593/EzAF1YHH.jpg","View")</f>
        <v>View</v>
      </c>
      <c r="V6" s="12"/>
      <c r="W6" s="12"/>
      <c r="X6" s="12"/>
      <c r="Y6" s="12"/>
      <c r="Z6" s="12"/>
    </row>
    <row r="7">
      <c r="A7" s="8">
        <v>44222.56253472222</v>
      </c>
      <c r="B7" s="9" t="str">
        <f>HYPERLINK("https://twitter.com/GuillermoGosol","@GuillermoGosol")</f>
        <v>@GuillermoGosol</v>
      </c>
      <c r="C7" s="10" t="s">
        <v>1478</v>
      </c>
      <c r="D7" s="10" t="s">
        <v>1479</v>
      </c>
      <c r="E7" s="9" t="str">
        <f>HYPERLINK("https://twitter.com/GuillermoGosol/status/1354149623967981570","1354149623967981570")</f>
        <v>1354149623967981570</v>
      </c>
      <c r="F7" s="12"/>
      <c r="G7" s="11" t="s">
        <v>1480</v>
      </c>
      <c r="H7" s="12"/>
      <c r="I7" s="13">
        <v>22.0</v>
      </c>
      <c r="J7" s="13">
        <v>40.0</v>
      </c>
      <c r="K7" s="9" t="str">
        <f t="shared" si="1"/>
        <v>Twitter for iPhone</v>
      </c>
      <c r="L7" s="14">
        <v>11487.0</v>
      </c>
      <c r="M7" s="14">
        <v>2709.0</v>
      </c>
      <c r="N7" s="14">
        <v>22.0</v>
      </c>
      <c r="O7" s="19"/>
      <c r="P7" s="16">
        <v>39975.72248842593</v>
      </c>
      <c r="Q7" s="10" t="s">
        <v>1481</v>
      </c>
      <c r="R7" s="10" t="s">
        <v>1482</v>
      </c>
      <c r="S7" s="12"/>
      <c r="T7" s="12"/>
      <c r="U7" s="17" t="str">
        <f>HYPERLINK("https://pbs.twimg.com/profile_images/1348855179806957568/cabo2476.jpg","View")</f>
        <v>View</v>
      </c>
      <c r="V7" s="12"/>
      <c r="W7" s="12"/>
      <c r="X7" s="12"/>
      <c r="Y7" s="12"/>
      <c r="Z7" s="12"/>
    </row>
    <row r="8">
      <c r="A8" s="8">
        <v>44222.496458333335</v>
      </c>
      <c r="B8" s="9" t="str">
        <f>HYPERLINK("https://twitter.com/raulmena70","@raulmena70")</f>
        <v>@raulmena70</v>
      </c>
      <c r="C8" s="10" t="s">
        <v>1483</v>
      </c>
      <c r="D8" s="10" t="s">
        <v>1484</v>
      </c>
      <c r="E8" s="9" t="str">
        <f>HYPERLINK("https://twitter.com/raulmena70/status/1354125678430576656","1354125678430576656")</f>
        <v>1354125678430576656</v>
      </c>
      <c r="F8" s="12"/>
      <c r="G8" s="11" t="s">
        <v>1485</v>
      </c>
      <c r="H8" s="12"/>
      <c r="I8" s="13">
        <v>4.0</v>
      </c>
      <c r="J8" s="13">
        <v>8.0</v>
      </c>
      <c r="K8" s="9" t="str">
        <f t="shared" ref="K8:K9" si="2">HYPERLINK("https://mobile.twitter.com","Twitter Web App")</f>
        <v>Twitter Web App</v>
      </c>
      <c r="L8" s="14">
        <v>2483.0</v>
      </c>
      <c r="M8" s="14">
        <v>128.0</v>
      </c>
      <c r="N8" s="14">
        <v>1.0</v>
      </c>
      <c r="O8" s="19"/>
      <c r="P8" s="16">
        <v>41351.87668981482</v>
      </c>
      <c r="Q8" s="10"/>
      <c r="R8" s="10" t="s">
        <v>1486</v>
      </c>
      <c r="S8" s="12"/>
      <c r="T8" s="12"/>
      <c r="U8" s="17" t="str">
        <f>HYPERLINK("https://pbs.twimg.com/profile_images/1349037982011908096/SUQZsBlW.jpg","View")</f>
        <v>View</v>
      </c>
      <c r="V8" s="12"/>
      <c r="W8" s="12"/>
      <c r="X8" s="12"/>
      <c r="Y8" s="12"/>
      <c r="Z8" s="12"/>
    </row>
    <row r="9">
      <c r="A9" s="8">
        <v>44222.45518518519</v>
      </c>
      <c r="B9" s="9" t="str">
        <f>HYPERLINK("https://twitter.com/Soviet_Mx","@Soviet_Mx")</f>
        <v>@Soviet_Mx</v>
      </c>
      <c r="C9" s="10" t="s">
        <v>1487</v>
      </c>
      <c r="D9" s="10" t="s">
        <v>1488</v>
      </c>
      <c r="E9" s="9" t="str">
        <f>HYPERLINK("https://twitter.com/Soviet_Mx/status/1354110719747190784","1354110719747190784")</f>
        <v>1354110719747190784</v>
      </c>
      <c r="F9" s="11" t="s">
        <v>1489</v>
      </c>
      <c r="G9" s="11" t="s">
        <v>1490</v>
      </c>
      <c r="H9" s="12"/>
      <c r="I9" s="13">
        <v>0.0</v>
      </c>
      <c r="J9" s="13">
        <v>0.0</v>
      </c>
      <c r="K9" s="9" t="str">
        <f t="shared" si="2"/>
        <v>Twitter Web App</v>
      </c>
      <c r="L9" s="14">
        <v>217.0</v>
      </c>
      <c r="M9" s="14">
        <v>67.0</v>
      </c>
      <c r="N9" s="14">
        <v>2.0</v>
      </c>
      <c r="O9" s="19"/>
      <c r="P9" s="16">
        <v>40569.137291666666</v>
      </c>
      <c r="Q9" s="10" t="s">
        <v>1491</v>
      </c>
      <c r="R9" s="10" t="s">
        <v>1492</v>
      </c>
      <c r="S9" s="11" t="s">
        <v>1493</v>
      </c>
      <c r="T9" s="12"/>
      <c r="U9" s="17" t="str">
        <f>HYPERLINK("https://pbs.twimg.com/profile_images/3552653975/e4391d2fd1249e977614e4988bbab5db.jpeg","View")</f>
        <v>View</v>
      </c>
      <c r="V9" s="12"/>
      <c r="W9" s="12"/>
      <c r="X9" s="12"/>
      <c r="Y9" s="12"/>
      <c r="Z9" s="12"/>
    </row>
    <row r="10">
      <c r="A10" s="8">
        <v>44222.44820601852</v>
      </c>
      <c r="B10" s="9" t="str">
        <f>HYPERLINK("https://twitter.com/montecristomo","@montecristomo")</f>
        <v>@montecristomo</v>
      </c>
      <c r="C10" s="10" t="s">
        <v>1494</v>
      </c>
      <c r="D10" s="10" t="s">
        <v>1495</v>
      </c>
      <c r="E10" s="9" t="str">
        <f>HYPERLINK("https://twitter.com/montecristomo/status/1354108192435941382","1354108192435941382")</f>
        <v>1354108192435941382</v>
      </c>
      <c r="F10" s="11" t="s">
        <v>1496</v>
      </c>
      <c r="G10" s="11" t="s">
        <v>1497</v>
      </c>
      <c r="H10" s="12"/>
      <c r="I10" s="13">
        <v>0.0</v>
      </c>
      <c r="J10" s="13">
        <v>0.0</v>
      </c>
      <c r="K10" s="9" t="str">
        <f>HYPERLINK("http://twitter.com/download/iphone","Twitter for iPhone")</f>
        <v>Twitter for iPhone</v>
      </c>
      <c r="L10" s="14">
        <v>120.0</v>
      </c>
      <c r="M10" s="14">
        <v>232.0</v>
      </c>
      <c r="N10" s="14">
        <v>0.0</v>
      </c>
      <c r="O10" s="19"/>
      <c r="P10" s="16">
        <v>44057.69871527777</v>
      </c>
      <c r="Q10" s="10" t="s">
        <v>1498</v>
      </c>
      <c r="R10" s="10" t="s">
        <v>1499</v>
      </c>
      <c r="S10" s="12"/>
      <c r="T10" s="12"/>
      <c r="U10" s="17" t="str">
        <f>HYPERLINK("https://pbs.twimg.com/profile_images/1351372878441287684/mDIUfb92.jpg","View")</f>
        <v>View</v>
      </c>
      <c r="V10" s="12"/>
      <c r="W10" s="12"/>
      <c r="X10" s="12"/>
      <c r="Y10" s="12"/>
      <c r="Z10" s="12"/>
    </row>
    <row r="11">
      <c r="A11" s="8">
        <v>44222.442025462966</v>
      </c>
      <c r="B11" s="9" t="str">
        <f>HYPERLINK("https://twitter.com/CitlaXXL","@CitlaXXL")</f>
        <v>@CitlaXXL</v>
      </c>
      <c r="C11" s="10" t="s">
        <v>1500</v>
      </c>
      <c r="D11" s="10" t="s">
        <v>1501</v>
      </c>
      <c r="E11" s="9" t="str">
        <f>HYPERLINK("https://twitter.com/CitlaXXL/status/1354105949418450944","1354105949418450944")</f>
        <v>1354105949418450944</v>
      </c>
      <c r="F11" s="12"/>
      <c r="G11" s="11" t="s">
        <v>1502</v>
      </c>
      <c r="H11" s="12"/>
      <c r="I11" s="13">
        <v>2.0</v>
      </c>
      <c r="J11" s="13">
        <v>18.0</v>
      </c>
      <c r="K11" s="9" t="str">
        <f t="shared" ref="K11:K13" si="3">HYPERLINK("http://twitter.com/download/android","Twitter for Android")</f>
        <v>Twitter for Android</v>
      </c>
      <c r="L11" s="14">
        <v>2686.0</v>
      </c>
      <c r="M11" s="14">
        <v>80.0</v>
      </c>
      <c r="N11" s="14">
        <v>0.0</v>
      </c>
      <c r="O11" s="19"/>
      <c r="P11" s="16">
        <v>43915.98782407407</v>
      </c>
      <c r="Q11" s="10" t="s">
        <v>1503</v>
      </c>
      <c r="R11" s="10" t="s">
        <v>1504</v>
      </c>
      <c r="S11" s="12"/>
      <c r="T11" s="12"/>
      <c r="U11" s="17" t="str">
        <f>HYPERLINK("https://pbs.twimg.com/profile_images/1316470750946107392/HQZB_hhW.jpg","View")</f>
        <v>View</v>
      </c>
      <c r="V11" s="12"/>
      <c r="W11" s="12"/>
      <c r="X11" s="12"/>
      <c r="Y11" s="12"/>
      <c r="Z11" s="12"/>
    </row>
    <row r="12">
      <c r="A12" s="8">
        <v>44222.42148148148</v>
      </c>
      <c r="B12" s="9" t="str">
        <f>HYPERLINK("https://twitter.com/Manchate","@Manchate")</f>
        <v>@Manchate</v>
      </c>
      <c r="C12" s="10" t="s">
        <v>1505</v>
      </c>
      <c r="D12" s="10" t="s">
        <v>1506</v>
      </c>
      <c r="E12" s="9" t="str">
        <f>HYPERLINK("https://twitter.com/Manchate/status/1354098504713596929","1354098504713596929")</f>
        <v>1354098504713596929</v>
      </c>
      <c r="F12" s="12"/>
      <c r="G12" s="11" t="s">
        <v>1507</v>
      </c>
      <c r="H12" s="12"/>
      <c r="I12" s="13">
        <v>0.0</v>
      </c>
      <c r="J12" s="13">
        <v>1.0</v>
      </c>
      <c r="K12" s="9" t="str">
        <f t="shared" si="3"/>
        <v>Twitter for Android</v>
      </c>
      <c r="L12" s="14">
        <v>2659.0</v>
      </c>
      <c r="M12" s="14">
        <v>2257.0</v>
      </c>
      <c r="N12" s="14">
        <v>135.0</v>
      </c>
      <c r="O12" s="19"/>
      <c r="P12" s="16">
        <v>39462.68488425926</v>
      </c>
      <c r="Q12" s="10" t="s">
        <v>325</v>
      </c>
      <c r="R12" s="10" t="s">
        <v>1508</v>
      </c>
      <c r="S12" s="12"/>
      <c r="T12" s="12"/>
      <c r="U12" s="17" t="str">
        <f>HYPERLINK("https://pbs.twimg.com/profile_images/1004172370448248832/nRtthKs7.jpg","View")</f>
        <v>View</v>
      </c>
      <c r="V12" s="12"/>
      <c r="W12" s="12"/>
      <c r="X12" s="12"/>
      <c r="Y12" s="12"/>
      <c r="Z12" s="12"/>
    </row>
    <row r="13">
      <c r="A13" s="8">
        <v>44222.381064814814</v>
      </c>
      <c r="B13" s="9" t="str">
        <f>HYPERLINK("https://twitter.com/_ciudadanocero","@_ciudadanocero")</f>
        <v>@_ciudadanocero</v>
      </c>
      <c r="C13" s="10" t="s">
        <v>1509</v>
      </c>
      <c r="D13" s="10" t="s">
        <v>1510</v>
      </c>
      <c r="E13" s="9" t="str">
        <f>HYPERLINK("https://twitter.com/_ciudadanocero/status/1354083858518573062","1354083858518573062")</f>
        <v>1354083858518573062</v>
      </c>
      <c r="F13" s="12"/>
      <c r="G13" s="11" t="s">
        <v>1511</v>
      </c>
      <c r="H13" s="12"/>
      <c r="I13" s="13">
        <v>0.0</v>
      </c>
      <c r="J13" s="13">
        <v>0.0</v>
      </c>
      <c r="K13" s="9" t="str">
        <f t="shared" si="3"/>
        <v>Twitter for Android</v>
      </c>
      <c r="L13" s="14">
        <v>111.0</v>
      </c>
      <c r="M13" s="14">
        <v>474.0</v>
      </c>
      <c r="N13" s="14">
        <v>0.0</v>
      </c>
      <c r="O13" s="19"/>
      <c r="P13" s="16">
        <v>42493.526620370365</v>
      </c>
      <c r="Q13" s="10"/>
      <c r="R13" s="10" t="s">
        <v>1512</v>
      </c>
      <c r="S13" s="12"/>
      <c r="T13" s="12"/>
      <c r="U13" s="17" t="str">
        <f>HYPERLINK("https://pbs.twimg.com/profile_images/1110275955665317889/-BcegsB0.jpg","View")</f>
        <v>View</v>
      </c>
      <c r="V13" s="12"/>
      <c r="W13" s="12"/>
      <c r="X13" s="12"/>
      <c r="Y13" s="12"/>
      <c r="Z13" s="12"/>
    </row>
    <row r="14">
      <c r="A14" s="8">
        <v>44222.35722222222</v>
      </c>
      <c r="B14" s="9" t="str">
        <f>HYPERLINK("https://twitter.com/LosPoliticosVer","@LosPoliticosVer")</f>
        <v>@LosPoliticosVer</v>
      </c>
      <c r="C14" s="10" t="s">
        <v>1513</v>
      </c>
      <c r="D14" s="10" t="s">
        <v>1514</v>
      </c>
      <c r="E14" s="9" t="str">
        <f>HYPERLINK("https://twitter.com/LosPoliticosVer/status/1354075219795861511","1354075219795861511")</f>
        <v>1354075219795861511</v>
      </c>
      <c r="F14" s="11" t="s">
        <v>1515</v>
      </c>
      <c r="G14" s="11" t="s">
        <v>1516</v>
      </c>
      <c r="H14" s="12"/>
      <c r="I14" s="13">
        <v>1.0</v>
      </c>
      <c r="J14" s="13">
        <v>0.0</v>
      </c>
      <c r="K14" s="9" t="str">
        <f>HYPERLINK("http://twitter.com/#!/download/ipad","Twitter for iPad")</f>
        <v>Twitter for iPad</v>
      </c>
      <c r="L14" s="14">
        <v>370.0</v>
      </c>
      <c r="M14" s="14">
        <v>408.0</v>
      </c>
      <c r="N14" s="14">
        <v>0.0</v>
      </c>
      <c r="O14" s="19"/>
      <c r="P14" s="16">
        <v>44056.7127199074</v>
      </c>
      <c r="Q14" s="10"/>
      <c r="R14" s="10" t="s">
        <v>1517</v>
      </c>
      <c r="S14" s="12"/>
      <c r="T14" s="12"/>
      <c r="U14" s="17" t="str">
        <f>HYPERLINK("https://pbs.twimg.com/profile_images/1294032704590286853/uqjBaGZS.jpg","View")</f>
        <v>View</v>
      </c>
      <c r="V14" s="12"/>
      <c r="W14" s="12"/>
      <c r="X14" s="12"/>
      <c r="Y14" s="12"/>
      <c r="Z14" s="12"/>
    </row>
    <row r="15">
      <c r="A15" s="8">
        <v>44222.32609953704</v>
      </c>
      <c r="B15" s="9" t="str">
        <f>HYPERLINK("https://twitter.com/Anc13ntR0ck3r","@Anc13ntR0ck3r")</f>
        <v>@Anc13ntR0ck3r</v>
      </c>
      <c r="C15" s="10" t="s">
        <v>1518</v>
      </c>
      <c r="D15" s="10" t="s">
        <v>1519</v>
      </c>
      <c r="E15" s="9" t="str">
        <f>HYPERLINK("https://twitter.com/Anc13ntR0ck3r/status/1354063939571773441","1354063939571773441")</f>
        <v>1354063939571773441</v>
      </c>
      <c r="F15" s="12"/>
      <c r="G15" s="11" t="s">
        <v>1520</v>
      </c>
      <c r="H15" s="12"/>
      <c r="I15" s="13">
        <v>0.0</v>
      </c>
      <c r="J15" s="13">
        <v>0.0</v>
      </c>
      <c r="K15" s="9" t="str">
        <f>HYPERLINK("http://twitter.com/download/iphone","Twitter for iPhone")</f>
        <v>Twitter for iPhone</v>
      </c>
      <c r="L15" s="14">
        <v>30.0</v>
      </c>
      <c r="M15" s="14">
        <v>251.0</v>
      </c>
      <c r="N15" s="14">
        <v>0.0</v>
      </c>
      <c r="O15" s="19"/>
      <c r="P15" s="16">
        <v>44154.76734953704</v>
      </c>
      <c r="Q15" s="10"/>
      <c r="R15" s="10"/>
      <c r="S15" s="12"/>
      <c r="T15" s="12"/>
      <c r="U15" s="17" t="str">
        <f>HYPERLINK("https://pbs.twimg.com/profile_images/1329586786813743105/MFj608uy.jpg","View")</f>
        <v>View</v>
      </c>
      <c r="V15" s="12"/>
      <c r="W15" s="12"/>
      <c r="X15" s="12"/>
      <c r="Y15" s="12"/>
      <c r="Z15" s="12"/>
    </row>
    <row r="16">
      <c r="A16" s="8">
        <v>44222.312256944446</v>
      </c>
      <c r="B16" s="9" t="str">
        <f>HYPERLINK("https://twitter.com/pedroferriz3","@pedroferriz3")</f>
        <v>@pedroferriz3</v>
      </c>
      <c r="C16" s="10" t="s">
        <v>1521</v>
      </c>
      <c r="D16" s="10" t="s">
        <v>1522</v>
      </c>
      <c r="E16" s="9" t="str">
        <f>HYPERLINK("https://twitter.com/pedroferriz3/status/1354058924270497794","1354058924270497794")</f>
        <v>1354058924270497794</v>
      </c>
      <c r="F16" s="12"/>
      <c r="G16" s="10"/>
      <c r="H16" s="12"/>
      <c r="I16" s="13">
        <v>135.0</v>
      </c>
      <c r="J16" s="13">
        <v>755.0</v>
      </c>
      <c r="K16" s="9" t="str">
        <f>HYPERLINK("http://twitter.com/#!/download/ipad","Twitter for iPad")</f>
        <v>Twitter for iPad</v>
      </c>
      <c r="L16" s="14">
        <v>129607.0</v>
      </c>
      <c r="M16" s="14">
        <v>2777.0</v>
      </c>
      <c r="N16" s="14">
        <v>447.0</v>
      </c>
      <c r="O16" s="15" t="s">
        <v>24</v>
      </c>
      <c r="P16" s="16">
        <v>40241.89655092593</v>
      </c>
      <c r="Q16" s="10"/>
      <c r="R16" s="10" t="s">
        <v>1523</v>
      </c>
      <c r="S16" s="12"/>
      <c r="T16" s="12"/>
      <c r="U16" s="17" t="str">
        <f>HYPERLINK("https://pbs.twimg.com/profile_images/1328454304102035463/o3OMMTJE.jpg","View")</f>
        <v>View</v>
      </c>
      <c r="V16" s="12"/>
      <c r="W16" s="12"/>
      <c r="X16" s="12"/>
      <c r="Y16" s="12"/>
      <c r="Z16" s="12"/>
    </row>
    <row r="17">
      <c r="A17" s="8">
        <v>44222.283263888894</v>
      </c>
      <c r="B17" s="9" t="str">
        <f>HYPERLINK("https://twitter.com/amerogabriel","@amerogabriel")</f>
        <v>@amerogabriel</v>
      </c>
      <c r="C17" s="10" t="s">
        <v>1524</v>
      </c>
      <c r="D17" s="10" t="s">
        <v>1525</v>
      </c>
      <c r="E17" s="9" t="str">
        <f>HYPERLINK("https://twitter.com/amerogabriel/status/1354048417639632898","1354048417639632898")</f>
        <v>1354048417639632898</v>
      </c>
      <c r="F17" s="12"/>
      <c r="G17" s="11" t="s">
        <v>1526</v>
      </c>
      <c r="H17" s="12"/>
      <c r="I17" s="13">
        <v>0.0</v>
      </c>
      <c r="J17" s="13">
        <v>0.0</v>
      </c>
      <c r="K17" s="9" t="str">
        <f>HYPERLINK("http://twitter.com/download/iphone","Twitter for iPhone")</f>
        <v>Twitter for iPhone</v>
      </c>
      <c r="L17" s="14">
        <v>396.0</v>
      </c>
      <c r="M17" s="14">
        <v>706.0</v>
      </c>
      <c r="N17" s="14">
        <v>19.0</v>
      </c>
      <c r="O17" s="19"/>
      <c r="P17" s="16">
        <v>42111.78162037037</v>
      </c>
      <c r="Q17" s="10" t="s">
        <v>526</v>
      </c>
      <c r="R17" s="10" t="s">
        <v>1527</v>
      </c>
      <c r="S17" s="12"/>
      <c r="T17" s="12"/>
      <c r="U17" s="17" t="str">
        <f>HYPERLINK("https://pbs.twimg.com/profile_images/872963211443810305/bTDXX3xb.jpg","View")</f>
        <v>View</v>
      </c>
      <c r="V17" s="12"/>
      <c r="W17" s="12"/>
      <c r="X17" s="12"/>
      <c r="Y17" s="12"/>
      <c r="Z17" s="12"/>
    </row>
    <row r="18">
      <c r="A18" s="8">
        <v>44222.2602199074</v>
      </c>
      <c r="B18" s="9" t="str">
        <f t="shared" ref="B18:B19" si="4">HYPERLINK("https://twitter.com/rogermetal7","@rogermetal7")</f>
        <v>@rogermetal7</v>
      </c>
      <c r="C18" s="10" t="s">
        <v>1528</v>
      </c>
      <c r="D18" s="10" t="s">
        <v>1529</v>
      </c>
      <c r="E18" s="9" t="str">
        <f>HYPERLINK("https://twitter.com/rogermetal7/status/1354040066721542145","1354040066721542145")</f>
        <v>1354040066721542145</v>
      </c>
      <c r="F18" s="12"/>
      <c r="G18" s="10"/>
      <c r="H18" s="12"/>
      <c r="I18" s="13">
        <v>0.0</v>
      </c>
      <c r="J18" s="13">
        <v>0.0</v>
      </c>
      <c r="K18" s="9" t="str">
        <f t="shared" ref="K18:K19" si="5">HYPERLINK("https://mobile.twitter.com","Twitter Web App")</f>
        <v>Twitter Web App</v>
      </c>
      <c r="L18" s="14">
        <v>664.0</v>
      </c>
      <c r="M18" s="14">
        <v>960.0</v>
      </c>
      <c r="N18" s="14">
        <v>0.0</v>
      </c>
      <c r="O18" s="19"/>
      <c r="P18" s="16">
        <v>43475.944340277776</v>
      </c>
      <c r="Q18" s="10" t="s">
        <v>1530</v>
      </c>
      <c r="R18" s="10" t="s">
        <v>1531</v>
      </c>
      <c r="S18" s="12"/>
      <c r="T18" s="12"/>
      <c r="U18" s="17" t="str">
        <f t="shared" ref="U18:U19" si="6">HYPERLINK("https://pbs.twimg.com/profile_images/1347067125966413826/y3Nu_U9h.jpg","View")</f>
        <v>View</v>
      </c>
      <c r="V18" s="12"/>
      <c r="W18" s="12"/>
      <c r="X18" s="12"/>
      <c r="Y18" s="12"/>
      <c r="Z18" s="12"/>
    </row>
    <row r="19">
      <c r="A19" s="8">
        <v>44222.25677083334</v>
      </c>
      <c r="B19" s="9" t="str">
        <f t="shared" si="4"/>
        <v>@rogermetal7</v>
      </c>
      <c r="C19" s="10" t="s">
        <v>1528</v>
      </c>
      <c r="D19" s="10" t="s">
        <v>1532</v>
      </c>
      <c r="E19" s="9" t="str">
        <f>HYPERLINK("https://twitter.com/rogermetal7/status/1354038818513383424","1354038818513383424")</f>
        <v>1354038818513383424</v>
      </c>
      <c r="F19" s="11" t="s">
        <v>1533</v>
      </c>
      <c r="G19" s="10"/>
      <c r="H19" s="12"/>
      <c r="I19" s="13">
        <v>0.0</v>
      </c>
      <c r="J19" s="13">
        <v>0.0</v>
      </c>
      <c r="K19" s="9" t="str">
        <f t="shared" si="5"/>
        <v>Twitter Web App</v>
      </c>
      <c r="L19" s="14">
        <v>664.0</v>
      </c>
      <c r="M19" s="14">
        <v>960.0</v>
      </c>
      <c r="N19" s="14">
        <v>0.0</v>
      </c>
      <c r="O19" s="19"/>
      <c r="P19" s="16">
        <v>43475.944340277776</v>
      </c>
      <c r="Q19" s="10" t="s">
        <v>1530</v>
      </c>
      <c r="R19" s="10" t="s">
        <v>1531</v>
      </c>
      <c r="S19" s="12"/>
      <c r="T19" s="12"/>
      <c r="U19" s="17" t="str">
        <f t="shared" si="6"/>
        <v>View</v>
      </c>
      <c r="V19" s="12"/>
      <c r="W19" s="12"/>
      <c r="X19" s="12"/>
      <c r="Y19" s="12"/>
      <c r="Z19" s="12"/>
    </row>
    <row r="20">
      <c r="A20" s="8">
        <v>44222.23826388889</v>
      </c>
      <c r="B20" s="9" t="str">
        <f>HYPERLINK("https://twitter.com/RosaRom62020963","@RosaRom62020963")</f>
        <v>@RosaRom62020963</v>
      </c>
      <c r="C20" s="10" t="s">
        <v>1534</v>
      </c>
      <c r="D20" s="10" t="s">
        <v>1535</v>
      </c>
      <c r="E20" s="9" t="str">
        <f>HYPERLINK("https://twitter.com/RosaRom62020963/status/1354032110856790016","1354032110856790016")</f>
        <v>1354032110856790016</v>
      </c>
      <c r="F20" s="11" t="s">
        <v>1536</v>
      </c>
      <c r="G20" s="10"/>
      <c r="H20" s="12"/>
      <c r="I20" s="13">
        <v>0.0</v>
      </c>
      <c r="J20" s="13">
        <v>0.0</v>
      </c>
      <c r="K20" s="9" t="str">
        <f>HYPERLINK("http://twitter.com/download/android","Twitter for Android")</f>
        <v>Twitter for Android</v>
      </c>
      <c r="L20" s="14">
        <v>8.0</v>
      </c>
      <c r="M20" s="14">
        <v>16.0</v>
      </c>
      <c r="N20" s="14">
        <v>0.0</v>
      </c>
      <c r="O20" s="19"/>
      <c r="P20" s="16">
        <v>44010.209189814814</v>
      </c>
      <c r="Q20" s="10"/>
      <c r="R20" s="10"/>
      <c r="S20" s="12"/>
      <c r="T20" s="12"/>
      <c r="U20" s="17" t="str">
        <f>HYPERLINK("https://pbs.twimg.com/profile_images/1354033714922201095/4V_cANrK.jpg","View")</f>
        <v>View</v>
      </c>
      <c r="V20" s="12"/>
      <c r="W20" s="12"/>
      <c r="X20" s="12"/>
      <c r="Y20" s="12"/>
      <c r="Z20" s="12"/>
    </row>
    <row r="21">
      <c r="A21" s="8">
        <v>44222.234178240746</v>
      </c>
      <c r="B21" s="9" t="str">
        <f>HYPERLINK("https://twitter.com/Vanzzini","@Vanzzini")</f>
        <v>@Vanzzini</v>
      </c>
      <c r="C21" s="10" t="s">
        <v>1537</v>
      </c>
      <c r="D21" s="10" t="s">
        <v>1538</v>
      </c>
      <c r="E21" s="9" t="str">
        <f>HYPERLINK("https://twitter.com/Vanzzini/status/1354030629369880576","1354030629369880576")</f>
        <v>1354030629369880576</v>
      </c>
      <c r="F21" s="12"/>
      <c r="G21" s="10"/>
      <c r="H21" s="12"/>
      <c r="I21" s="13">
        <v>1.0</v>
      </c>
      <c r="J21" s="13">
        <v>1.0</v>
      </c>
      <c r="K21" s="9" t="str">
        <f>HYPERLINK("https://tapbots.com/software/tweetbot/mac","Tweetbot for Mac")</f>
        <v>Tweetbot for Mac</v>
      </c>
      <c r="L21" s="14">
        <v>333745.0</v>
      </c>
      <c r="M21" s="14">
        <v>3743.0</v>
      </c>
      <c r="N21" s="14">
        <v>589.0</v>
      </c>
      <c r="O21" s="15" t="s">
        <v>24</v>
      </c>
      <c r="P21" s="16">
        <v>39914.84935185185</v>
      </c>
      <c r="Q21" s="10" t="s">
        <v>1539</v>
      </c>
      <c r="R21" s="10" t="s">
        <v>1540</v>
      </c>
      <c r="S21" s="11" t="s">
        <v>1541</v>
      </c>
      <c r="T21" s="12"/>
      <c r="U21" s="17" t="str">
        <f>HYPERLINK("https://pbs.twimg.com/profile_images/1079269997027962881/PVrTmBIK.jpg","View")</f>
        <v>View</v>
      </c>
      <c r="V21" s="12"/>
      <c r="W21" s="12"/>
      <c r="X21" s="12"/>
      <c r="Y21" s="12"/>
      <c r="Z21" s="12"/>
    </row>
    <row r="22">
      <c r="A22" s="8">
        <v>44222.01040509259</v>
      </c>
      <c r="B22" s="9" t="str">
        <f>HYPERLINK("https://twitter.com/Darth_Reivaj","@Darth_Reivaj")</f>
        <v>@Darth_Reivaj</v>
      </c>
      <c r="C22" s="10" t="s">
        <v>1542</v>
      </c>
      <c r="D22" s="10" t="s">
        <v>1543</v>
      </c>
      <c r="E22" s="9" t="str">
        <f>HYPERLINK("https://twitter.com/Darth_Reivaj/status/1353949535979114496","1353949535979114496")</f>
        <v>1353949535979114496</v>
      </c>
      <c r="F22" s="12"/>
      <c r="G22" s="10"/>
      <c r="H22" s="12"/>
      <c r="I22" s="13">
        <v>0.0</v>
      </c>
      <c r="J22" s="13">
        <v>0.0</v>
      </c>
      <c r="K22" s="9" t="str">
        <f t="shared" ref="K22:K23" si="7">HYPERLINK("http://twitter.com/download/iphone","Twitter for iPhone")</f>
        <v>Twitter for iPhone</v>
      </c>
      <c r="L22" s="14">
        <v>534.0</v>
      </c>
      <c r="M22" s="14">
        <v>1007.0</v>
      </c>
      <c r="N22" s="14">
        <v>1.0</v>
      </c>
      <c r="O22" s="19"/>
      <c r="P22" s="16">
        <v>40321.62902777777</v>
      </c>
      <c r="Q22" s="10" t="s">
        <v>325</v>
      </c>
      <c r="R22" s="10" t="s">
        <v>1544</v>
      </c>
      <c r="S22" s="12"/>
      <c r="T22" s="12"/>
      <c r="U22" s="17" t="str">
        <f>HYPERLINK("https://pbs.twimg.com/profile_images/1346485790629634048/ZqxqRFQx.jpg","View")</f>
        <v>View</v>
      </c>
      <c r="V22" s="12"/>
      <c r="W22" s="12"/>
      <c r="X22" s="12"/>
      <c r="Y22" s="12"/>
      <c r="Z22" s="12"/>
    </row>
    <row r="23">
      <c r="A23" s="8">
        <v>44221.98451388889</v>
      </c>
      <c r="B23" s="9" t="str">
        <f>HYPERLINK("https://twitter.com/GabrielEsper","@GabrielEsper")</f>
        <v>@GabrielEsper</v>
      </c>
      <c r="C23" s="10" t="s">
        <v>1545</v>
      </c>
      <c r="D23" s="10" t="s">
        <v>1546</v>
      </c>
      <c r="E23" s="9" t="str">
        <f>HYPERLINK("https://twitter.com/GabrielEsper/status/1353940156592447490","1353940156592447490")</f>
        <v>1353940156592447490</v>
      </c>
      <c r="F23" s="12"/>
      <c r="G23" s="10"/>
      <c r="H23" s="12"/>
      <c r="I23" s="13">
        <v>0.0</v>
      </c>
      <c r="J23" s="13">
        <v>2.0</v>
      </c>
      <c r="K23" s="9" t="str">
        <f t="shared" si="7"/>
        <v>Twitter for iPhone</v>
      </c>
      <c r="L23" s="14">
        <v>342.0</v>
      </c>
      <c r="M23" s="14">
        <v>281.0</v>
      </c>
      <c r="N23" s="14">
        <v>7.0</v>
      </c>
      <c r="O23" s="19"/>
      <c r="P23" s="16">
        <v>40036.485613425924</v>
      </c>
      <c r="Q23" s="10" t="s">
        <v>1547</v>
      </c>
      <c r="R23" s="10" t="s">
        <v>1548</v>
      </c>
      <c r="S23" s="11" t="s">
        <v>1549</v>
      </c>
      <c r="T23" s="12"/>
      <c r="U23" s="17" t="str">
        <f>HYPERLINK("https://pbs.twimg.com/profile_images/1259536317852999680/2pjsLukZ.jpg","View")</f>
        <v>View</v>
      </c>
      <c r="V23" s="12"/>
      <c r="W23" s="12"/>
      <c r="X23" s="12"/>
      <c r="Y23" s="12"/>
      <c r="Z23" s="12"/>
    </row>
    <row r="24">
      <c r="A24" s="8">
        <v>44221.97965277778</v>
      </c>
      <c r="B24" s="9" t="str">
        <f>HYPERLINK("https://twitter.com/vetacreativa","@vetacreativa")</f>
        <v>@vetacreativa</v>
      </c>
      <c r="C24" s="10" t="s">
        <v>1550</v>
      </c>
      <c r="D24" s="10" t="s">
        <v>1551</v>
      </c>
      <c r="E24" s="9" t="str">
        <f>HYPERLINK("https://twitter.com/vetacreativa/status/1353938394938626050","1353938394938626050")</f>
        <v>1353938394938626050</v>
      </c>
      <c r="F24" s="11" t="s">
        <v>1552</v>
      </c>
      <c r="G24" s="10"/>
      <c r="H24" s="12"/>
      <c r="I24" s="13">
        <v>0.0</v>
      </c>
      <c r="J24" s="13">
        <v>0.0</v>
      </c>
      <c r="K24" s="9" t="str">
        <f>HYPERLINK("https://mobile.twitter.com","Twitter Web App")</f>
        <v>Twitter Web App</v>
      </c>
      <c r="L24" s="14">
        <v>1041.0</v>
      </c>
      <c r="M24" s="14">
        <v>2465.0</v>
      </c>
      <c r="N24" s="14">
        <v>19.0</v>
      </c>
      <c r="O24" s="19"/>
      <c r="P24" s="16">
        <v>39488.86010416667</v>
      </c>
      <c r="Q24" s="10" t="s">
        <v>1553</v>
      </c>
      <c r="R24" s="10" t="s">
        <v>1554</v>
      </c>
      <c r="S24" s="11" t="s">
        <v>1555</v>
      </c>
      <c r="T24" s="12"/>
      <c r="U24" s="17" t="str">
        <f>HYPERLINK("https://pbs.twimg.com/profile_images/444358018050707456/Q1jC866M.jpeg","View")</f>
        <v>View</v>
      </c>
      <c r="V24" s="12"/>
      <c r="W24" s="12"/>
      <c r="X24" s="12"/>
      <c r="Y24" s="12"/>
      <c r="Z24" s="12"/>
    </row>
    <row r="25">
      <c r="A25" s="8">
        <v>44221.97833333333</v>
      </c>
      <c r="B25" s="9" t="str">
        <f>HYPERLINK("https://twitter.com/vickrpb","@vickrpb")</f>
        <v>@vickrpb</v>
      </c>
      <c r="C25" s="10" t="s">
        <v>1556</v>
      </c>
      <c r="D25" s="10" t="s">
        <v>1557</v>
      </c>
      <c r="E25" s="9" t="str">
        <f>HYPERLINK("https://twitter.com/vickrpb/status/1353937913134931968","1353937913134931968")</f>
        <v>1353937913134931968</v>
      </c>
      <c r="F25" s="11" t="s">
        <v>1558</v>
      </c>
      <c r="G25" s="10"/>
      <c r="H25" s="12"/>
      <c r="I25" s="13">
        <v>0.0</v>
      </c>
      <c r="J25" s="13">
        <v>2.0</v>
      </c>
      <c r="K25" s="9" t="str">
        <f>HYPERLINK("http://twitter.com/download/iphone","Twitter for iPhone")</f>
        <v>Twitter for iPhone</v>
      </c>
      <c r="L25" s="14">
        <v>16601.0</v>
      </c>
      <c r="M25" s="14">
        <v>3758.0</v>
      </c>
      <c r="N25" s="14">
        <v>83.0</v>
      </c>
      <c r="O25" s="19"/>
      <c r="P25" s="16">
        <v>40120.71565972222</v>
      </c>
      <c r="Q25" s="10" t="s">
        <v>1559</v>
      </c>
      <c r="R25" s="10" t="s">
        <v>1560</v>
      </c>
      <c r="S25" s="11" t="s">
        <v>1561</v>
      </c>
      <c r="T25" s="12"/>
      <c r="U25" s="17" t="str">
        <f>HYPERLINK("https://pbs.twimg.com/profile_images/1333525474878902274/DorskV6n.jpg","View")</f>
        <v>View</v>
      </c>
      <c r="V25" s="12"/>
      <c r="W25" s="12"/>
      <c r="X25" s="12"/>
      <c r="Y25" s="12"/>
      <c r="Z25" s="12"/>
    </row>
    <row r="26">
      <c r="A26" s="8">
        <v>44221.97320601852</v>
      </c>
      <c r="B26" s="9" t="str">
        <f>HYPERLINK("https://twitter.com/Porfis08582237","@Porfis08582237")</f>
        <v>@Porfis08582237</v>
      </c>
      <c r="C26" s="10" t="s">
        <v>1562</v>
      </c>
      <c r="D26" s="10" t="s">
        <v>1563</v>
      </c>
      <c r="E26" s="9" t="str">
        <f>HYPERLINK("https://twitter.com/Porfis08582237/status/1353936054898860033","1353936054898860033")</f>
        <v>1353936054898860033</v>
      </c>
      <c r="F26" s="12"/>
      <c r="G26" s="10"/>
      <c r="H26" s="12"/>
      <c r="I26" s="13">
        <v>1.0</v>
      </c>
      <c r="J26" s="13">
        <v>0.0</v>
      </c>
      <c r="K26" s="9" t="str">
        <f>HYPERLINK("http://twitter.com/download/android","Twitter for Android")</f>
        <v>Twitter for Android</v>
      </c>
      <c r="L26" s="14">
        <v>634.0</v>
      </c>
      <c r="M26" s="14">
        <v>1269.0</v>
      </c>
      <c r="N26" s="14">
        <v>1.0</v>
      </c>
      <c r="O26" s="19"/>
      <c r="P26" s="16">
        <v>44095.9825462963</v>
      </c>
      <c r="Q26" s="10"/>
      <c r="R26" s="10" t="s">
        <v>1564</v>
      </c>
      <c r="S26" s="12"/>
      <c r="T26" s="12"/>
      <c r="U26" s="17" t="str">
        <f>HYPERLINK("https://pbs.twimg.com/profile_images/1308263558656987136/W2vYFuwb.jpg","View")</f>
        <v>View</v>
      </c>
      <c r="V26" s="12"/>
      <c r="W26" s="12"/>
      <c r="X26" s="12"/>
      <c r="Y26" s="12"/>
      <c r="Z26" s="12"/>
    </row>
    <row r="27">
      <c r="A27" s="8">
        <v>44221.964224537034</v>
      </c>
      <c r="B27" s="9" t="str">
        <f>HYPERLINK("https://twitter.com/rangelirijillo","@rangelirijillo")</f>
        <v>@rangelirijillo</v>
      </c>
      <c r="C27" s="10" t="s">
        <v>1565</v>
      </c>
      <c r="D27" s="10" t="s">
        <v>1566</v>
      </c>
      <c r="E27" s="9" t="str">
        <f>HYPERLINK("https://twitter.com/rangelirijillo/status/1353932801238831104","1353932801238831104")</f>
        <v>1353932801238831104</v>
      </c>
      <c r="F27" s="12"/>
      <c r="G27" s="10"/>
      <c r="H27" s="12"/>
      <c r="I27" s="13">
        <v>0.0</v>
      </c>
      <c r="J27" s="13">
        <v>0.0</v>
      </c>
      <c r="K27" s="9" t="str">
        <f>HYPERLINK("http://twitter.com/download/iphone","Twitter for iPhone")</f>
        <v>Twitter for iPhone</v>
      </c>
      <c r="L27" s="14">
        <v>273.0</v>
      </c>
      <c r="M27" s="14">
        <v>750.0</v>
      </c>
      <c r="N27" s="14">
        <v>21.0</v>
      </c>
      <c r="O27" s="19"/>
      <c r="P27" s="16">
        <v>40233.68126157408</v>
      </c>
      <c r="Q27" s="10" t="s">
        <v>325</v>
      </c>
      <c r="R27" s="10"/>
      <c r="S27" s="12"/>
      <c r="T27" s="12"/>
      <c r="U27" s="17" t="str">
        <f>HYPERLINK("https://pbs.twimg.com/profile_images/1140391934034419712/h9VqKp4I.jpg","View")</f>
        <v>View</v>
      </c>
      <c r="V27" s="12"/>
      <c r="W27" s="12"/>
      <c r="X27" s="12"/>
      <c r="Y27" s="12"/>
      <c r="Z27" s="12"/>
    </row>
    <row r="28">
      <c r="A28" s="8">
        <v>44221.95834490741</v>
      </c>
      <c r="B28" s="9" t="str">
        <f>HYPERLINK("https://twitter.com/maprifu","@maprifu")</f>
        <v>@maprifu</v>
      </c>
      <c r="C28" s="10" t="s">
        <v>1567</v>
      </c>
      <c r="D28" s="10" t="s">
        <v>1568</v>
      </c>
      <c r="E28" s="9" t="str">
        <f>HYPERLINK("https://twitter.com/maprifu/status/1353930671778111488","1353930671778111488")</f>
        <v>1353930671778111488</v>
      </c>
      <c r="F28" s="11" t="s">
        <v>1533</v>
      </c>
      <c r="G28" s="10"/>
      <c r="H28" s="12"/>
      <c r="I28" s="13">
        <v>0.0</v>
      </c>
      <c r="J28" s="13">
        <v>0.0</v>
      </c>
      <c r="K28" s="9" t="str">
        <f t="shared" ref="K28:K29" si="8">HYPERLINK("http://twitter.com/download/android","Twitter for Android")</f>
        <v>Twitter for Android</v>
      </c>
      <c r="L28" s="14">
        <v>51.0</v>
      </c>
      <c r="M28" s="14">
        <v>228.0</v>
      </c>
      <c r="N28" s="14">
        <v>0.0</v>
      </c>
      <c r="O28" s="19"/>
      <c r="P28" s="16">
        <v>44155.56910879629</v>
      </c>
      <c r="Q28" s="10" t="s">
        <v>1569</v>
      </c>
      <c r="R28" s="10" t="s">
        <v>1570</v>
      </c>
      <c r="S28" s="12"/>
      <c r="T28" s="12"/>
      <c r="U28" s="17" t="str">
        <f>HYPERLINK("https://pbs.twimg.com/profile_images/1329872328570793984/90JMH6Bv.jpg","View")</f>
        <v>View</v>
      </c>
      <c r="V28" s="12"/>
      <c r="W28" s="12"/>
      <c r="X28" s="12"/>
      <c r="Y28" s="12"/>
      <c r="Z28" s="12"/>
    </row>
    <row r="29">
      <c r="A29" s="8">
        <v>44221.95273148148</v>
      </c>
      <c r="B29" s="9" t="str">
        <f>HYPERLINK("https://twitter.com/optimusneo","@optimusneo")</f>
        <v>@optimusneo</v>
      </c>
      <c r="C29" s="10" t="s">
        <v>1571</v>
      </c>
      <c r="D29" s="10" t="s">
        <v>1572</v>
      </c>
      <c r="E29" s="9" t="str">
        <f>HYPERLINK("https://twitter.com/optimusneo/status/1353928637012185088","1353928637012185088")</f>
        <v>1353928637012185088</v>
      </c>
      <c r="F29" s="12"/>
      <c r="G29" s="11" t="s">
        <v>1573</v>
      </c>
      <c r="H29" s="12"/>
      <c r="I29" s="13">
        <v>5.0</v>
      </c>
      <c r="J29" s="13">
        <v>29.0</v>
      </c>
      <c r="K29" s="9" t="str">
        <f t="shared" si="8"/>
        <v>Twitter for Android</v>
      </c>
      <c r="L29" s="14">
        <v>945.0</v>
      </c>
      <c r="M29" s="14">
        <v>1537.0</v>
      </c>
      <c r="N29" s="14">
        <v>4.0</v>
      </c>
      <c r="O29" s="19"/>
      <c r="P29" s="16">
        <v>40061.697743055556</v>
      </c>
      <c r="Q29" s="10" t="s">
        <v>1574</v>
      </c>
      <c r="R29" s="10" t="s">
        <v>1575</v>
      </c>
      <c r="S29" s="12"/>
      <c r="T29" s="12"/>
      <c r="U29" s="17" t="str">
        <f>HYPERLINK("https://pbs.twimg.com/profile_images/1349607319609470976/7JXVcwt6.jpg","View")</f>
        <v>View</v>
      </c>
      <c r="V29" s="12"/>
      <c r="W29" s="12"/>
      <c r="X29" s="12"/>
      <c r="Y29" s="12"/>
      <c r="Z29" s="12"/>
    </row>
    <row r="30">
      <c r="A30" s="8">
        <v>44221.948229166665</v>
      </c>
      <c r="B30" s="9" t="str">
        <f>HYPERLINK("https://twitter.com/trolecilloazul","@trolecilloazul")</f>
        <v>@trolecilloazul</v>
      </c>
      <c r="C30" s="10" t="s">
        <v>1576</v>
      </c>
      <c r="D30" s="10" t="s">
        <v>1577</v>
      </c>
      <c r="E30" s="9" t="str">
        <f>HYPERLINK("https://twitter.com/trolecilloazul/status/1353927006589759489","1353927006589759489")</f>
        <v>1353927006589759489</v>
      </c>
      <c r="F30" s="12"/>
      <c r="G30" s="10"/>
      <c r="H30" s="12"/>
      <c r="I30" s="13">
        <v>3.0</v>
      </c>
      <c r="J30" s="13">
        <v>28.0</v>
      </c>
      <c r="K30" s="9" t="str">
        <f>HYPERLINK("http://twitter.com/download/iphone","Twitter for iPhone")</f>
        <v>Twitter for iPhone</v>
      </c>
      <c r="L30" s="14">
        <v>808.0</v>
      </c>
      <c r="M30" s="14">
        <v>671.0</v>
      </c>
      <c r="N30" s="14">
        <v>4.0</v>
      </c>
      <c r="O30" s="19"/>
      <c r="P30" s="16">
        <v>43244.35976851852</v>
      </c>
      <c r="Q30" s="10"/>
      <c r="R30" s="10" t="s">
        <v>1578</v>
      </c>
      <c r="S30" s="12"/>
      <c r="T30" s="12"/>
      <c r="U30" s="17" t="str">
        <f>HYPERLINK("https://pbs.twimg.com/profile_images/1353752695111352320/i6xSnhNu.jpg","View")</f>
        <v>View</v>
      </c>
      <c r="V30" s="12"/>
      <c r="W30" s="12"/>
      <c r="X30" s="12"/>
      <c r="Y30" s="12"/>
      <c r="Z30" s="12"/>
    </row>
    <row r="31">
      <c r="A31" s="8">
        <v>44221.91952546296</v>
      </c>
      <c r="B31" s="9" t="str">
        <f>HYPERLINK("https://twitter.com/Chintololo2","@Chintololo2")</f>
        <v>@Chintololo2</v>
      </c>
      <c r="C31" s="10" t="s">
        <v>1579</v>
      </c>
      <c r="D31" s="10" t="s">
        <v>1580</v>
      </c>
      <c r="E31" s="9" t="str">
        <f>HYPERLINK("https://twitter.com/Chintololo2/status/1353916604434821122","1353916604434821122")</f>
        <v>1353916604434821122</v>
      </c>
      <c r="F31" s="12"/>
      <c r="G31" s="10"/>
      <c r="H31" s="12"/>
      <c r="I31" s="13">
        <v>0.0</v>
      </c>
      <c r="J31" s="13">
        <v>0.0</v>
      </c>
      <c r="K31" s="9" t="str">
        <f>HYPERLINK("http://twitter.com/download/android","Twitter for Android")</f>
        <v>Twitter for Android</v>
      </c>
      <c r="L31" s="14">
        <v>2.0</v>
      </c>
      <c r="M31" s="14">
        <v>116.0</v>
      </c>
      <c r="N31" s="14">
        <v>0.0</v>
      </c>
      <c r="O31" s="19"/>
      <c r="P31" s="16">
        <v>44176.12414351852</v>
      </c>
      <c r="Q31" s="10"/>
      <c r="R31" s="10" t="s">
        <v>1581</v>
      </c>
      <c r="S31" s="12"/>
      <c r="T31" s="12"/>
      <c r="U31" s="17" t="str">
        <f>HYPERLINK("https://pbs.twimg.com/profile_images/1337321210082942977/6RVJAzaW.jpg","View")</f>
        <v>View</v>
      </c>
      <c r="V31" s="12"/>
      <c r="W31" s="12"/>
      <c r="X31" s="12"/>
      <c r="Y31" s="12"/>
      <c r="Z31" s="12"/>
    </row>
    <row r="32">
      <c r="A32" s="8">
        <v>44221.91835648148</v>
      </c>
      <c r="B32" s="9" t="str">
        <f>HYPERLINK("https://twitter.com/DomadorDChairos","@DomadorDChairos")</f>
        <v>@DomadorDChairos</v>
      </c>
      <c r="C32" s="10" t="s">
        <v>1582</v>
      </c>
      <c r="D32" s="10" t="s">
        <v>1583</v>
      </c>
      <c r="E32" s="9" t="str">
        <f>HYPERLINK("https://twitter.com/DomadorDChairos/status/1353916181191610370","1353916181191610370")</f>
        <v>1353916181191610370</v>
      </c>
      <c r="F32" s="10" t="s">
        <v>1584</v>
      </c>
      <c r="G32" s="10"/>
      <c r="H32" s="12"/>
      <c r="I32" s="13">
        <v>0.0</v>
      </c>
      <c r="J32" s="13">
        <v>0.0</v>
      </c>
      <c r="K32" s="9" t="str">
        <f>HYPERLINK("https://mobile.twitter.com","Twitter Web App")</f>
        <v>Twitter Web App</v>
      </c>
      <c r="L32" s="14">
        <v>157.0</v>
      </c>
      <c r="M32" s="14">
        <v>487.0</v>
      </c>
      <c r="N32" s="14">
        <v>0.0</v>
      </c>
      <c r="O32" s="19"/>
      <c r="P32" s="16">
        <v>44158.77784722223</v>
      </c>
      <c r="Q32" s="10" t="s">
        <v>1585</v>
      </c>
      <c r="R32" s="10" t="s">
        <v>1586</v>
      </c>
      <c r="S32" s="12"/>
      <c r="T32" s="12"/>
      <c r="U32" s="17" t="str">
        <f>HYPERLINK("https://pbs.twimg.com/profile_images/1339978822775697410/VxVRc-Be.jpg","View")</f>
        <v>View</v>
      </c>
      <c r="V32" s="12"/>
      <c r="W32" s="12"/>
      <c r="X32" s="12"/>
      <c r="Y32" s="12"/>
      <c r="Z32" s="12"/>
    </row>
    <row r="33">
      <c r="A33" s="8">
        <v>44221.90402777778</v>
      </c>
      <c r="B33" s="9" t="str">
        <f>HYPERLINK("https://twitter.com/Insagro","@Insagro")</f>
        <v>@Insagro</v>
      </c>
      <c r="C33" s="10" t="s">
        <v>1587</v>
      </c>
      <c r="D33" s="10" t="s">
        <v>1588</v>
      </c>
      <c r="E33" s="9" t="str">
        <f>HYPERLINK("https://twitter.com/Insagro/status/1353910989213855744","1353910989213855744")</f>
        <v>1353910989213855744</v>
      </c>
      <c r="F33" s="12"/>
      <c r="G33" s="11" t="s">
        <v>1589</v>
      </c>
      <c r="H33" s="12"/>
      <c r="I33" s="13">
        <v>0.0</v>
      </c>
      <c r="J33" s="13">
        <v>0.0</v>
      </c>
      <c r="K33" s="9" t="str">
        <f t="shared" ref="K33:K34" si="9">HYPERLINK("http://twitter.com/download/android","Twitter for Android")</f>
        <v>Twitter for Android</v>
      </c>
      <c r="L33" s="14">
        <v>152.0</v>
      </c>
      <c r="M33" s="14">
        <v>809.0</v>
      </c>
      <c r="N33" s="14">
        <v>1.0</v>
      </c>
      <c r="O33" s="19"/>
      <c r="P33" s="16">
        <v>42006.543715277774</v>
      </c>
      <c r="Q33" s="10" t="s">
        <v>1590</v>
      </c>
      <c r="R33" s="10" t="s">
        <v>1591</v>
      </c>
      <c r="S33" s="12"/>
      <c r="T33" s="12"/>
      <c r="U33" s="17" t="str">
        <f>HYPERLINK("https://pbs.twimg.com/profile_images/1211067702502133760/_5_he5Pp.jpg","View")</f>
        <v>View</v>
      </c>
      <c r="V33" s="12"/>
      <c r="W33" s="12"/>
      <c r="X33" s="12"/>
      <c r="Y33" s="12"/>
      <c r="Z33" s="12"/>
    </row>
    <row r="34">
      <c r="A34" s="8">
        <v>44221.9002662037</v>
      </c>
      <c r="B34" s="9" t="str">
        <f>HYPERLINK("https://twitter.com/LaRanaAzulada","@LaRanaAzulada")</f>
        <v>@LaRanaAzulada</v>
      </c>
      <c r="C34" s="10" t="s">
        <v>1073</v>
      </c>
      <c r="D34" s="10" t="s">
        <v>1592</v>
      </c>
      <c r="E34" s="9" t="str">
        <f>HYPERLINK("https://twitter.com/LaRanaAzulada/status/1353909623556886528","1353909623556886528")</f>
        <v>1353909623556886528</v>
      </c>
      <c r="F34" s="12"/>
      <c r="G34" s="10"/>
      <c r="H34" s="12"/>
      <c r="I34" s="13">
        <v>2.0</v>
      </c>
      <c r="J34" s="13">
        <v>1.0</v>
      </c>
      <c r="K34" s="9" t="str">
        <f t="shared" si="9"/>
        <v>Twitter for Android</v>
      </c>
      <c r="L34" s="14">
        <v>1422.0</v>
      </c>
      <c r="M34" s="14">
        <v>1009.0</v>
      </c>
      <c r="N34" s="14">
        <v>3.0</v>
      </c>
      <c r="O34" s="19"/>
      <c r="P34" s="16">
        <v>40201.91677083333</v>
      </c>
      <c r="Q34" s="10"/>
      <c r="R34" s="10"/>
      <c r="S34" s="12"/>
      <c r="T34" s="12"/>
      <c r="U34" s="17" t="str">
        <f>HYPERLINK("https://pbs.twimg.com/profile_images/1340126795312615425/ej-c6Ett.jpg","View")</f>
        <v>View</v>
      </c>
      <c r="V34" s="12"/>
      <c r="W34" s="12"/>
      <c r="X34" s="12"/>
      <c r="Y34" s="12"/>
      <c r="Z34" s="12"/>
    </row>
    <row r="35">
      <c r="A35" s="8">
        <v>44221.8981712963</v>
      </c>
      <c r="B35" s="9" t="str">
        <f>HYPERLINK("https://twitter.com/ExAnacronic0","@ExAnacronic0")</f>
        <v>@ExAnacronic0</v>
      </c>
      <c r="C35" s="10" t="s">
        <v>1593</v>
      </c>
      <c r="D35" s="10" t="s">
        <v>1594</v>
      </c>
      <c r="E35" s="9" t="str">
        <f>HYPERLINK("https://twitter.com/ExAnacronic0/status/1353908864958259200","1353908864958259200")</f>
        <v>1353908864958259200</v>
      </c>
      <c r="F35" s="10" t="s">
        <v>1595</v>
      </c>
      <c r="G35" s="10"/>
      <c r="H35" s="12"/>
      <c r="I35" s="13">
        <v>0.0</v>
      </c>
      <c r="J35" s="13">
        <v>0.0</v>
      </c>
      <c r="K35" s="9" t="str">
        <f>HYPERLINK("http://twitter.com/download/iphone","Twitter for iPhone")</f>
        <v>Twitter for iPhone</v>
      </c>
      <c r="L35" s="14">
        <v>93.0</v>
      </c>
      <c r="M35" s="14">
        <v>119.0</v>
      </c>
      <c r="N35" s="14">
        <v>0.0</v>
      </c>
      <c r="O35" s="19"/>
      <c r="P35" s="16">
        <v>43807.70091435185</v>
      </c>
      <c r="Q35" s="10" t="s">
        <v>526</v>
      </c>
      <c r="R35" s="10" t="s">
        <v>1596</v>
      </c>
      <c r="S35" s="12"/>
      <c r="T35" s="12"/>
      <c r="U35" s="17" t="str">
        <f>HYPERLINK("https://pbs.twimg.com/profile_images/1203809476425310208/0MZdxO43.jpg","View")</f>
        <v>View</v>
      </c>
      <c r="V35" s="12"/>
      <c r="W35" s="12"/>
      <c r="X35" s="12"/>
      <c r="Y35" s="12"/>
      <c r="Z35" s="12"/>
    </row>
    <row r="36">
      <c r="A36" s="8">
        <v>44221.894583333335</v>
      </c>
      <c r="B36" s="9" t="str">
        <f>HYPERLINK("https://twitter.com/LaRanaAzulada","@LaRanaAzulada")</f>
        <v>@LaRanaAzulada</v>
      </c>
      <c r="C36" s="10" t="s">
        <v>1073</v>
      </c>
      <c r="D36" s="10" t="s">
        <v>1597</v>
      </c>
      <c r="E36" s="9" t="str">
        <f>HYPERLINK("https://twitter.com/LaRanaAzulada/status/1353907564673642498","1353907564673642498")</f>
        <v>1353907564673642498</v>
      </c>
      <c r="F36" s="10" t="s">
        <v>1598</v>
      </c>
      <c r="G36" s="10"/>
      <c r="H36" s="12"/>
      <c r="I36" s="13">
        <v>0.0</v>
      </c>
      <c r="J36" s="13">
        <v>0.0</v>
      </c>
      <c r="K36" s="9" t="str">
        <f>HYPERLINK("http://twitter.com/download/android","Twitter for Android")</f>
        <v>Twitter for Android</v>
      </c>
      <c r="L36" s="14">
        <v>1422.0</v>
      </c>
      <c r="M36" s="14">
        <v>1009.0</v>
      </c>
      <c r="N36" s="14">
        <v>3.0</v>
      </c>
      <c r="O36" s="19"/>
      <c r="P36" s="16">
        <v>40201.91677083333</v>
      </c>
      <c r="Q36" s="10"/>
      <c r="R36" s="10"/>
      <c r="S36" s="12"/>
      <c r="T36" s="12"/>
      <c r="U36" s="17" t="str">
        <f>HYPERLINK("https://pbs.twimg.com/profile_images/1340126795312615425/ej-c6Ett.jpg","View")</f>
        <v>View</v>
      </c>
      <c r="V36" s="12"/>
      <c r="W36" s="12"/>
      <c r="X36" s="12"/>
      <c r="Y36" s="12"/>
      <c r="Z36" s="12"/>
    </row>
    <row r="37">
      <c r="A37" s="8">
        <v>44221.893275462964</v>
      </c>
      <c r="B37" s="9" t="str">
        <f>HYPERLINK("https://twitter.com/Maricela_Arnaiz","@Maricela_Arnaiz")</f>
        <v>@Maricela_Arnaiz</v>
      </c>
      <c r="C37" s="10" t="s">
        <v>1599</v>
      </c>
      <c r="D37" s="10" t="s">
        <v>1600</v>
      </c>
      <c r="E37" s="9" t="str">
        <f>HYPERLINK("https://twitter.com/Maricela_Arnaiz/status/1353907090063036417","1353907090063036417")</f>
        <v>1353907090063036417</v>
      </c>
      <c r="F37" s="12"/>
      <c r="G37" s="11" t="s">
        <v>1601</v>
      </c>
      <c r="H37" s="12"/>
      <c r="I37" s="13">
        <v>150.0</v>
      </c>
      <c r="J37" s="13">
        <v>275.0</v>
      </c>
      <c r="K37" s="9" t="str">
        <f>HYPERLINK("http://twitter.com/download/iphone","Twitter for iPhone")</f>
        <v>Twitter for iPhone</v>
      </c>
      <c r="L37" s="14">
        <v>5316.0</v>
      </c>
      <c r="M37" s="14">
        <v>4302.0</v>
      </c>
      <c r="N37" s="14">
        <v>8.0</v>
      </c>
      <c r="O37" s="19"/>
      <c r="P37" s="16">
        <v>41174.556608796294</v>
      </c>
      <c r="Q37" s="10" t="s">
        <v>478</v>
      </c>
      <c r="R37" s="10" t="s">
        <v>1602</v>
      </c>
      <c r="S37" s="12"/>
      <c r="T37" s="12"/>
      <c r="U37" s="17" t="str">
        <f>HYPERLINK("https://pbs.twimg.com/profile_images/1340070436571389953/_B2T52N7.jpg","View")</f>
        <v>View</v>
      </c>
      <c r="V37" s="12"/>
      <c r="W37" s="12"/>
      <c r="X37" s="12"/>
      <c r="Y37" s="12"/>
      <c r="Z37" s="12"/>
    </row>
    <row r="38">
      <c r="A38" s="8">
        <v>44221.892638888894</v>
      </c>
      <c r="B38" s="9" t="str">
        <f>HYPERLINK("https://twitter.com/hex250","@hex250")</f>
        <v>@hex250</v>
      </c>
      <c r="C38" s="10" t="s">
        <v>1603</v>
      </c>
      <c r="D38" s="10" t="s">
        <v>1604</v>
      </c>
      <c r="E38" s="9" t="str">
        <f>HYPERLINK("https://twitter.com/hex250/status/1353906862098239488","1353906862098239488")</f>
        <v>1353906862098239488</v>
      </c>
      <c r="F38" s="12"/>
      <c r="G38" s="10"/>
      <c r="H38" s="12"/>
      <c r="I38" s="13">
        <v>0.0</v>
      </c>
      <c r="J38" s="13">
        <v>0.0</v>
      </c>
      <c r="K38" s="9" t="str">
        <f>HYPERLINK("http://twitter.com/download/android","Twitter for Android")</f>
        <v>Twitter for Android</v>
      </c>
      <c r="L38" s="14">
        <v>153.0</v>
      </c>
      <c r="M38" s="14">
        <v>200.0</v>
      </c>
      <c r="N38" s="14">
        <v>2.0</v>
      </c>
      <c r="O38" s="19"/>
      <c r="P38" s="16">
        <v>41880.6634375</v>
      </c>
      <c r="Q38" s="10"/>
      <c r="R38" s="10"/>
      <c r="S38" s="12"/>
      <c r="T38" s="12"/>
      <c r="U38" s="17" t="str">
        <f>HYPERLINK("https://pbs.twimg.com/profile_images/1350284436164603905/keKvx2Nn.jpg","View")</f>
        <v>View</v>
      </c>
      <c r="V38" s="12"/>
      <c r="W38" s="12"/>
      <c r="X38" s="12"/>
      <c r="Y38" s="12"/>
      <c r="Z38" s="12"/>
    </row>
    <row r="39">
      <c r="A39" s="8">
        <v>44221.89165509259</v>
      </c>
      <c r="B39" s="9" t="str">
        <f>HYPERLINK("https://twitter.com/politicomx","@politicomx")</f>
        <v>@politicomx</v>
      </c>
      <c r="C39" s="10" t="s">
        <v>1605</v>
      </c>
      <c r="D39" s="10" t="s">
        <v>1606</v>
      </c>
      <c r="E39" s="9" t="str">
        <f>HYPERLINK("https://twitter.com/politicomx/status/1353906504869539846","1353906504869539846")</f>
        <v>1353906504869539846</v>
      </c>
      <c r="F39" s="11" t="s">
        <v>1607</v>
      </c>
      <c r="G39" s="11" t="s">
        <v>1608</v>
      </c>
      <c r="H39" s="12"/>
      <c r="I39" s="13">
        <v>5.0</v>
      </c>
      <c r="J39" s="13">
        <v>12.0</v>
      </c>
      <c r="K39" s="9" t="str">
        <f>HYPERLINK("https://mobile.twitter.com","Twitter Web App")</f>
        <v>Twitter Web App</v>
      </c>
      <c r="L39" s="14">
        <v>122394.0</v>
      </c>
      <c r="M39" s="14">
        <v>931.0</v>
      </c>
      <c r="N39" s="14">
        <v>998.0</v>
      </c>
      <c r="O39" s="15" t="s">
        <v>24</v>
      </c>
      <c r="P39" s="16">
        <v>40294.689317129625</v>
      </c>
      <c r="Q39" s="10" t="s">
        <v>325</v>
      </c>
      <c r="R39" s="10" t="s">
        <v>1609</v>
      </c>
      <c r="S39" s="11" t="s">
        <v>1610</v>
      </c>
      <c r="T39" s="12"/>
      <c r="U39" s="17" t="str">
        <f>HYPERLINK("https://pbs.twimg.com/profile_images/1323098683450281985/2LvugDjM.jpg","View")</f>
        <v>View</v>
      </c>
      <c r="V39" s="12"/>
      <c r="W39" s="12"/>
      <c r="X39" s="12"/>
      <c r="Y39" s="12"/>
      <c r="Z39" s="12"/>
    </row>
    <row r="40">
      <c r="A40" s="8">
        <v>44221.88452546296</v>
      </c>
      <c r="B40" s="9" t="str">
        <f>HYPERLINK("https://twitter.com/JoseAntonioLo06","@JoseAntonioLo06")</f>
        <v>@JoseAntonioLo06</v>
      </c>
      <c r="C40" s="10" t="s">
        <v>1611</v>
      </c>
      <c r="D40" s="10" t="s">
        <v>1612</v>
      </c>
      <c r="E40" s="9" t="str">
        <f>HYPERLINK("https://twitter.com/JoseAntonioLo06/status/1353903919290789890","1353903919290789890")</f>
        <v>1353903919290789890</v>
      </c>
      <c r="F40" s="12"/>
      <c r="G40" s="11" t="s">
        <v>1497</v>
      </c>
      <c r="H40" s="12"/>
      <c r="I40" s="13">
        <v>18.0</v>
      </c>
      <c r="J40" s="13">
        <v>137.0</v>
      </c>
      <c r="K40" s="9" t="str">
        <f>HYPERLINK("http://twitter.com/download/android","Twitter for Android")</f>
        <v>Twitter for Android</v>
      </c>
      <c r="L40" s="14">
        <v>26522.0</v>
      </c>
      <c r="M40" s="14">
        <v>21600.0</v>
      </c>
      <c r="N40" s="14">
        <v>54.0</v>
      </c>
      <c r="O40" s="19"/>
      <c r="P40" s="16">
        <v>40886.64921296296</v>
      </c>
      <c r="Q40" s="10" t="s">
        <v>1613</v>
      </c>
      <c r="R40" s="10" t="s">
        <v>1614</v>
      </c>
      <c r="S40" s="12"/>
      <c r="T40" s="12"/>
      <c r="U40" s="17" t="str">
        <f>HYPERLINK("https://pbs.twimg.com/profile_images/1282838946993647616/fkydHD1E.jpg","View")</f>
        <v>View</v>
      </c>
      <c r="V40" s="12"/>
      <c r="W40" s="12"/>
      <c r="X40" s="12"/>
      <c r="Y40" s="12"/>
      <c r="Z40" s="12"/>
    </row>
    <row r="41">
      <c r="A41" s="8">
        <v>44221.8671875</v>
      </c>
      <c r="B41" s="9" t="str">
        <f>HYPERLINK("https://twitter.com/alexciddeleon","@alexciddeleon")</f>
        <v>@alexciddeleon</v>
      </c>
      <c r="C41" s="10" t="s">
        <v>1615</v>
      </c>
      <c r="D41" s="10" t="s">
        <v>1616</v>
      </c>
      <c r="E41" s="9" t="str">
        <f>HYPERLINK("https://twitter.com/alexciddeleon/status/1353897637578235904","1353897637578235904")</f>
        <v>1353897637578235904</v>
      </c>
      <c r="F41" s="12"/>
      <c r="G41" s="10"/>
      <c r="H41" s="12"/>
      <c r="I41" s="13">
        <v>0.0</v>
      </c>
      <c r="J41" s="13">
        <v>0.0</v>
      </c>
      <c r="K41" s="9" t="str">
        <f>HYPERLINK("http://twitter.com/download/iphone","Twitter for iPhone")</f>
        <v>Twitter for iPhone</v>
      </c>
      <c r="L41" s="14">
        <v>879.0</v>
      </c>
      <c r="M41" s="14">
        <v>858.0</v>
      </c>
      <c r="N41" s="14">
        <v>6.0</v>
      </c>
      <c r="O41" s="19"/>
      <c r="P41" s="16">
        <v>41805.75119212963</v>
      </c>
      <c r="Q41" s="10" t="s">
        <v>1617</v>
      </c>
      <c r="R41" s="10" t="s">
        <v>1618</v>
      </c>
      <c r="S41" s="12"/>
      <c r="T41" s="12"/>
      <c r="U41" s="17" t="str">
        <f>HYPERLINK("https://pbs.twimg.com/profile_images/1304689252987482112/hcB5Npka.jpg","View")</f>
        <v>View</v>
      </c>
      <c r="V41" s="12"/>
      <c r="W41" s="12"/>
      <c r="X41" s="12"/>
      <c r="Y41" s="12"/>
      <c r="Z41" s="12"/>
    </row>
    <row r="42">
      <c r="A42" s="8">
        <v>44221.86069444445</v>
      </c>
      <c r="B42" s="9" t="str">
        <f>HYPERLINK("https://twitter.com/lessivoemmanuel","@lessivoemmanuel")</f>
        <v>@lessivoemmanuel</v>
      </c>
      <c r="C42" s="10" t="s">
        <v>1619</v>
      </c>
      <c r="D42" s="10" t="s">
        <v>1620</v>
      </c>
      <c r="E42" s="9" t="str">
        <f>HYPERLINK("https://twitter.com/lessivoemmanuel/status/1353895284561084416","1353895284561084416")</f>
        <v>1353895284561084416</v>
      </c>
      <c r="F42" s="12"/>
      <c r="G42" s="11" t="s">
        <v>1621</v>
      </c>
      <c r="H42" s="12"/>
      <c r="I42" s="13">
        <v>0.0</v>
      </c>
      <c r="J42" s="13">
        <v>0.0</v>
      </c>
      <c r="K42" s="9" t="str">
        <f>HYPERLINK("http://twitter.com/#!/download/ipad","Twitter for iPad")</f>
        <v>Twitter for iPad</v>
      </c>
      <c r="L42" s="14">
        <v>24.0</v>
      </c>
      <c r="M42" s="14">
        <v>38.0</v>
      </c>
      <c r="N42" s="14">
        <v>0.0</v>
      </c>
      <c r="O42" s="19"/>
      <c r="P42" s="16">
        <v>43306.01121527777</v>
      </c>
      <c r="Q42" s="10"/>
      <c r="R42" s="10"/>
      <c r="S42" s="12"/>
      <c r="T42" s="12"/>
      <c r="U42" s="17" t="str">
        <f>HYPERLINK("https://pbs.twimg.com/profile_images/1313500151948947456/oWm1xZ1s.jpg","View")</f>
        <v>View</v>
      </c>
      <c r="V42" s="12"/>
      <c r="W42" s="12"/>
      <c r="X42" s="12"/>
      <c r="Y42" s="12"/>
      <c r="Z42" s="12"/>
    </row>
    <row r="43">
      <c r="A43" s="8">
        <v>44221.858078703706</v>
      </c>
      <c r="B43" s="9" t="str">
        <f>HYPERLINK("https://twitter.com/el_medico_brujo","@el_medico_brujo")</f>
        <v>@el_medico_brujo</v>
      </c>
      <c r="C43" s="10" t="s">
        <v>1622</v>
      </c>
      <c r="D43" s="10" t="s">
        <v>1623</v>
      </c>
      <c r="E43" s="9" t="str">
        <f>HYPERLINK("https://twitter.com/el_medico_brujo/status/1353894335201357826","1353894335201357826")</f>
        <v>1353894335201357826</v>
      </c>
      <c r="F43" s="11" t="s">
        <v>1624</v>
      </c>
      <c r="G43" s="10"/>
      <c r="H43" s="12"/>
      <c r="I43" s="13">
        <v>0.0</v>
      </c>
      <c r="J43" s="13">
        <v>0.0</v>
      </c>
      <c r="K43" s="9" t="str">
        <f>HYPERLINK("http://twitter.com/download/iphone","Twitter for iPhone")</f>
        <v>Twitter for iPhone</v>
      </c>
      <c r="L43" s="14">
        <v>1355.0</v>
      </c>
      <c r="M43" s="14">
        <v>2264.0</v>
      </c>
      <c r="N43" s="14">
        <v>53.0</v>
      </c>
      <c r="O43" s="19"/>
      <c r="P43" s="16">
        <v>40058.66174768518</v>
      </c>
      <c r="Q43" s="10" t="s">
        <v>1625</v>
      </c>
      <c r="R43" s="10" t="s">
        <v>1626</v>
      </c>
      <c r="S43" s="12"/>
      <c r="T43" s="12"/>
      <c r="U43" s="17" t="str">
        <f>HYPERLINK("https://pbs.twimg.com/profile_images/1089750369578692608/PubDPwm6.jpg","View")</f>
        <v>View</v>
      </c>
      <c r="V43" s="12"/>
      <c r="W43" s="12"/>
      <c r="X43" s="12"/>
      <c r="Y43" s="12"/>
      <c r="Z43" s="12"/>
    </row>
    <row r="44">
      <c r="A44" s="8">
        <v>44221.84266203704</v>
      </c>
      <c r="B44" s="9" t="str">
        <f>HYPERLINK("https://twitter.com/DorhenyCayetano","@DorhenyCayetano")</f>
        <v>@DorhenyCayetano</v>
      </c>
      <c r="C44" s="10" t="s">
        <v>1627</v>
      </c>
      <c r="D44" s="10" t="s">
        <v>1628</v>
      </c>
      <c r="E44" s="9" t="str">
        <f>HYPERLINK("https://twitter.com/DorhenyCayetano/status/1353888748094816256","1353888748094816256")</f>
        <v>1353888748094816256</v>
      </c>
      <c r="F44" s="11" t="s">
        <v>1629</v>
      </c>
      <c r="G44" s="10"/>
      <c r="H44" s="12"/>
      <c r="I44" s="13">
        <v>2.0</v>
      </c>
      <c r="J44" s="13">
        <v>8.0</v>
      </c>
      <c r="K44" s="9" t="str">
        <f t="shared" ref="K44:K47" si="10">HYPERLINK("http://twitter.com/download/android","Twitter for Android")</f>
        <v>Twitter for Android</v>
      </c>
      <c r="L44" s="14">
        <v>5614.0</v>
      </c>
      <c r="M44" s="14">
        <v>488.0</v>
      </c>
      <c r="N44" s="14">
        <v>30.0</v>
      </c>
      <c r="O44" s="15" t="s">
        <v>24</v>
      </c>
      <c r="P44" s="16">
        <v>40183.79219907407</v>
      </c>
      <c r="Q44" s="10" t="s">
        <v>1630</v>
      </c>
      <c r="R44" s="10" t="s">
        <v>1631</v>
      </c>
      <c r="S44" s="11" t="s">
        <v>1632</v>
      </c>
      <c r="T44" s="12"/>
      <c r="U44" s="17" t="str">
        <f>HYPERLINK("https://pbs.twimg.com/profile_images/913628663110713344/hW4Q4gxn.jpg","View")</f>
        <v>View</v>
      </c>
      <c r="V44" s="12"/>
      <c r="W44" s="12"/>
      <c r="X44" s="12"/>
      <c r="Y44" s="12"/>
      <c r="Z44" s="12"/>
    </row>
    <row r="45">
      <c r="A45" s="8">
        <v>44221.839837962965</v>
      </c>
      <c r="B45" s="9" t="str">
        <f>HYPERLINK("https://twitter.com/valentin_lopez","@valentin_lopez")</f>
        <v>@valentin_lopez</v>
      </c>
      <c r="C45" s="10" t="s">
        <v>1633</v>
      </c>
      <c r="D45" s="10" t="s">
        <v>1634</v>
      </c>
      <c r="E45" s="9" t="str">
        <f>HYPERLINK("https://twitter.com/valentin_lopez/status/1353887724315553792","1353887724315553792")</f>
        <v>1353887724315553792</v>
      </c>
      <c r="F45" s="12"/>
      <c r="G45" s="11" t="s">
        <v>1635</v>
      </c>
      <c r="H45" s="12"/>
      <c r="I45" s="13">
        <v>0.0</v>
      </c>
      <c r="J45" s="13">
        <v>0.0</v>
      </c>
      <c r="K45" s="9" t="str">
        <f t="shared" si="10"/>
        <v>Twitter for Android</v>
      </c>
      <c r="L45" s="14">
        <v>8507.0</v>
      </c>
      <c r="M45" s="14">
        <v>8746.0</v>
      </c>
      <c r="N45" s="14">
        <v>11.0</v>
      </c>
      <c r="O45" s="19"/>
      <c r="P45" s="16">
        <v>40395.79634259259</v>
      </c>
      <c r="Q45" s="10" t="s">
        <v>1636</v>
      </c>
      <c r="R45" s="10" t="s">
        <v>1637</v>
      </c>
      <c r="S45" s="12"/>
      <c r="T45" s="12"/>
      <c r="U45" s="17" t="str">
        <f>HYPERLINK("https://pbs.twimg.com/profile_images/1351960138538737667/JpVfdWkO.jpg","View")</f>
        <v>View</v>
      </c>
      <c r="V45" s="12"/>
      <c r="W45" s="12"/>
      <c r="X45" s="12"/>
      <c r="Y45" s="12"/>
      <c r="Z45" s="12"/>
    </row>
    <row r="46">
      <c r="A46" s="8">
        <v>44221.83863425926</v>
      </c>
      <c r="B46" s="9" t="str">
        <f>HYPERLINK("https://twitter.com/Bananon8","@Bananon8")</f>
        <v>@Bananon8</v>
      </c>
      <c r="C46" s="10" t="s">
        <v>1638</v>
      </c>
      <c r="D46" s="10" t="s">
        <v>1639</v>
      </c>
      <c r="E46" s="9" t="str">
        <f>HYPERLINK("https://twitter.com/Bananon8/status/1353887290096017411","1353887290096017411")</f>
        <v>1353887290096017411</v>
      </c>
      <c r="F46" s="12"/>
      <c r="G46" s="10"/>
      <c r="H46" s="12"/>
      <c r="I46" s="13">
        <v>1.0</v>
      </c>
      <c r="J46" s="13">
        <v>3.0</v>
      </c>
      <c r="K46" s="9" t="str">
        <f t="shared" si="10"/>
        <v>Twitter for Android</v>
      </c>
      <c r="L46" s="14">
        <v>562.0</v>
      </c>
      <c r="M46" s="14">
        <v>773.0</v>
      </c>
      <c r="N46" s="14">
        <v>2.0</v>
      </c>
      <c r="O46" s="19"/>
      <c r="P46" s="16">
        <v>43822.75237268519</v>
      </c>
      <c r="Q46" s="10"/>
      <c r="R46" s="10"/>
      <c r="S46" s="12"/>
      <c r="T46" s="12"/>
      <c r="U46" s="17" t="str">
        <f>HYPERLINK("https://pbs.twimg.com/profile_images/1348812753033687040/SiHx0HMB.jpg","View")</f>
        <v>View</v>
      </c>
      <c r="V46" s="12"/>
      <c r="W46" s="12"/>
      <c r="X46" s="12"/>
      <c r="Y46" s="12"/>
      <c r="Z46" s="12"/>
    </row>
    <row r="47">
      <c r="A47" s="8">
        <v>44221.82822916667</v>
      </c>
      <c r="B47" s="9" t="str">
        <f>HYPERLINK("https://twitter.com/Fucken_Trinidad","@Fucken_Trinidad")</f>
        <v>@Fucken_Trinidad</v>
      </c>
      <c r="C47" s="10" t="s">
        <v>1640</v>
      </c>
      <c r="D47" s="10" t="s">
        <v>1641</v>
      </c>
      <c r="E47" s="9" t="str">
        <f>HYPERLINK("https://twitter.com/Fucken_Trinidad/status/1353883518426886144","1353883518426886144")</f>
        <v>1353883518426886144</v>
      </c>
      <c r="F47" s="10" t="s">
        <v>1642</v>
      </c>
      <c r="G47" s="11" t="s">
        <v>1643</v>
      </c>
      <c r="H47" s="12"/>
      <c r="I47" s="13">
        <v>0.0</v>
      </c>
      <c r="J47" s="13">
        <v>0.0</v>
      </c>
      <c r="K47" s="9" t="str">
        <f t="shared" si="10"/>
        <v>Twitter for Android</v>
      </c>
      <c r="L47" s="14">
        <v>455.0</v>
      </c>
      <c r="M47" s="14">
        <v>361.0</v>
      </c>
      <c r="N47" s="14">
        <v>0.0</v>
      </c>
      <c r="O47" s="19"/>
      <c r="P47" s="16">
        <v>41497.54277777778</v>
      </c>
      <c r="Q47" s="10" t="s">
        <v>1644</v>
      </c>
      <c r="R47" s="10" t="s">
        <v>1645</v>
      </c>
      <c r="S47" s="12"/>
      <c r="T47" s="12"/>
      <c r="U47" s="17" t="str">
        <f>HYPERLINK("https://pbs.twimg.com/profile_images/1352785692221448197/4-agJmQA.jpg","View")</f>
        <v>View</v>
      </c>
      <c r="V47" s="12"/>
      <c r="W47" s="12"/>
      <c r="X47" s="12"/>
      <c r="Y47" s="12"/>
      <c r="Z47" s="12"/>
    </row>
    <row r="48">
      <c r="A48" s="8">
        <v>44221.81408564815</v>
      </c>
      <c r="B48" s="9" t="str">
        <f>HYPERLINK("https://twitter.com/ricardotiradojr","@ricardotiradojr")</f>
        <v>@ricardotiradojr</v>
      </c>
      <c r="C48" s="10" t="s">
        <v>1646</v>
      </c>
      <c r="D48" s="10" t="s">
        <v>1647</v>
      </c>
      <c r="E48" s="9" t="str">
        <f>HYPERLINK("https://twitter.com/ricardotiradojr/status/1353878391934611456","1353878391934611456")</f>
        <v>1353878391934611456</v>
      </c>
      <c r="F48" s="11" t="s">
        <v>1648</v>
      </c>
      <c r="G48" s="10"/>
      <c r="H48" s="12"/>
      <c r="I48" s="13">
        <v>0.0</v>
      </c>
      <c r="J48" s="13">
        <v>0.0</v>
      </c>
      <c r="K48" s="9" t="str">
        <f>HYPERLINK("http://twitter.com/download/iphone","Twitter for iPhone")</f>
        <v>Twitter for iPhone</v>
      </c>
      <c r="L48" s="14">
        <v>556.0</v>
      </c>
      <c r="M48" s="14">
        <v>254.0</v>
      </c>
      <c r="N48" s="14">
        <v>0.0</v>
      </c>
      <c r="O48" s="19"/>
      <c r="P48" s="16">
        <v>42912.696331018524</v>
      </c>
      <c r="Q48" s="10" t="s">
        <v>1649</v>
      </c>
      <c r="R48" s="10" t="s">
        <v>1650</v>
      </c>
      <c r="S48" s="12"/>
      <c r="T48" s="12"/>
      <c r="U48" s="17" t="str">
        <f>HYPERLINK("https://pbs.twimg.com/profile_images/1348520107547512832/e9UxX5AH.jpg","View")</f>
        <v>View</v>
      </c>
      <c r="V48" s="12"/>
      <c r="W48" s="12"/>
      <c r="X48" s="12"/>
      <c r="Y48" s="12"/>
      <c r="Z48" s="12"/>
    </row>
    <row r="49">
      <c r="A49" s="8">
        <v>44221.81024305556</v>
      </c>
      <c r="B49" s="9" t="str">
        <f t="shared" ref="B49:B50" si="11">HYPERLINK("https://twitter.com/Rigoleirus","@Rigoleirus")</f>
        <v>@Rigoleirus</v>
      </c>
      <c r="C49" s="10" t="s">
        <v>1651</v>
      </c>
      <c r="D49" s="10" t="s">
        <v>1652</v>
      </c>
      <c r="E49" s="9" t="str">
        <f>HYPERLINK("https://twitter.com/Rigoleirus/status/1353876999266308096","1353876999266308096")</f>
        <v>1353876999266308096</v>
      </c>
      <c r="F49" s="10" t="s">
        <v>1653</v>
      </c>
      <c r="G49" s="11" t="s">
        <v>1654</v>
      </c>
      <c r="H49" s="12"/>
      <c r="I49" s="13">
        <v>0.0</v>
      </c>
      <c r="J49" s="13">
        <v>0.0</v>
      </c>
      <c r="K49" s="9" t="str">
        <f t="shared" ref="K49:K51" si="12">HYPERLINK("http://twitter.com/download/android","Twitter for Android")</f>
        <v>Twitter for Android</v>
      </c>
      <c r="L49" s="14">
        <v>129.0</v>
      </c>
      <c r="M49" s="14">
        <v>330.0</v>
      </c>
      <c r="N49" s="14">
        <v>0.0</v>
      </c>
      <c r="O49" s="19"/>
      <c r="P49" s="16">
        <v>42628.45572916667</v>
      </c>
      <c r="Q49" s="10" t="s">
        <v>325</v>
      </c>
      <c r="R49" s="10" t="s">
        <v>1655</v>
      </c>
      <c r="S49" s="12"/>
      <c r="T49" s="12"/>
      <c r="U49" s="17" t="str">
        <f t="shared" ref="U49:U50" si="13">HYPERLINK("https://pbs.twimg.com/profile_images/1340056656852467713/MqrN7zpY.jpg","View")</f>
        <v>View</v>
      </c>
      <c r="V49" s="12"/>
      <c r="W49" s="12"/>
      <c r="X49" s="12"/>
      <c r="Y49" s="12"/>
      <c r="Z49" s="12"/>
    </row>
    <row r="50">
      <c r="A50" s="8">
        <v>44221.80688657408</v>
      </c>
      <c r="B50" s="9" t="str">
        <f t="shared" si="11"/>
        <v>@Rigoleirus</v>
      </c>
      <c r="C50" s="10" t="s">
        <v>1651</v>
      </c>
      <c r="D50" s="10" t="s">
        <v>1656</v>
      </c>
      <c r="E50" s="9" t="str">
        <f>HYPERLINK("https://twitter.com/Rigoleirus/status/1353875783819948033","1353875783819948033")</f>
        <v>1353875783819948033</v>
      </c>
      <c r="F50" s="11" t="s">
        <v>1657</v>
      </c>
      <c r="G50" s="11" t="s">
        <v>1658</v>
      </c>
      <c r="H50" s="12"/>
      <c r="I50" s="13">
        <v>0.0</v>
      </c>
      <c r="J50" s="13">
        <v>1.0</v>
      </c>
      <c r="K50" s="9" t="str">
        <f t="shared" si="12"/>
        <v>Twitter for Android</v>
      </c>
      <c r="L50" s="14">
        <v>129.0</v>
      </c>
      <c r="M50" s="14">
        <v>330.0</v>
      </c>
      <c r="N50" s="14">
        <v>0.0</v>
      </c>
      <c r="O50" s="19"/>
      <c r="P50" s="16">
        <v>42628.45572916667</v>
      </c>
      <c r="Q50" s="10" t="s">
        <v>325</v>
      </c>
      <c r="R50" s="10" t="s">
        <v>1655</v>
      </c>
      <c r="S50" s="12"/>
      <c r="T50" s="12"/>
      <c r="U50" s="17" t="str">
        <f t="shared" si="13"/>
        <v>View</v>
      </c>
      <c r="V50" s="12"/>
      <c r="W50" s="12"/>
      <c r="X50" s="12"/>
      <c r="Y50" s="12"/>
      <c r="Z50" s="12"/>
    </row>
    <row r="51">
      <c r="A51" s="8">
        <v>44221.80674768519</v>
      </c>
      <c r="B51" s="9" t="str">
        <f>HYPERLINK("https://twitter.com/RickFlrs","@RickFlrs")</f>
        <v>@RickFlrs</v>
      </c>
      <c r="C51" s="10" t="s">
        <v>1659</v>
      </c>
      <c r="D51" s="10" t="s">
        <v>1660</v>
      </c>
      <c r="E51" s="9" t="str">
        <f>HYPERLINK("https://twitter.com/RickFlrs/status/1353875736168443905","1353875736168443905")</f>
        <v>1353875736168443905</v>
      </c>
      <c r="F51" s="12"/>
      <c r="G51" s="11" t="s">
        <v>1661</v>
      </c>
      <c r="H51" s="12"/>
      <c r="I51" s="13">
        <v>3.0</v>
      </c>
      <c r="J51" s="13">
        <v>4.0</v>
      </c>
      <c r="K51" s="9" t="str">
        <f t="shared" si="12"/>
        <v>Twitter for Android</v>
      </c>
      <c r="L51" s="14">
        <v>240.0</v>
      </c>
      <c r="M51" s="14">
        <v>567.0</v>
      </c>
      <c r="N51" s="14">
        <v>7.0</v>
      </c>
      <c r="O51" s="19"/>
      <c r="P51" s="16">
        <v>40220.963113425925</v>
      </c>
      <c r="Q51" s="10" t="s">
        <v>1662</v>
      </c>
      <c r="R51" s="10" t="s">
        <v>1663</v>
      </c>
      <c r="S51" s="12"/>
      <c r="T51" s="12"/>
      <c r="U51" s="17" t="str">
        <f>HYPERLINK("https://pbs.twimg.com/profile_images/1350178700084576257/z0732HaC.jpg","View")</f>
        <v>View</v>
      </c>
      <c r="V51" s="12"/>
      <c r="W51" s="12"/>
      <c r="X51" s="12"/>
      <c r="Y51" s="12"/>
      <c r="Z51" s="12"/>
    </row>
    <row r="52">
      <c r="A52" s="8">
        <v>44221.805393518516</v>
      </c>
      <c r="B52" s="9" t="str">
        <f>HYPERLINK("https://twitter.com/pepepintos","@pepepintos")</f>
        <v>@pepepintos</v>
      </c>
      <c r="C52" s="10" t="s">
        <v>1288</v>
      </c>
      <c r="D52" s="10" t="s">
        <v>1664</v>
      </c>
      <c r="E52" s="9" t="str">
        <f>HYPERLINK("https://twitter.com/pepepintos/status/1353875242561794051","1353875242561794051")</f>
        <v>1353875242561794051</v>
      </c>
      <c r="F52" s="12"/>
      <c r="G52" s="11" t="s">
        <v>1665</v>
      </c>
      <c r="H52" s="12"/>
      <c r="I52" s="13">
        <v>0.0</v>
      </c>
      <c r="J52" s="13">
        <v>0.0</v>
      </c>
      <c r="K52" s="9" t="str">
        <f t="shared" ref="K52:K53" si="14">HYPERLINK("http://twitter.com/download/iphone","Twitter for iPhone")</f>
        <v>Twitter for iPhone</v>
      </c>
      <c r="L52" s="14">
        <v>1439.0</v>
      </c>
      <c r="M52" s="14">
        <v>1272.0</v>
      </c>
      <c r="N52" s="14">
        <v>18.0</v>
      </c>
      <c r="O52" s="19"/>
      <c r="P52" s="16">
        <v>40056.96716435185</v>
      </c>
      <c r="Q52" s="10"/>
      <c r="R52" s="10" t="s">
        <v>1292</v>
      </c>
      <c r="S52" s="11" t="s">
        <v>1293</v>
      </c>
      <c r="T52" s="12"/>
      <c r="U52" s="17" t="str">
        <f>HYPERLINK("https://pbs.twimg.com/profile_images/1100636170730393600/6l87F9DX.jpg","View")</f>
        <v>View</v>
      </c>
      <c r="V52" s="12"/>
      <c r="W52" s="12"/>
      <c r="X52" s="12"/>
      <c r="Y52" s="12"/>
      <c r="Z52" s="12"/>
    </row>
    <row r="53">
      <c r="A53" s="8">
        <v>44221.79956018519</v>
      </c>
      <c r="B53" s="9" t="str">
        <f>HYPERLINK("https://twitter.com/Dorray01","@Dorray01")</f>
        <v>@Dorray01</v>
      </c>
      <c r="C53" s="10" t="s">
        <v>1666</v>
      </c>
      <c r="D53" s="10" t="s">
        <v>1667</v>
      </c>
      <c r="E53" s="9" t="str">
        <f>HYPERLINK("https://twitter.com/Dorray01/status/1353873129022480384","1353873129022480384")</f>
        <v>1353873129022480384</v>
      </c>
      <c r="F53" s="10" t="s">
        <v>1668</v>
      </c>
      <c r="G53" s="11" t="s">
        <v>1669</v>
      </c>
      <c r="H53" s="12"/>
      <c r="I53" s="13">
        <v>0.0</v>
      </c>
      <c r="J53" s="13">
        <v>0.0</v>
      </c>
      <c r="K53" s="9" t="str">
        <f t="shared" si="14"/>
        <v>Twitter for iPhone</v>
      </c>
      <c r="L53" s="14">
        <v>77.0</v>
      </c>
      <c r="M53" s="14">
        <v>531.0</v>
      </c>
      <c r="N53" s="14">
        <v>1.0</v>
      </c>
      <c r="O53" s="19"/>
      <c r="P53" s="16">
        <v>40246.03252314815</v>
      </c>
      <c r="Q53" s="10" t="s">
        <v>1670</v>
      </c>
      <c r="R53" s="10" t="s">
        <v>1671</v>
      </c>
      <c r="S53" s="11" t="s">
        <v>1672</v>
      </c>
      <c r="T53" s="12"/>
      <c r="U53" s="17" t="str">
        <f>HYPERLINK("https://pbs.twimg.com/profile_images/1250466566707138560/vlwWMi9g.jpg","View")</f>
        <v>View</v>
      </c>
      <c r="V53" s="12"/>
      <c r="W53" s="12"/>
      <c r="X53" s="12"/>
      <c r="Y53" s="12"/>
      <c r="Z53" s="12"/>
    </row>
    <row r="54">
      <c r="A54" s="8">
        <v>44221.79949074074</v>
      </c>
      <c r="B54" s="9" t="str">
        <f>HYPERLINK("https://twitter.com/CortsMezaMartn1","@CortsMezaMartn1")</f>
        <v>@CortsMezaMartn1</v>
      </c>
      <c r="C54" s="10" t="s">
        <v>1673</v>
      </c>
      <c r="D54" s="10" t="s">
        <v>1674</v>
      </c>
      <c r="E54" s="9" t="str">
        <f>HYPERLINK("https://twitter.com/CortsMezaMartn1/status/1353873104695652355","1353873104695652355")</f>
        <v>1353873104695652355</v>
      </c>
      <c r="F54" s="12"/>
      <c r="G54" s="10"/>
      <c r="H54" s="12"/>
      <c r="I54" s="13">
        <v>0.0</v>
      </c>
      <c r="J54" s="13">
        <v>2.0</v>
      </c>
      <c r="K54" s="9" t="str">
        <f>HYPERLINK("http://twitter.com/download/android","Twitter for Android")</f>
        <v>Twitter for Android</v>
      </c>
      <c r="L54" s="14">
        <v>5.0</v>
      </c>
      <c r="M54" s="14">
        <v>19.0</v>
      </c>
      <c r="N54" s="14">
        <v>0.0</v>
      </c>
      <c r="O54" s="19"/>
      <c r="P54" s="16">
        <v>44004.564247685186</v>
      </c>
      <c r="Q54" s="10"/>
      <c r="R54" s="10" t="s">
        <v>1675</v>
      </c>
      <c r="S54" s="12"/>
      <c r="T54" s="12"/>
      <c r="U54" s="17" t="str">
        <f>HYPERLINK("https://pbs.twimg.com/profile_images/1329570132759355392/zMqmUhG8.jpg","View")</f>
        <v>View</v>
      </c>
      <c r="V54" s="12"/>
      <c r="W54" s="12"/>
      <c r="X54" s="12"/>
      <c r="Y54" s="12"/>
      <c r="Z54" s="12"/>
    </row>
    <row r="55">
      <c r="A55" s="8">
        <v>44221.79685185185</v>
      </c>
      <c r="B55" s="9" t="str">
        <f>HYPERLINK("https://twitter.com/tia_netas","@tia_netas")</f>
        <v>@tia_netas</v>
      </c>
      <c r="C55" s="10" t="s">
        <v>1676</v>
      </c>
      <c r="D55" s="10" t="s">
        <v>1677</v>
      </c>
      <c r="E55" s="9" t="str">
        <f>HYPERLINK("https://twitter.com/tia_netas/status/1353872149493260288","1353872149493260288")</f>
        <v>1353872149493260288</v>
      </c>
      <c r="F55" s="12"/>
      <c r="G55" s="10"/>
      <c r="H55" s="12"/>
      <c r="I55" s="13">
        <v>27.0</v>
      </c>
      <c r="J55" s="13">
        <v>72.0</v>
      </c>
      <c r="K55" s="9" t="str">
        <f>HYPERLINK("http://twitter.com/download/iphone","Twitter for iPhone")</f>
        <v>Twitter for iPhone</v>
      </c>
      <c r="L55" s="14">
        <v>3255.0</v>
      </c>
      <c r="M55" s="14">
        <v>3472.0</v>
      </c>
      <c r="N55" s="14">
        <v>0.0</v>
      </c>
      <c r="O55" s="19"/>
      <c r="P55" s="16">
        <v>43888.78770833333</v>
      </c>
      <c r="Q55" s="10" t="s">
        <v>1155</v>
      </c>
      <c r="R55" s="10" t="s">
        <v>1678</v>
      </c>
      <c r="S55" s="12"/>
      <c r="T55" s="12"/>
      <c r="U55" s="17" t="str">
        <f>HYPERLINK("https://pbs.twimg.com/profile_images/1234555008735010818/tY2ol0xc.jpg","View")</f>
        <v>View</v>
      </c>
      <c r="V55" s="12"/>
      <c r="W55" s="12"/>
      <c r="X55" s="12"/>
      <c r="Y55" s="12"/>
      <c r="Z55" s="12"/>
    </row>
    <row r="56">
      <c r="A56" s="8">
        <v>44221.78013888889</v>
      </c>
      <c r="B56" s="9" t="str">
        <f>HYPERLINK("https://twitter.com/IAmTheYuki","@IAmTheYuki")</f>
        <v>@IAmTheYuki</v>
      </c>
      <c r="C56" s="10" t="s">
        <v>1679</v>
      </c>
      <c r="D56" s="10" t="s">
        <v>1680</v>
      </c>
      <c r="E56" s="9" t="str">
        <f>HYPERLINK("https://twitter.com/IAmTheYuki/status/1353866091366215680","1353866091366215680")</f>
        <v>1353866091366215680</v>
      </c>
      <c r="F56" s="12"/>
      <c r="G56" s="10"/>
      <c r="H56" s="12"/>
      <c r="I56" s="13">
        <v>0.0</v>
      </c>
      <c r="J56" s="13">
        <v>0.0</v>
      </c>
      <c r="K56" s="9" t="str">
        <f t="shared" ref="K56:K57" si="15">HYPERLINK("https://mobile.twitter.com","Twitter Web App")</f>
        <v>Twitter Web App</v>
      </c>
      <c r="L56" s="14">
        <v>42.0</v>
      </c>
      <c r="M56" s="14">
        <v>154.0</v>
      </c>
      <c r="N56" s="14">
        <v>0.0</v>
      </c>
      <c r="O56" s="19"/>
      <c r="P56" s="16">
        <v>40240.00283564815</v>
      </c>
      <c r="Q56" s="10" t="s">
        <v>325</v>
      </c>
      <c r="R56" s="10"/>
      <c r="S56" s="12"/>
      <c r="T56" s="12"/>
      <c r="U56" s="17" t="str">
        <f>HYPERLINK("https://pbs.twimg.com/profile_images/1231722925310349312/r5hTFtiG.jpg","View")</f>
        <v>View</v>
      </c>
      <c r="V56" s="12"/>
      <c r="W56" s="12"/>
      <c r="X56" s="12"/>
      <c r="Y56" s="12"/>
      <c r="Z56" s="12"/>
    </row>
    <row r="57">
      <c r="A57" s="8">
        <v>44221.77777777778</v>
      </c>
      <c r="B57" s="9" t="str">
        <f>HYPERLINK("https://twitter.com/sdpnoticias","@sdpnoticias")</f>
        <v>@sdpnoticias</v>
      </c>
      <c r="C57" s="10" t="s">
        <v>1681</v>
      </c>
      <c r="D57" s="10" t="s">
        <v>1682</v>
      </c>
      <c r="E57" s="9" t="str">
        <f>HYPERLINK("https://twitter.com/sdpnoticias/status/1353865234809823232","1353865234809823232")</f>
        <v>1353865234809823232</v>
      </c>
      <c r="F57" s="11" t="s">
        <v>1683</v>
      </c>
      <c r="G57" s="10"/>
      <c r="H57" s="12"/>
      <c r="I57" s="13">
        <v>6.0</v>
      </c>
      <c r="J57" s="13">
        <v>9.0</v>
      </c>
      <c r="K57" s="9" t="str">
        <f t="shared" si="15"/>
        <v>Twitter Web App</v>
      </c>
      <c r="L57" s="14">
        <v>372943.0</v>
      </c>
      <c r="M57" s="14">
        <v>3962.0</v>
      </c>
      <c r="N57" s="14">
        <v>2881.0</v>
      </c>
      <c r="O57" s="15" t="s">
        <v>24</v>
      </c>
      <c r="P57" s="16">
        <v>39919.44689814815</v>
      </c>
      <c r="Q57" s="10" t="s">
        <v>1093</v>
      </c>
      <c r="R57" s="10" t="s">
        <v>1684</v>
      </c>
      <c r="S57" s="11" t="s">
        <v>1685</v>
      </c>
      <c r="T57" s="12"/>
      <c r="U57" s="17" t="str">
        <f>HYPERLINK("https://pbs.twimg.com/profile_images/1145729043062546432/tOcmWwP8.png","View")</f>
        <v>View</v>
      </c>
      <c r="V57" s="12"/>
      <c r="W57" s="12"/>
      <c r="X57" s="12"/>
      <c r="Y57" s="12"/>
      <c r="Z57" s="12"/>
    </row>
    <row r="58">
      <c r="A58" s="8">
        <v>44221.77428240741</v>
      </c>
      <c r="B58" s="9" t="str">
        <f>HYPERLINK("https://twitter.com/mjcastillejos","@mjcastillejos")</f>
        <v>@mjcastillejos</v>
      </c>
      <c r="C58" s="10" t="s">
        <v>1686</v>
      </c>
      <c r="D58" s="10" t="s">
        <v>1687</v>
      </c>
      <c r="E58" s="9" t="str">
        <f>HYPERLINK("https://twitter.com/mjcastillejos/status/1353863967823843328","1353863967823843328")</f>
        <v>1353863967823843328</v>
      </c>
      <c r="F58" s="11" t="s">
        <v>1688</v>
      </c>
      <c r="G58" s="10"/>
      <c r="H58" s="12"/>
      <c r="I58" s="13">
        <v>2.0</v>
      </c>
      <c r="J58" s="13">
        <v>1.0</v>
      </c>
      <c r="K58" s="9" t="str">
        <f>HYPERLINK("http://twitter.com/download/iphone","Twitter for iPhone")</f>
        <v>Twitter for iPhone</v>
      </c>
      <c r="L58" s="14">
        <v>4613.0</v>
      </c>
      <c r="M58" s="14">
        <v>4826.0</v>
      </c>
      <c r="N58" s="14">
        <v>9.0</v>
      </c>
      <c r="O58" s="19"/>
      <c r="P58" s="16">
        <v>40906.9578125</v>
      </c>
      <c r="Q58" s="10" t="s">
        <v>1689</v>
      </c>
      <c r="R58" s="10" t="s">
        <v>1690</v>
      </c>
      <c r="S58" s="12"/>
      <c r="T58" s="12"/>
      <c r="U58" s="17" t="str">
        <f>HYPERLINK("https://pbs.twimg.com/profile_images/1239431052730474497/wVE--nOt.jpg","View")</f>
        <v>View</v>
      </c>
      <c r="V58" s="12"/>
      <c r="W58" s="12"/>
      <c r="X58" s="12"/>
      <c r="Y58" s="12"/>
      <c r="Z58" s="12"/>
    </row>
    <row r="59">
      <c r="A59" s="8">
        <v>44221.75896990741</v>
      </c>
      <c r="B59" s="9" t="str">
        <f>HYPERLINK("https://twitter.com/LAURENZOLI","@LAURENZOLI")</f>
        <v>@LAURENZOLI</v>
      </c>
      <c r="C59" s="10" t="s">
        <v>1691</v>
      </c>
      <c r="D59" s="10" t="s">
        <v>1692</v>
      </c>
      <c r="E59" s="9" t="str">
        <f>HYPERLINK("https://twitter.com/LAURENZOLI/status/1353858421699866624","1353858421699866624")</f>
        <v>1353858421699866624</v>
      </c>
      <c r="F59" s="12"/>
      <c r="G59" s="11" t="s">
        <v>1693</v>
      </c>
      <c r="H59" s="12"/>
      <c r="I59" s="13">
        <v>1.0</v>
      </c>
      <c r="J59" s="13">
        <v>3.0</v>
      </c>
      <c r="K59" s="9" t="str">
        <f t="shared" ref="K59:K60" si="16">HYPERLINK("http://twitter.com/download/android","Twitter for Android")</f>
        <v>Twitter for Android</v>
      </c>
      <c r="L59" s="14">
        <v>1315.0</v>
      </c>
      <c r="M59" s="14">
        <v>3452.0</v>
      </c>
      <c r="N59" s="14">
        <v>0.0</v>
      </c>
      <c r="O59" s="19"/>
      <c r="P59" s="16">
        <v>41056.549039351856</v>
      </c>
      <c r="Q59" s="10" t="s">
        <v>325</v>
      </c>
      <c r="R59" s="10" t="s">
        <v>1694</v>
      </c>
      <c r="S59" s="12"/>
      <c r="T59" s="12"/>
      <c r="U59" s="17" t="str">
        <f>HYPERLINK("https://pbs.twimg.com/profile_images/1351012663883653122/87MDrN_5.jpg","View")</f>
        <v>View</v>
      </c>
      <c r="V59" s="12"/>
      <c r="W59" s="12"/>
      <c r="X59" s="12"/>
      <c r="Y59" s="12"/>
      <c r="Z59" s="12"/>
    </row>
    <row r="60">
      <c r="A60" s="8">
        <v>44221.74056712963</v>
      </c>
      <c r="B60" s="9" t="str">
        <f>HYPERLINK("https://twitter.com/LaManoqueMueve1","@LaManoqueMueve1")</f>
        <v>@LaManoqueMueve1</v>
      </c>
      <c r="C60" s="10" t="s">
        <v>1695</v>
      </c>
      <c r="D60" s="10" t="s">
        <v>1696</v>
      </c>
      <c r="E60" s="9" t="str">
        <f>HYPERLINK("https://twitter.com/LaManoqueMueve1/status/1353851750504132608","1353851750504132608")</f>
        <v>1353851750504132608</v>
      </c>
      <c r="F60" s="12"/>
      <c r="G60" s="11" t="s">
        <v>1697</v>
      </c>
      <c r="H60" s="12"/>
      <c r="I60" s="13">
        <v>0.0</v>
      </c>
      <c r="J60" s="13">
        <v>0.0</v>
      </c>
      <c r="K60" s="9" t="str">
        <f t="shared" si="16"/>
        <v>Twitter for Android</v>
      </c>
      <c r="L60" s="14">
        <v>420.0</v>
      </c>
      <c r="M60" s="14">
        <v>1277.0</v>
      </c>
      <c r="N60" s="14">
        <v>0.0</v>
      </c>
      <c r="O60" s="19"/>
      <c r="P60" s="16">
        <v>44099.932222222225</v>
      </c>
      <c r="Q60" s="10"/>
      <c r="R60" s="10" t="s">
        <v>1698</v>
      </c>
      <c r="S60" s="12"/>
      <c r="T60" s="12"/>
      <c r="U60" s="17" t="str">
        <f>HYPERLINK("https://pbs.twimg.com/profile_images/1309694919376883713/Lc4mR8xs.jpg","View")</f>
        <v>View</v>
      </c>
      <c r="V60" s="12"/>
      <c r="W60" s="12"/>
      <c r="X60" s="12"/>
      <c r="Y60" s="12"/>
      <c r="Z60" s="12"/>
    </row>
    <row r="61">
      <c r="A61" s="8">
        <v>44221.70408564815</v>
      </c>
      <c r="B61" s="9" t="str">
        <f>HYPERLINK("https://twitter.com/Veronicagro_","@Veronicagro_")</f>
        <v>@Veronicagro_</v>
      </c>
      <c r="C61" s="10" t="s">
        <v>1699</v>
      </c>
      <c r="D61" s="10" t="s">
        <v>1700</v>
      </c>
      <c r="E61" s="9" t="str">
        <f>HYPERLINK("https://twitter.com/Veronicagro_/status/1353838530691092485","1353838530691092485")</f>
        <v>1353838530691092485</v>
      </c>
      <c r="F61" s="12"/>
      <c r="G61" s="10"/>
      <c r="H61" s="12"/>
      <c r="I61" s="13">
        <v>0.0</v>
      </c>
      <c r="J61" s="13">
        <v>0.0</v>
      </c>
      <c r="K61" s="9" t="str">
        <f>HYPERLINK("http://twitter.com/download/iphone","Twitter for iPhone")</f>
        <v>Twitter for iPhone</v>
      </c>
      <c r="L61" s="14">
        <v>44.0</v>
      </c>
      <c r="M61" s="14">
        <v>53.0</v>
      </c>
      <c r="N61" s="14">
        <v>0.0</v>
      </c>
      <c r="O61" s="19"/>
      <c r="P61" s="16">
        <v>43883.56688657407</v>
      </c>
      <c r="Q61" s="10" t="s">
        <v>1701</v>
      </c>
      <c r="R61" s="10"/>
      <c r="S61" s="12"/>
      <c r="T61" s="12"/>
      <c r="U61" s="17" t="str">
        <f>HYPERLINK("https://pbs.twimg.com/profile_images/1353424716476760065/ZAMI2KKq.jpg","View")</f>
        <v>View</v>
      </c>
      <c r="V61" s="12"/>
      <c r="W61" s="12"/>
      <c r="X61" s="12"/>
      <c r="Y61" s="12"/>
      <c r="Z61" s="12"/>
    </row>
    <row r="62">
      <c r="A62" s="8">
        <v>44221.69354166667</v>
      </c>
      <c r="B62" s="9" t="str">
        <f>HYPERLINK("https://twitter.com/mascarakatin","@mascarakatin")</f>
        <v>@mascarakatin</v>
      </c>
      <c r="C62" s="10" t="s">
        <v>1702</v>
      </c>
      <c r="D62" s="10" t="s">
        <v>1703</v>
      </c>
      <c r="E62" s="9" t="str">
        <f>HYPERLINK("https://twitter.com/mascarakatin/status/1353834707755130883","1353834707755130883")</f>
        <v>1353834707755130883</v>
      </c>
      <c r="F62" s="11" t="s">
        <v>1704</v>
      </c>
      <c r="G62" s="10"/>
      <c r="H62" s="12"/>
      <c r="I62" s="13">
        <v>0.0</v>
      </c>
      <c r="J62" s="13">
        <v>0.0</v>
      </c>
      <c r="K62" s="9" t="str">
        <f t="shared" ref="K62:K64" si="17">HYPERLINK("http://twitter.com/download/android","Twitter for Android")</f>
        <v>Twitter for Android</v>
      </c>
      <c r="L62" s="14">
        <v>682.0</v>
      </c>
      <c r="M62" s="14">
        <v>841.0</v>
      </c>
      <c r="N62" s="14">
        <v>0.0</v>
      </c>
      <c r="O62" s="19"/>
      <c r="P62" s="16">
        <v>40525.87466435185</v>
      </c>
      <c r="Q62" s="10" t="s">
        <v>1705</v>
      </c>
      <c r="R62" s="10" t="s">
        <v>1706</v>
      </c>
      <c r="S62" s="12"/>
      <c r="T62" s="12"/>
      <c r="U62" s="17" t="str">
        <f>HYPERLINK("https://pbs.twimg.com/profile_images/1191082198251835399/wl3TxhYQ.jpg","View")</f>
        <v>View</v>
      </c>
      <c r="V62" s="12"/>
      <c r="W62" s="12"/>
      <c r="X62" s="12"/>
      <c r="Y62" s="12"/>
      <c r="Z62" s="12"/>
    </row>
    <row r="63">
      <c r="A63" s="8">
        <v>44221.68739583333</v>
      </c>
      <c r="B63" s="9" t="str">
        <f>HYPERLINK("https://twitter.com/ElCaradeHembra","@ElCaradeHembra")</f>
        <v>@ElCaradeHembra</v>
      </c>
      <c r="C63" s="10" t="s">
        <v>1707</v>
      </c>
      <c r="D63" s="10" t="s">
        <v>1708</v>
      </c>
      <c r="E63" s="9" t="str">
        <f>HYPERLINK("https://twitter.com/ElCaradeHembra/status/1353832483398283264","1353832483398283264")</f>
        <v>1353832483398283264</v>
      </c>
      <c r="F63" s="12"/>
      <c r="G63" s="11" t="s">
        <v>1709</v>
      </c>
      <c r="H63" s="12"/>
      <c r="I63" s="13">
        <v>1.0</v>
      </c>
      <c r="J63" s="13">
        <v>4.0</v>
      </c>
      <c r="K63" s="9" t="str">
        <f t="shared" si="17"/>
        <v>Twitter for Android</v>
      </c>
      <c r="L63" s="14">
        <v>264.0</v>
      </c>
      <c r="M63" s="14">
        <v>381.0</v>
      </c>
      <c r="N63" s="14">
        <v>1.0</v>
      </c>
      <c r="O63" s="19"/>
      <c r="P63" s="16">
        <v>41326.626655092594</v>
      </c>
      <c r="Q63" s="10"/>
      <c r="R63" s="10" t="s">
        <v>1710</v>
      </c>
      <c r="S63" s="12"/>
      <c r="T63" s="12"/>
      <c r="U63" s="17" t="str">
        <f>HYPERLINK("https://pbs.twimg.com/profile_images/1236017057826779137/mzq6DRSG.jpg","View")</f>
        <v>View</v>
      </c>
      <c r="V63" s="12"/>
      <c r="W63" s="12"/>
      <c r="X63" s="12"/>
      <c r="Y63" s="12"/>
      <c r="Z63" s="12"/>
    </row>
    <row r="64">
      <c r="A64" s="8">
        <v>44221.686747685184</v>
      </c>
      <c r="B64" s="9" t="str">
        <f>HYPERLINK("https://twitter.com/Alfanges","@Alfanges")</f>
        <v>@Alfanges</v>
      </c>
      <c r="C64" s="10" t="s">
        <v>1711</v>
      </c>
      <c r="D64" s="10" t="s">
        <v>1712</v>
      </c>
      <c r="E64" s="9" t="str">
        <f>HYPERLINK("https://twitter.com/Alfanges/status/1353832249024794625","1353832249024794625")</f>
        <v>1353832249024794625</v>
      </c>
      <c r="F64" s="12"/>
      <c r="G64" s="11" t="s">
        <v>1658</v>
      </c>
      <c r="H64" s="12"/>
      <c r="I64" s="13">
        <v>16.0</v>
      </c>
      <c r="J64" s="13">
        <v>33.0</v>
      </c>
      <c r="K64" s="9" t="str">
        <f t="shared" si="17"/>
        <v>Twitter for Android</v>
      </c>
      <c r="L64" s="14">
        <v>4790.0</v>
      </c>
      <c r="M64" s="14">
        <v>4813.0</v>
      </c>
      <c r="N64" s="14">
        <v>4.0</v>
      </c>
      <c r="O64" s="19"/>
      <c r="P64" s="16">
        <v>43691.48388888889</v>
      </c>
      <c r="Q64" s="10" t="s">
        <v>1713</v>
      </c>
      <c r="R64" s="10" t="s">
        <v>1714</v>
      </c>
      <c r="S64" s="12"/>
      <c r="T64" s="12"/>
      <c r="U64" s="17" t="str">
        <f>HYPERLINK("https://pbs.twimg.com/profile_images/1351759551821971458/thJBJL5U.jpg","View")</f>
        <v>View</v>
      </c>
      <c r="V64" s="12"/>
      <c r="W64" s="12"/>
      <c r="X64" s="12"/>
      <c r="Y64" s="12"/>
      <c r="Z64" s="12"/>
    </row>
    <row r="65">
      <c r="A65" s="8">
        <v>44221.68236111111</v>
      </c>
      <c r="B65" s="9" t="str">
        <f>HYPERLINK("https://twitter.com/pepepintos","@pepepintos")</f>
        <v>@pepepintos</v>
      </c>
      <c r="C65" s="10" t="s">
        <v>1288</v>
      </c>
      <c r="D65" s="10" t="s">
        <v>1715</v>
      </c>
      <c r="E65" s="9" t="str">
        <f>HYPERLINK("https://twitter.com/pepepintos/status/1353830656011366400","1353830656011366400")</f>
        <v>1353830656011366400</v>
      </c>
      <c r="F65" s="11" t="s">
        <v>1716</v>
      </c>
      <c r="G65" s="10"/>
      <c r="H65" s="12"/>
      <c r="I65" s="13">
        <v>0.0</v>
      </c>
      <c r="J65" s="13">
        <v>0.0</v>
      </c>
      <c r="K65" s="9" t="str">
        <f>HYPERLINK("http://twitter.com/download/iphone","Twitter for iPhone")</f>
        <v>Twitter for iPhone</v>
      </c>
      <c r="L65" s="14">
        <v>1439.0</v>
      </c>
      <c r="M65" s="14">
        <v>1272.0</v>
      </c>
      <c r="N65" s="14">
        <v>18.0</v>
      </c>
      <c r="O65" s="19"/>
      <c r="P65" s="16">
        <v>40056.96716435185</v>
      </c>
      <c r="Q65" s="10"/>
      <c r="R65" s="10" t="s">
        <v>1292</v>
      </c>
      <c r="S65" s="11" t="s">
        <v>1293</v>
      </c>
      <c r="T65" s="12"/>
      <c r="U65" s="17" t="str">
        <f>HYPERLINK("https://pbs.twimg.com/profile_images/1100636170730393600/6l87F9DX.jpg","View")</f>
        <v>View</v>
      </c>
      <c r="V65" s="12"/>
      <c r="W65" s="12"/>
      <c r="X65" s="12"/>
      <c r="Y65" s="12"/>
      <c r="Z65" s="12"/>
    </row>
    <row r="66">
      <c r="A66" s="8">
        <v>44221.676527777774</v>
      </c>
      <c r="B66" s="9" t="str">
        <f>HYPERLINK("https://twitter.com/ElLiderMx","@ElLiderMx")</f>
        <v>@ElLiderMx</v>
      </c>
      <c r="C66" s="10" t="s">
        <v>1717</v>
      </c>
      <c r="D66" s="10" t="s">
        <v>1718</v>
      </c>
      <c r="E66" s="9" t="str">
        <f>HYPERLINK("https://twitter.com/ElLiderMx/status/1353828545689219073","1353828545689219073")</f>
        <v>1353828545689219073</v>
      </c>
      <c r="F66" s="12"/>
      <c r="G66" s="11" t="s">
        <v>1719</v>
      </c>
      <c r="H66" s="12"/>
      <c r="I66" s="13">
        <v>0.0</v>
      </c>
      <c r="J66" s="13">
        <v>0.0</v>
      </c>
      <c r="K66" s="9" t="str">
        <f t="shared" ref="K66:K70" si="18">HYPERLINK("http://twitter.com/download/android","Twitter for Android")</f>
        <v>Twitter for Android</v>
      </c>
      <c r="L66" s="14">
        <v>36.0</v>
      </c>
      <c r="M66" s="14">
        <v>919.0</v>
      </c>
      <c r="N66" s="14">
        <v>0.0</v>
      </c>
      <c r="O66" s="19"/>
      <c r="P66" s="16">
        <v>43462.628159722226</v>
      </c>
      <c r="Q66" s="10" t="s">
        <v>1720</v>
      </c>
      <c r="R66" s="10"/>
      <c r="S66" s="12"/>
      <c r="T66" s="12"/>
      <c r="U66" s="17" t="str">
        <f>HYPERLINK("https://pbs.twimg.com/profile_images/1154379658902691840/65XhyUxe.jpg","View")</f>
        <v>View</v>
      </c>
      <c r="V66" s="12"/>
      <c r="W66" s="12"/>
      <c r="X66" s="12"/>
      <c r="Y66" s="12"/>
      <c r="Z66" s="12"/>
    </row>
    <row r="67">
      <c r="A67" s="8">
        <v>44221.643692129626</v>
      </c>
      <c r="B67" s="9" t="str">
        <f>HYPERLINK("https://twitter.com/LastSaintAround","@LastSaintAround")</f>
        <v>@LastSaintAround</v>
      </c>
      <c r="C67" s="10" t="s">
        <v>1721</v>
      </c>
      <c r="D67" s="10" t="s">
        <v>1722</v>
      </c>
      <c r="E67" s="9" t="str">
        <f>HYPERLINK("https://twitter.com/LastSaintAround/status/1353816644544434176","1353816644544434176")</f>
        <v>1353816644544434176</v>
      </c>
      <c r="F67" s="11" t="s">
        <v>1107</v>
      </c>
      <c r="G67" s="11" t="s">
        <v>1108</v>
      </c>
      <c r="H67" s="12"/>
      <c r="I67" s="13">
        <v>0.0</v>
      </c>
      <c r="J67" s="13">
        <v>0.0</v>
      </c>
      <c r="K67" s="9" t="str">
        <f t="shared" si="18"/>
        <v>Twitter for Android</v>
      </c>
      <c r="L67" s="14">
        <v>539.0</v>
      </c>
      <c r="M67" s="14">
        <v>520.0</v>
      </c>
      <c r="N67" s="14">
        <v>18.0</v>
      </c>
      <c r="O67" s="19"/>
      <c r="P67" s="16">
        <v>40698.38936342593</v>
      </c>
      <c r="Q67" s="10" t="s">
        <v>1723</v>
      </c>
      <c r="R67" s="10" t="s">
        <v>1724</v>
      </c>
      <c r="S67" s="11" t="s">
        <v>1725</v>
      </c>
      <c r="T67" s="12"/>
      <c r="U67" s="17" t="str">
        <f>HYPERLINK("https://pbs.twimg.com/profile_images/1348039419991707650/ZxhW4yjd.jpg","View")</f>
        <v>View</v>
      </c>
      <c r="V67" s="12"/>
      <c r="W67" s="12"/>
      <c r="X67" s="12"/>
      <c r="Y67" s="12"/>
      <c r="Z67" s="12"/>
    </row>
    <row r="68">
      <c r="A68" s="8">
        <v>44221.63550925926</v>
      </c>
      <c r="B68" s="9" t="str">
        <f>HYPERLINK("https://twitter.com/DianaMunAc","@DianaMunAc")</f>
        <v>@DianaMunAc</v>
      </c>
      <c r="C68" s="10" t="s">
        <v>1726</v>
      </c>
      <c r="D68" s="10" t="s">
        <v>1727</v>
      </c>
      <c r="E68" s="9" t="str">
        <f>HYPERLINK("https://twitter.com/DianaMunAc/status/1353813679721091073","1353813679721091073")</f>
        <v>1353813679721091073</v>
      </c>
      <c r="F68" s="12"/>
      <c r="G68" s="10"/>
      <c r="H68" s="12"/>
      <c r="I68" s="13">
        <v>0.0</v>
      </c>
      <c r="J68" s="13">
        <v>0.0</v>
      </c>
      <c r="K68" s="9" t="str">
        <f t="shared" si="18"/>
        <v>Twitter for Android</v>
      </c>
      <c r="L68" s="14">
        <v>98.0</v>
      </c>
      <c r="M68" s="14">
        <v>129.0</v>
      </c>
      <c r="N68" s="14">
        <v>1.0</v>
      </c>
      <c r="O68" s="19"/>
      <c r="P68" s="16">
        <v>40924.62005787037</v>
      </c>
      <c r="Q68" s="10"/>
      <c r="R68" s="10"/>
      <c r="S68" s="12"/>
      <c r="T68" s="12"/>
      <c r="U68" s="17" t="str">
        <f>HYPERLINK("https://pbs.twimg.com/profile_images/1354082657647407106/GXyIh_5v.jpg","View")</f>
        <v>View</v>
      </c>
      <c r="V68" s="12"/>
      <c r="W68" s="12"/>
      <c r="X68" s="12"/>
      <c r="Y68" s="12"/>
      <c r="Z68" s="12"/>
    </row>
    <row r="69">
      <c r="A69" s="8">
        <v>44221.628958333335</v>
      </c>
      <c r="B69" s="9" t="str">
        <f>HYPERLINK("https://twitter.com/_ciudadanocero","@_ciudadanocero")</f>
        <v>@_ciudadanocero</v>
      </c>
      <c r="C69" s="10" t="s">
        <v>1509</v>
      </c>
      <c r="D69" s="10" t="s">
        <v>1728</v>
      </c>
      <c r="E69" s="9" t="str">
        <f>HYPERLINK("https://twitter.com/_ciudadanocero/status/1353811307380797440","1353811307380797440")</f>
        <v>1353811307380797440</v>
      </c>
      <c r="F69" s="10" t="s">
        <v>1729</v>
      </c>
      <c r="G69" s="10"/>
      <c r="H69" s="12"/>
      <c r="I69" s="13">
        <v>0.0</v>
      </c>
      <c r="J69" s="13">
        <v>0.0</v>
      </c>
      <c r="K69" s="9" t="str">
        <f t="shared" si="18"/>
        <v>Twitter for Android</v>
      </c>
      <c r="L69" s="14">
        <v>111.0</v>
      </c>
      <c r="M69" s="14">
        <v>474.0</v>
      </c>
      <c r="N69" s="14">
        <v>0.0</v>
      </c>
      <c r="O69" s="19"/>
      <c r="P69" s="16">
        <v>42493.526620370365</v>
      </c>
      <c r="Q69" s="10"/>
      <c r="R69" s="10" t="s">
        <v>1512</v>
      </c>
      <c r="S69" s="12"/>
      <c r="T69" s="12"/>
      <c r="U69" s="17" t="str">
        <f>HYPERLINK("https://pbs.twimg.com/profile_images/1110275955665317889/-BcegsB0.jpg","View")</f>
        <v>View</v>
      </c>
      <c r="V69" s="12"/>
      <c r="W69" s="12"/>
      <c r="X69" s="12"/>
      <c r="Y69" s="12"/>
      <c r="Z69" s="12"/>
    </row>
    <row r="70">
      <c r="A70" s="8">
        <v>44221.625821759255</v>
      </c>
      <c r="B70" s="9" t="str">
        <f>HYPERLINK("https://twitter.com/ImChepe","@ImChepe")</f>
        <v>@ImChepe</v>
      </c>
      <c r="C70" s="10" t="s">
        <v>1730</v>
      </c>
      <c r="D70" s="10" t="s">
        <v>1731</v>
      </c>
      <c r="E70" s="9" t="str">
        <f>HYPERLINK("https://twitter.com/ImChepe/status/1353810170736861186","1353810170736861186")</f>
        <v>1353810170736861186</v>
      </c>
      <c r="F70" s="11" t="s">
        <v>1732</v>
      </c>
      <c r="G70" s="10"/>
      <c r="H70" s="12"/>
      <c r="I70" s="13">
        <v>0.0</v>
      </c>
      <c r="J70" s="13">
        <v>2.0</v>
      </c>
      <c r="K70" s="9" t="str">
        <f t="shared" si="18"/>
        <v>Twitter for Android</v>
      </c>
      <c r="L70" s="14">
        <v>788.0</v>
      </c>
      <c r="M70" s="14">
        <v>2043.0</v>
      </c>
      <c r="N70" s="14">
        <v>0.0</v>
      </c>
      <c r="O70" s="19"/>
      <c r="P70" s="16">
        <v>41144.759976851856</v>
      </c>
      <c r="Q70" s="10" t="s">
        <v>1625</v>
      </c>
      <c r="R70" s="10" t="s">
        <v>1733</v>
      </c>
      <c r="S70" s="12"/>
      <c r="T70" s="12"/>
      <c r="U70" s="17" t="str">
        <f>HYPERLINK("https://pbs.twimg.com/profile_images/1087438177206444033/__qAD-VZ.jpg","View")</f>
        <v>View</v>
      </c>
      <c r="V70" s="12"/>
      <c r="W70" s="12"/>
      <c r="X70" s="12"/>
      <c r="Y70" s="12"/>
      <c r="Z70" s="12"/>
    </row>
    <row r="71">
      <c r="A71" s="8">
        <v>44221.61728009259</v>
      </c>
      <c r="B71" s="9" t="str">
        <f>HYPERLINK("https://twitter.com/DENUNCIATUGOB","@DENUNCIATUGOB")</f>
        <v>@DENUNCIATUGOB</v>
      </c>
      <c r="C71" s="10" t="s">
        <v>1734</v>
      </c>
      <c r="D71" s="10" t="s">
        <v>1735</v>
      </c>
      <c r="E71" s="9" t="str">
        <f>HYPERLINK("https://twitter.com/DENUNCIATUGOB/status/1353807072266133504","1353807072266133504")</f>
        <v>1353807072266133504</v>
      </c>
      <c r="F71" s="12"/>
      <c r="G71" s="11" t="s">
        <v>1736</v>
      </c>
      <c r="H71" s="12"/>
      <c r="I71" s="13">
        <v>0.0</v>
      </c>
      <c r="J71" s="13">
        <v>0.0</v>
      </c>
      <c r="K71" s="9" t="str">
        <f>HYPERLINK("https://mobile.twitter.com","Twitter Web App")</f>
        <v>Twitter Web App</v>
      </c>
      <c r="L71" s="14">
        <v>317.0</v>
      </c>
      <c r="M71" s="14">
        <v>4013.0</v>
      </c>
      <c r="N71" s="14">
        <v>0.0</v>
      </c>
      <c r="O71" s="19"/>
      <c r="P71" s="16">
        <v>42572.42344907408</v>
      </c>
      <c r="Q71" s="10" t="s">
        <v>325</v>
      </c>
      <c r="R71" s="10" t="s">
        <v>1737</v>
      </c>
      <c r="S71" s="12"/>
      <c r="T71" s="12"/>
      <c r="U71" s="17" t="str">
        <f>HYPERLINK("https://pbs.twimg.com/profile_images/756144938748813313/4AM5himz.jpg","View")</f>
        <v>View</v>
      </c>
      <c r="V71" s="12"/>
      <c r="W71" s="12"/>
      <c r="X71" s="12"/>
      <c r="Y71" s="12"/>
      <c r="Z71" s="12"/>
    </row>
    <row r="72">
      <c r="A72" s="8">
        <v>44221.59756944445</v>
      </c>
      <c r="B72" s="9" t="str">
        <f>HYPERLINK("https://twitter.com/darth_sadeus","@darth_sadeus")</f>
        <v>@darth_sadeus</v>
      </c>
      <c r="C72" s="10" t="s">
        <v>1738</v>
      </c>
      <c r="D72" s="10" t="s">
        <v>1739</v>
      </c>
      <c r="E72" s="9" t="str">
        <f>HYPERLINK("https://twitter.com/darth_sadeus/status/1353799929446076418","1353799929446076418")</f>
        <v>1353799929446076418</v>
      </c>
      <c r="F72" s="12"/>
      <c r="G72" s="10"/>
      <c r="H72" s="12"/>
      <c r="I72" s="13">
        <v>0.0</v>
      </c>
      <c r="J72" s="13">
        <v>0.0</v>
      </c>
      <c r="K72" s="9" t="str">
        <f>HYPERLINK("http://twitter.com/download/android","Twitter for Android")</f>
        <v>Twitter for Android</v>
      </c>
      <c r="L72" s="14">
        <v>17.0</v>
      </c>
      <c r="M72" s="14">
        <v>170.0</v>
      </c>
      <c r="N72" s="14">
        <v>0.0</v>
      </c>
      <c r="O72" s="19"/>
      <c r="P72" s="16">
        <v>40353.879224537035</v>
      </c>
      <c r="Q72" s="10" t="s">
        <v>1740</v>
      </c>
      <c r="R72" s="10" t="s">
        <v>1741</v>
      </c>
      <c r="S72" s="12"/>
      <c r="T72" s="12"/>
      <c r="U72" s="17" t="str">
        <f>HYPERLINK("https://pbs.twimg.com/profile_images/1021906888/don_ramon.jpg","View")</f>
        <v>View</v>
      </c>
      <c r="V72" s="12"/>
      <c r="W72" s="12"/>
      <c r="X72" s="12"/>
      <c r="Y72" s="12"/>
      <c r="Z72" s="12"/>
    </row>
    <row r="73">
      <c r="A73" s="8">
        <v>44221.59542824074</v>
      </c>
      <c r="B73" s="9" t="str">
        <f>HYPERLINK("https://twitter.com/MiMoCabaretero","@MiMoCabaretero")</f>
        <v>@MiMoCabaretero</v>
      </c>
      <c r="C73" s="10" t="s">
        <v>1742</v>
      </c>
      <c r="D73" s="10" t="s">
        <v>1743</v>
      </c>
      <c r="E73" s="9" t="str">
        <f>HYPERLINK("https://twitter.com/MiMoCabaretero/status/1353799155685019648","1353799155685019648")</f>
        <v>1353799155685019648</v>
      </c>
      <c r="F73" s="12"/>
      <c r="G73" s="10"/>
      <c r="H73" s="12"/>
      <c r="I73" s="13">
        <v>0.0</v>
      </c>
      <c r="J73" s="13">
        <v>1.0</v>
      </c>
      <c r="K73" s="9" t="str">
        <f>HYPERLINK("https://mobile.twitter.com","Twitter Web App")</f>
        <v>Twitter Web App</v>
      </c>
      <c r="L73" s="14">
        <v>363.0</v>
      </c>
      <c r="M73" s="14">
        <v>355.0</v>
      </c>
      <c r="N73" s="14">
        <v>1.0</v>
      </c>
      <c r="O73" s="19"/>
      <c r="P73" s="16">
        <v>43462.80309027778</v>
      </c>
      <c r="Q73" s="10" t="s">
        <v>1744</v>
      </c>
      <c r="R73" s="10" t="s">
        <v>1745</v>
      </c>
      <c r="S73" s="11" t="s">
        <v>1746</v>
      </c>
      <c r="T73" s="12"/>
      <c r="U73" s="17" t="str">
        <f>HYPERLINK("https://pbs.twimg.com/profile_images/1116772152420683776/1Ugs-JlU.png","View")</f>
        <v>View</v>
      </c>
      <c r="V73" s="12"/>
      <c r="W73" s="12"/>
      <c r="X73" s="12"/>
      <c r="Y73" s="12"/>
      <c r="Z73" s="12"/>
    </row>
    <row r="74">
      <c r="A74" s="8">
        <v>44221.59409722222</v>
      </c>
      <c r="B74" s="9" t="str">
        <f>HYPERLINK("https://twitter.com/robertov68","@robertov68")</f>
        <v>@robertov68</v>
      </c>
      <c r="C74" s="10" t="s">
        <v>1747</v>
      </c>
      <c r="D74" s="10" t="s">
        <v>1748</v>
      </c>
      <c r="E74" s="9" t="str">
        <f>HYPERLINK("https://twitter.com/robertov68/status/1353798672019021825","1353798672019021825")</f>
        <v>1353798672019021825</v>
      </c>
      <c r="F74" s="12"/>
      <c r="G74" s="10"/>
      <c r="H74" s="12"/>
      <c r="I74" s="13">
        <v>0.0</v>
      </c>
      <c r="J74" s="13">
        <v>0.0</v>
      </c>
      <c r="K74" s="9" t="str">
        <f t="shared" ref="K74:K77" si="19">HYPERLINK("http://twitter.com/download/android","Twitter for Android")</f>
        <v>Twitter for Android</v>
      </c>
      <c r="L74" s="14">
        <v>2217.0</v>
      </c>
      <c r="M74" s="14">
        <v>3073.0</v>
      </c>
      <c r="N74" s="14">
        <v>22.0</v>
      </c>
      <c r="O74" s="19"/>
      <c r="P74" s="16">
        <v>40750.36938657407</v>
      </c>
      <c r="Q74" s="10"/>
      <c r="R74" s="10" t="s">
        <v>1749</v>
      </c>
      <c r="S74" s="12"/>
      <c r="T74" s="12"/>
      <c r="U74" s="17" t="str">
        <f>HYPERLINK("https://pbs.twimg.com/profile_images/1300819282704637953/hElqK8G5.jpg","View")</f>
        <v>View</v>
      </c>
      <c r="V74" s="12"/>
      <c r="W74" s="12"/>
      <c r="X74" s="12"/>
      <c r="Y74" s="12"/>
      <c r="Z74" s="12"/>
    </row>
    <row r="75">
      <c r="A75" s="8">
        <v>44221.58715277778</v>
      </c>
      <c r="B75" s="9" t="str">
        <f>HYPERLINK("https://twitter.com/CeAmy2","@CeAmy2")</f>
        <v>@CeAmy2</v>
      </c>
      <c r="C75" s="10" t="s">
        <v>1750</v>
      </c>
      <c r="D75" s="10" t="s">
        <v>1751</v>
      </c>
      <c r="E75" s="9" t="str">
        <f>HYPERLINK("https://twitter.com/CeAmy2/status/1353796156321628162","1353796156321628162")</f>
        <v>1353796156321628162</v>
      </c>
      <c r="F75" s="12"/>
      <c r="G75" s="11" t="s">
        <v>1752</v>
      </c>
      <c r="H75" s="12"/>
      <c r="I75" s="13">
        <v>1.0</v>
      </c>
      <c r="J75" s="13">
        <v>12.0</v>
      </c>
      <c r="K75" s="9" t="str">
        <f t="shared" si="19"/>
        <v>Twitter for Android</v>
      </c>
      <c r="L75" s="14">
        <v>8215.0</v>
      </c>
      <c r="M75" s="14">
        <v>4857.0</v>
      </c>
      <c r="N75" s="14">
        <v>6.0</v>
      </c>
      <c r="O75" s="19"/>
      <c r="P75" s="16">
        <v>43564.526087962964</v>
      </c>
      <c r="Q75" s="10"/>
      <c r="R75" s="10"/>
      <c r="S75" s="12"/>
      <c r="T75" s="12"/>
      <c r="U75" s="17" t="str">
        <f>HYPERLINK("https://pbs.twimg.com/profile_images/1345131165666066432/STQK6fpB.jpg","View")</f>
        <v>View</v>
      </c>
      <c r="V75" s="12"/>
      <c r="W75" s="12"/>
      <c r="X75" s="12"/>
      <c r="Y75" s="12"/>
      <c r="Z75" s="12"/>
    </row>
    <row r="76">
      <c r="A76" s="8">
        <v>44221.577627314815</v>
      </c>
      <c r="B76" s="9" t="str">
        <f>HYPERLINK("https://twitter.com/TiburonJacques","@TiburonJacques")</f>
        <v>@TiburonJacques</v>
      </c>
      <c r="C76" s="10" t="s">
        <v>1753</v>
      </c>
      <c r="D76" s="10" t="s">
        <v>1754</v>
      </c>
      <c r="E76" s="9" t="str">
        <f>HYPERLINK("https://twitter.com/TiburonJacques/status/1353792702685523968","1353792702685523968")</f>
        <v>1353792702685523968</v>
      </c>
      <c r="F76" s="12"/>
      <c r="G76" s="10"/>
      <c r="H76" s="12"/>
      <c r="I76" s="13">
        <v>0.0</v>
      </c>
      <c r="J76" s="13">
        <v>0.0</v>
      </c>
      <c r="K76" s="9" t="str">
        <f t="shared" si="19"/>
        <v>Twitter for Android</v>
      </c>
      <c r="L76" s="14">
        <v>208.0</v>
      </c>
      <c r="M76" s="14">
        <v>412.0</v>
      </c>
      <c r="N76" s="14">
        <v>0.0</v>
      </c>
      <c r="O76" s="19"/>
      <c r="P76" s="16">
        <v>42613.72815972222</v>
      </c>
      <c r="Q76" s="10" t="s">
        <v>914</v>
      </c>
      <c r="R76" s="10" t="s">
        <v>1755</v>
      </c>
      <c r="S76" s="12"/>
      <c r="T76" s="12"/>
      <c r="U76" s="17" t="str">
        <f>HYPERLINK("https://pbs.twimg.com/profile_images/1352690385387220992/dzxqeDgE.jpg","View")</f>
        <v>View</v>
      </c>
      <c r="V76" s="12"/>
      <c r="W76" s="12"/>
      <c r="X76" s="12"/>
      <c r="Y76" s="12"/>
      <c r="Z76" s="12"/>
    </row>
    <row r="77">
      <c r="A77" s="8">
        <v>44221.576157407406</v>
      </c>
      <c r="B77" s="9" t="str">
        <f>HYPERLINK("https://twitter.com/pipocervantes","@pipocervantes")</f>
        <v>@pipocervantes</v>
      </c>
      <c r="C77" s="10" t="s">
        <v>1756</v>
      </c>
      <c r="D77" s="10" t="s">
        <v>1757</v>
      </c>
      <c r="E77" s="9" t="str">
        <f>HYPERLINK("https://twitter.com/pipocervantes/status/1353792170424152065","1353792170424152065")</f>
        <v>1353792170424152065</v>
      </c>
      <c r="F77" s="12"/>
      <c r="G77" s="11" t="s">
        <v>1758</v>
      </c>
      <c r="H77" s="12"/>
      <c r="I77" s="13">
        <v>2.0</v>
      </c>
      <c r="J77" s="13">
        <v>11.0</v>
      </c>
      <c r="K77" s="9" t="str">
        <f t="shared" si="19"/>
        <v>Twitter for Android</v>
      </c>
      <c r="L77" s="14">
        <v>693.0</v>
      </c>
      <c r="M77" s="14">
        <v>1025.0</v>
      </c>
      <c r="N77" s="14">
        <v>4.0</v>
      </c>
      <c r="O77" s="19"/>
      <c r="P77" s="16">
        <v>40681.01909722222</v>
      </c>
      <c r="Q77" s="10" t="s">
        <v>325</v>
      </c>
      <c r="R77" s="10" t="s">
        <v>1759</v>
      </c>
      <c r="S77" s="12"/>
      <c r="T77" s="12"/>
      <c r="U77" s="17" t="str">
        <f>HYPERLINK("https://pbs.twimg.com/profile_images/1298072964848652288/6ZB7Tnoe.jpg","View")</f>
        <v>View</v>
      </c>
      <c r="V77" s="12"/>
      <c r="W77" s="12"/>
      <c r="X77" s="12"/>
      <c r="Y77" s="12"/>
      <c r="Z77" s="12"/>
    </row>
    <row r="78">
      <c r="A78" s="8">
        <v>44221.56370370371</v>
      </c>
      <c r="B78" s="9" t="str">
        <f>HYPERLINK("https://twitter.com/yasebanonorona","@yasebanonorona")</f>
        <v>@yasebanonorona</v>
      </c>
      <c r="C78" s="10" t="s">
        <v>1760</v>
      </c>
      <c r="D78" s="10" t="s">
        <v>1761</v>
      </c>
      <c r="E78" s="9" t="str">
        <f>HYPERLINK("https://twitter.com/yasebanonorona/status/1353787657910968320","1353787657910968320")</f>
        <v>1353787657910968320</v>
      </c>
      <c r="F78" s="12"/>
      <c r="G78" s="11" t="s">
        <v>1762</v>
      </c>
      <c r="H78" s="12"/>
      <c r="I78" s="13">
        <v>0.0</v>
      </c>
      <c r="J78" s="13">
        <v>0.0</v>
      </c>
      <c r="K78" s="9" t="str">
        <f>HYPERLINK("http://twitter.com/download/iphone","Twitter for iPhone")</f>
        <v>Twitter for iPhone</v>
      </c>
      <c r="L78" s="14">
        <v>224.0</v>
      </c>
      <c r="M78" s="14">
        <v>331.0</v>
      </c>
      <c r="N78" s="14">
        <v>0.0</v>
      </c>
      <c r="O78" s="19"/>
      <c r="P78" s="16">
        <v>43954.690358796295</v>
      </c>
      <c r="Q78" s="10"/>
      <c r="R78" s="10" t="s">
        <v>1763</v>
      </c>
      <c r="S78" s="12"/>
      <c r="T78" s="12"/>
      <c r="U78" s="17" t="str">
        <f>HYPERLINK("https://pbs.twimg.com/profile_images/1257061003252072448/mgNuQg5F.jpg","View")</f>
        <v>View</v>
      </c>
      <c r="V78" s="12"/>
      <c r="W78" s="12"/>
      <c r="X78" s="12"/>
      <c r="Y78" s="12"/>
      <c r="Z78" s="12"/>
    </row>
    <row r="79">
      <c r="A79" s="8">
        <v>44221.55962962963</v>
      </c>
      <c r="B79" s="9" t="str">
        <f>HYPERLINK("https://twitter.com/_ElRagna","@_ElRagna")</f>
        <v>@_ElRagna</v>
      </c>
      <c r="C79" s="10" t="s">
        <v>1764</v>
      </c>
      <c r="D79" s="10" t="s">
        <v>1765</v>
      </c>
      <c r="E79" s="9" t="str">
        <f>HYPERLINK("https://twitter.com/_ElRagna/status/1353786180383346688","1353786180383346688")</f>
        <v>1353786180383346688</v>
      </c>
      <c r="F79" s="10" t="s">
        <v>1766</v>
      </c>
      <c r="G79" s="11" t="s">
        <v>1767</v>
      </c>
      <c r="H79" s="12"/>
      <c r="I79" s="13">
        <v>0.0</v>
      </c>
      <c r="J79" s="13">
        <v>1.0</v>
      </c>
      <c r="K79" s="9" t="str">
        <f>HYPERLINK("http://twitter.com/download/android","Twitter for Android")</f>
        <v>Twitter for Android</v>
      </c>
      <c r="L79" s="14">
        <v>601.0</v>
      </c>
      <c r="M79" s="14">
        <v>557.0</v>
      </c>
      <c r="N79" s="14">
        <v>17.0</v>
      </c>
      <c r="O79" s="19"/>
      <c r="P79" s="16">
        <v>40448.66607638889</v>
      </c>
      <c r="Q79" s="10" t="s">
        <v>1768</v>
      </c>
      <c r="R79" s="10" t="s">
        <v>1769</v>
      </c>
      <c r="S79" s="12"/>
      <c r="T79" s="12"/>
      <c r="U79" s="17" t="str">
        <f>HYPERLINK("https://pbs.twimg.com/profile_images/1350720800400105479/oBnb0kvc.jpg","View")</f>
        <v>View</v>
      </c>
      <c r="V79" s="12"/>
      <c r="W79" s="12"/>
      <c r="X79" s="12"/>
      <c r="Y79" s="12"/>
      <c r="Z79" s="12"/>
    </row>
    <row r="80">
      <c r="A80" s="8">
        <v>44221.55158564815</v>
      </c>
      <c r="B80" s="9" t="str">
        <f>HYPERLINK("https://twitter.com/D_R_A_L_E_X","@D_R_A_L_E_X")</f>
        <v>@D_R_A_L_E_X</v>
      </c>
      <c r="C80" s="10" t="s">
        <v>1770</v>
      </c>
      <c r="D80" s="10" t="s">
        <v>1771</v>
      </c>
      <c r="E80" s="9" t="str">
        <f>HYPERLINK("https://twitter.com/D_R_A_L_E_X/status/1353783265765818368","1353783265765818368")</f>
        <v>1353783265765818368</v>
      </c>
      <c r="F80" s="12"/>
      <c r="G80" s="10"/>
      <c r="H80" s="12"/>
      <c r="I80" s="13">
        <v>0.0</v>
      </c>
      <c r="J80" s="13">
        <v>1.0</v>
      </c>
      <c r="K80" s="9" t="str">
        <f>HYPERLINK("https://mobile.twitter.com","Twitter Web App")</f>
        <v>Twitter Web App</v>
      </c>
      <c r="L80" s="14">
        <v>737.0</v>
      </c>
      <c r="M80" s="14">
        <v>1891.0</v>
      </c>
      <c r="N80" s="14">
        <v>2.0</v>
      </c>
      <c r="O80" s="19"/>
      <c r="P80" s="16">
        <v>40296.31917824074</v>
      </c>
      <c r="Q80" s="10"/>
      <c r="R80" s="10" t="s">
        <v>1772</v>
      </c>
      <c r="S80" s="12"/>
      <c r="T80" s="12"/>
      <c r="U80" s="17" t="str">
        <f>HYPERLINK("https://pbs.twimg.com/profile_images/1319467318229921793/0GRi0R6i.jpg","View")</f>
        <v>View</v>
      </c>
      <c r="V80" s="12"/>
      <c r="W80" s="12"/>
      <c r="X80" s="12"/>
      <c r="Y80" s="12"/>
      <c r="Z80" s="12"/>
    </row>
    <row r="81">
      <c r="A81" s="8">
        <v>44221.54929398149</v>
      </c>
      <c r="B81" s="9" t="str">
        <f>HYPERLINK("https://twitter.com/A_ausdenRuthen","@A_ausdenRuthen")</f>
        <v>@A_ausdenRuthen</v>
      </c>
      <c r="C81" s="10" t="s">
        <v>1773</v>
      </c>
      <c r="D81" s="10" t="s">
        <v>1774</v>
      </c>
      <c r="E81" s="9" t="str">
        <f>HYPERLINK("https://twitter.com/A_ausdenRuthen/status/1353782436040237057","1353782436040237057")</f>
        <v>1353782436040237057</v>
      </c>
      <c r="F81" s="12"/>
      <c r="G81" s="10"/>
      <c r="H81" s="12"/>
      <c r="I81" s="13">
        <v>522.0</v>
      </c>
      <c r="J81" s="13">
        <v>4547.0</v>
      </c>
      <c r="K81" s="9" t="str">
        <f>HYPERLINK("http://twitter.com/download/iphone","Twitter for iPhone")</f>
        <v>Twitter for iPhone</v>
      </c>
      <c r="L81" s="14">
        <v>106916.0</v>
      </c>
      <c r="M81" s="14">
        <v>1029.0</v>
      </c>
      <c r="N81" s="14">
        <v>232.0</v>
      </c>
      <c r="O81" s="19"/>
      <c r="P81" s="16">
        <v>42738.51957175926</v>
      </c>
      <c r="Q81" s="10" t="s">
        <v>325</v>
      </c>
      <c r="R81" s="10" t="s">
        <v>1775</v>
      </c>
      <c r="S81" s="12"/>
      <c r="T81" s="12"/>
      <c r="U81" s="17" t="str">
        <f>HYPERLINK("https://pbs.twimg.com/profile_images/1334089402121904129/kwiG_pW9.jpg","View")</f>
        <v>View</v>
      </c>
      <c r="V81" s="12"/>
      <c r="W81" s="12"/>
      <c r="X81" s="12"/>
      <c r="Y81" s="12"/>
      <c r="Z81" s="12"/>
    </row>
    <row r="82">
      <c r="A82" s="8">
        <v>44221.546678240746</v>
      </c>
      <c r="B82" s="9" t="str">
        <f>HYPERLINK("https://twitter.com/israelnapier","@israelnapier")</f>
        <v>@israelnapier</v>
      </c>
      <c r="C82" s="10" t="s">
        <v>1776</v>
      </c>
      <c r="D82" s="10" t="s">
        <v>1777</v>
      </c>
      <c r="E82" s="9" t="str">
        <f>HYPERLINK("https://twitter.com/israelnapier/status/1353781486848241666","1353781486848241666")</f>
        <v>1353781486848241666</v>
      </c>
      <c r="F82" s="12"/>
      <c r="G82" s="10"/>
      <c r="H82" s="12"/>
      <c r="I82" s="13">
        <v>0.0</v>
      </c>
      <c r="J82" s="13">
        <v>1.0</v>
      </c>
      <c r="K82" s="9" t="str">
        <f t="shared" ref="K82:K83" si="20">HYPERLINK("http://twitter.com/download/android","Twitter for Android")</f>
        <v>Twitter for Android</v>
      </c>
      <c r="L82" s="14">
        <v>427.0</v>
      </c>
      <c r="M82" s="14">
        <v>519.0</v>
      </c>
      <c r="N82" s="14">
        <v>3.0</v>
      </c>
      <c r="O82" s="19"/>
      <c r="P82" s="16">
        <v>40146.79446759259</v>
      </c>
      <c r="Q82" s="10" t="s">
        <v>1778</v>
      </c>
      <c r="R82" s="10" t="s">
        <v>1779</v>
      </c>
      <c r="S82" s="12"/>
      <c r="T82" s="12"/>
      <c r="U82" s="17" t="str">
        <f>HYPERLINK("https://pbs.twimg.com/profile_images/1274399016109764608/TRRlTksM.jpg","View")</f>
        <v>View</v>
      </c>
      <c r="V82" s="12"/>
      <c r="W82" s="12"/>
      <c r="X82" s="12"/>
      <c r="Y82" s="12"/>
      <c r="Z82" s="12"/>
    </row>
    <row r="83">
      <c r="A83" s="8">
        <v>44221.53385416667</v>
      </c>
      <c r="B83" s="9" t="str">
        <f>HYPERLINK("https://twitter.com/Hyleann","@Hyleann")</f>
        <v>@Hyleann</v>
      </c>
      <c r="C83" s="10" t="s">
        <v>1780</v>
      </c>
      <c r="D83" s="10" t="s">
        <v>1781</v>
      </c>
      <c r="E83" s="9" t="str">
        <f>HYPERLINK("https://twitter.com/Hyleann/status/1353776842784862208","1353776842784862208")</f>
        <v>1353776842784862208</v>
      </c>
      <c r="F83" s="12"/>
      <c r="G83" s="10"/>
      <c r="H83" s="12"/>
      <c r="I83" s="13">
        <v>1.0</v>
      </c>
      <c r="J83" s="13">
        <v>4.0</v>
      </c>
      <c r="K83" s="9" t="str">
        <f t="shared" si="20"/>
        <v>Twitter for Android</v>
      </c>
      <c r="L83" s="14">
        <v>640.0</v>
      </c>
      <c r="M83" s="14">
        <v>1181.0</v>
      </c>
      <c r="N83" s="14">
        <v>9.0</v>
      </c>
      <c r="O83" s="19"/>
      <c r="P83" s="16">
        <v>41095.61688657408</v>
      </c>
      <c r="Q83" s="10" t="s">
        <v>1782</v>
      </c>
      <c r="R83" s="10" t="s">
        <v>1783</v>
      </c>
      <c r="S83" s="11" t="s">
        <v>1784</v>
      </c>
      <c r="T83" s="12"/>
      <c r="U83" s="17" t="str">
        <f>HYPERLINK("https://pbs.twimg.com/profile_images/1329968180928851970/NG7KC7fR.jpg","View")</f>
        <v>View</v>
      </c>
      <c r="V83" s="12"/>
      <c r="W83" s="12"/>
      <c r="X83" s="12"/>
      <c r="Y83" s="12"/>
      <c r="Z83" s="12"/>
    </row>
    <row r="84">
      <c r="A84" s="8">
        <v>44221.53221064815</v>
      </c>
      <c r="B84" s="9" t="str">
        <f>HYPERLINK("https://twitter.com/Poninas13613964","@Poninas13613964")</f>
        <v>@Poninas13613964</v>
      </c>
      <c r="C84" s="10" t="s">
        <v>1785</v>
      </c>
      <c r="D84" s="10" t="s">
        <v>1786</v>
      </c>
      <c r="E84" s="9" t="str">
        <f>HYPERLINK("https://twitter.com/Poninas13613964/status/1353776246879113216","1353776246879113216")</f>
        <v>1353776246879113216</v>
      </c>
      <c r="F84" s="10" t="s">
        <v>1653</v>
      </c>
      <c r="G84" s="10" t="s">
        <v>1787</v>
      </c>
      <c r="H84" s="12"/>
      <c r="I84" s="13">
        <v>0.0</v>
      </c>
      <c r="J84" s="13">
        <v>0.0</v>
      </c>
      <c r="K84" s="9" t="str">
        <f t="shared" ref="K84:K85" si="21">HYPERLINK("https://mobile.twitter.com","Twitter Web App")</f>
        <v>Twitter Web App</v>
      </c>
      <c r="L84" s="14">
        <v>15.0</v>
      </c>
      <c r="M84" s="14">
        <v>171.0</v>
      </c>
      <c r="N84" s="14">
        <v>1.0</v>
      </c>
      <c r="O84" s="19"/>
      <c r="P84" s="16">
        <v>44166.01886574074</v>
      </c>
      <c r="Q84" s="10" t="s">
        <v>1788</v>
      </c>
      <c r="R84" s="10" t="s">
        <v>1789</v>
      </c>
      <c r="S84" s="12"/>
      <c r="T84" s="12"/>
      <c r="U84" s="17" t="str">
        <f>HYPERLINK("https://pbs.twimg.com/profile_images/1333659181656764416/Nohk2fgS.jpg","View")</f>
        <v>View</v>
      </c>
      <c r="V84" s="12"/>
      <c r="W84" s="12"/>
      <c r="X84" s="12"/>
      <c r="Y84" s="12"/>
      <c r="Z84" s="12"/>
    </row>
    <row r="85">
      <c r="A85" s="8">
        <v>44221.52903935185</v>
      </c>
      <c r="B85" s="9" t="str">
        <f>HYPERLINK("https://twitter.com/chikw4","@chikw4")</f>
        <v>@chikw4</v>
      </c>
      <c r="C85" s="10" t="s">
        <v>1790</v>
      </c>
      <c r="D85" s="10" t="s">
        <v>1791</v>
      </c>
      <c r="E85" s="9" t="str">
        <f>HYPERLINK("https://twitter.com/chikw4/status/1353775095018360833","1353775095018360833")</f>
        <v>1353775095018360833</v>
      </c>
      <c r="F85" s="10" t="s">
        <v>1653</v>
      </c>
      <c r="G85" s="11" t="s">
        <v>1654</v>
      </c>
      <c r="H85" s="12"/>
      <c r="I85" s="13">
        <v>0.0</v>
      </c>
      <c r="J85" s="13">
        <v>0.0</v>
      </c>
      <c r="K85" s="9" t="str">
        <f t="shared" si="21"/>
        <v>Twitter Web App</v>
      </c>
      <c r="L85" s="14">
        <v>363.0</v>
      </c>
      <c r="M85" s="14">
        <v>346.0</v>
      </c>
      <c r="N85" s="14">
        <v>9.0</v>
      </c>
      <c r="O85" s="19"/>
      <c r="P85" s="16">
        <v>40036.691458333335</v>
      </c>
      <c r="Q85" s="10"/>
      <c r="R85" s="10" t="s">
        <v>1792</v>
      </c>
      <c r="S85" s="12"/>
      <c r="T85" s="12"/>
      <c r="U85" s="17" t="str">
        <f>HYPERLINK("https://pbs.twimg.com/profile_images/1289447216986443776/1a4FmlLO.jpg","View")</f>
        <v>View</v>
      </c>
      <c r="V85" s="12"/>
      <c r="W85" s="12"/>
      <c r="X85" s="12"/>
      <c r="Y85" s="12"/>
      <c r="Z85" s="12"/>
    </row>
    <row r="86">
      <c r="A86" s="8">
        <v>44221.51836805556</v>
      </c>
      <c r="B86" s="9" t="str">
        <f>HYPERLINK("https://twitter.com/Ramza_online","@Ramza_online")</f>
        <v>@Ramza_online</v>
      </c>
      <c r="C86" s="10" t="s">
        <v>1793</v>
      </c>
      <c r="D86" s="10" t="s">
        <v>1794</v>
      </c>
      <c r="E86" s="9" t="str">
        <f>HYPERLINK("https://twitter.com/Ramza_online/status/1353771230604783616","1353771230604783616")</f>
        <v>1353771230604783616</v>
      </c>
      <c r="F86" s="11" t="s">
        <v>1795</v>
      </c>
      <c r="G86" s="10"/>
      <c r="H86" s="12"/>
      <c r="I86" s="13">
        <v>0.0</v>
      </c>
      <c r="J86" s="13">
        <v>1.0</v>
      </c>
      <c r="K86" s="9" t="str">
        <f t="shared" ref="K86:K87" si="22">HYPERLINK("http://twitter.com/download/android","Twitter for Android")</f>
        <v>Twitter for Android</v>
      </c>
      <c r="L86" s="14">
        <v>478.0</v>
      </c>
      <c r="M86" s="14">
        <v>433.0</v>
      </c>
      <c r="N86" s="14">
        <v>9.0</v>
      </c>
      <c r="O86" s="19"/>
      <c r="P86" s="16">
        <v>41092.538611111115</v>
      </c>
      <c r="Q86" s="10" t="s">
        <v>1796</v>
      </c>
      <c r="R86" s="10" t="s">
        <v>1797</v>
      </c>
      <c r="S86" s="12"/>
      <c r="T86" s="12"/>
      <c r="U86" s="17" t="str">
        <f>HYPERLINK("https://pbs.twimg.com/profile_images/1344420000019349504/1AzHux2S.jpg","View")</f>
        <v>View</v>
      </c>
      <c r="V86" s="12"/>
      <c r="W86" s="12"/>
      <c r="X86" s="12"/>
      <c r="Y86" s="12"/>
      <c r="Z86" s="12"/>
    </row>
    <row r="87">
      <c r="A87" s="8">
        <v>44221.51530092592</v>
      </c>
      <c r="B87" s="9" t="str">
        <f>HYPERLINK("https://twitter.com/Sombrerudo2","@Sombrerudo2")</f>
        <v>@Sombrerudo2</v>
      </c>
      <c r="C87" s="10" t="s">
        <v>1798</v>
      </c>
      <c r="D87" s="10" t="s">
        <v>1799</v>
      </c>
      <c r="E87" s="9" t="str">
        <f>HYPERLINK("https://twitter.com/Sombrerudo2/status/1353770118426341376","1353770118426341376")</f>
        <v>1353770118426341376</v>
      </c>
      <c r="F87" s="11" t="s">
        <v>1800</v>
      </c>
      <c r="G87" s="10"/>
      <c r="H87" s="12"/>
      <c r="I87" s="13">
        <v>0.0</v>
      </c>
      <c r="J87" s="13">
        <v>1.0</v>
      </c>
      <c r="K87" s="9" t="str">
        <f t="shared" si="22"/>
        <v>Twitter for Android</v>
      </c>
      <c r="L87" s="14">
        <v>85.0</v>
      </c>
      <c r="M87" s="14">
        <v>734.0</v>
      </c>
      <c r="N87" s="14">
        <v>0.0</v>
      </c>
      <c r="O87" s="19"/>
      <c r="P87" s="16">
        <v>43571.999756944446</v>
      </c>
      <c r="Q87" s="10" t="s">
        <v>520</v>
      </c>
      <c r="R87" s="10" t="s">
        <v>1801</v>
      </c>
      <c r="S87" s="12"/>
      <c r="T87" s="12"/>
      <c r="U87" s="17" t="str">
        <f>HYPERLINK("https://pbs.twimg.com/profile_images/1120890137141858305/QI-5RBcO.jpg","View")</f>
        <v>View</v>
      </c>
      <c r="V87" s="12"/>
      <c r="W87" s="12"/>
      <c r="X87" s="12"/>
      <c r="Y87" s="12"/>
      <c r="Z87" s="12"/>
    </row>
    <row r="88">
      <c r="A88" s="8">
        <v>44221.490532407406</v>
      </c>
      <c r="B88" s="9" t="str">
        <f>HYPERLINK("https://twitter.com/Rey_Fifi","@Rey_Fifi")</f>
        <v>@Rey_Fifi</v>
      </c>
      <c r="C88" s="10" t="s">
        <v>1802</v>
      </c>
      <c r="D88" s="10" t="s">
        <v>1803</v>
      </c>
      <c r="E88" s="9" t="str">
        <f>HYPERLINK("https://twitter.com/Rey_Fifi/status/1353761140627681280","1353761140627681280")</f>
        <v>1353761140627681280</v>
      </c>
      <c r="F88" s="12"/>
      <c r="G88" s="10"/>
      <c r="H88" s="12"/>
      <c r="I88" s="13">
        <v>64.0</v>
      </c>
      <c r="J88" s="13">
        <v>272.0</v>
      </c>
      <c r="K88" s="9" t="str">
        <f>HYPERLINK("http://twitter.com/download/iphone","Twitter for iPhone")</f>
        <v>Twitter for iPhone</v>
      </c>
      <c r="L88" s="14">
        <v>12079.0</v>
      </c>
      <c r="M88" s="14">
        <v>1477.0</v>
      </c>
      <c r="N88" s="14">
        <v>8.0</v>
      </c>
      <c r="O88" s="19"/>
      <c r="P88" s="16">
        <v>43652.55233796296</v>
      </c>
      <c r="Q88" s="10" t="s">
        <v>1804</v>
      </c>
      <c r="R88" s="10" t="s">
        <v>1805</v>
      </c>
      <c r="S88" s="12"/>
      <c r="T88" s="12"/>
      <c r="U88" s="17" t="str">
        <f>HYPERLINK("https://pbs.twimg.com/profile_images/1147655428630695937/TJu5VUCO.jpg","View")</f>
        <v>View</v>
      </c>
      <c r="V88" s="12"/>
      <c r="W88" s="12"/>
      <c r="X88" s="12"/>
      <c r="Y88" s="12"/>
      <c r="Z88" s="12"/>
    </row>
    <row r="89">
      <c r="A89" s="8">
        <v>44221.4890625</v>
      </c>
      <c r="B89" s="9" t="str">
        <f>HYPERLINK("https://twitter.com/Laguna_Obrador","@Laguna_Obrador")</f>
        <v>@Laguna_Obrador</v>
      </c>
      <c r="C89" s="10" t="s">
        <v>1806</v>
      </c>
      <c r="D89" s="10" t="s">
        <v>1807</v>
      </c>
      <c r="E89" s="9" t="str">
        <f>HYPERLINK("https://twitter.com/Laguna_Obrador/status/1353760608747831297","1353760608747831297")</f>
        <v>1353760608747831297</v>
      </c>
      <c r="F89" s="12"/>
      <c r="G89" s="11" t="s">
        <v>1808</v>
      </c>
      <c r="H89" s="12"/>
      <c r="I89" s="13">
        <v>0.0</v>
      </c>
      <c r="J89" s="13">
        <v>1.0</v>
      </c>
      <c r="K89" s="9" t="str">
        <f t="shared" ref="K89:K91" si="23">HYPERLINK("http://twitter.com/download/android","Twitter for Android")</f>
        <v>Twitter for Android</v>
      </c>
      <c r="L89" s="14">
        <v>855.0</v>
      </c>
      <c r="M89" s="14">
        <v>861.0</v>
      </c>
      <c r="N89" s="14">
        <v>6.0</v>
      </c>
      <c r="O89" s="19"/>
      <c r="P89" s="16">
        <v>41786.42015046296</v>
      </c>
      <c r="Q89" s="10" t="s">
        <v>1809</v>
      </c>
      <c r="R89" s="10" t="s">
        <v>1810</v>
      </c>
      <c r="S89" s="12"/>
      <c r="T89" s="12"/>
      <c r="U89" s="17" t="str">
        <f>HYPERLINK("https://pbs.twimg.com/profile_images/1301008526056267776/ghDdZNmk.jpg","View")</f>
        <v>View</v>
      </c>
      <c r="V89" s="12"/>
      <c r="W89" s="12"/>
      <c r="X89" s="12"/>
      <c r="Y89" s="12"/>
      <c r="Z89" s="12"/>
    </row>
    <row r="90">
      <c r="A90" s="8">
        <v>44221.47898148149</v>
      </c>
      <c r="B90" s="9" t="str">
        <f>HYPERLINK("https://twitter.com/MoszarM","@MoszarM")</f>
        <v>@MoszarM</v>
      </c>
      <c r="C90" s="10" t="s">
        <v>742</v>
      </c>
      <c r="D90" s="10" t="s">
        <v>1811</v>
      </c>
      <c r="E90" s="9" t="str">
        <f>HYPERLINK("https://twitter.com/MoszarM/status/1353756957073494016","1353756957073494016")</f>
        <v>1353756957073494016</v>
      </c>
      <c r="F90" s="12"/>
      <c r="G90" s="10"/>
      <c r="H90" s="12"/>
      <c r="I90" s="13">
        <v>0.0</v>
      </c>
      <c r="J90" s="13">
        <v>0.0</v>
      </c>
      <c r="K90" s="9" t="str">
        <f t="shared" si="23"/>
        <v>Twitter for Android</v>
      </c>
      <c r="L90" s="14">
        <v>1484.0</v>
      </c>
      <c r="M90" s="14">
        <v>4998.0</v>
      </c>
      <c r="N90" s="14">
        <v>14.0</v>
      </c>
      <c r="O90" s="19"/>
      <c r="P90" s="16">
        <v>40939.90361111111</v>
      </c>
      <c r="Q90" s="10"/>
      <c r="R90" s="10" t="s">
        <v>744</v>
      </c>
      <c r="S90" s="12"/>
      <c r="T90" s="12"/>
      <c r="U90" s="17" t="str">
        <f>HYPERLINK("https://pbs.twimg.com/profile_images/378800000711510805/1beb2b04a1c53728146edc43dda1444a.jpeg","View")</f>
        <v>View</v>
      </c>
      <c r="V90" s="12"/>
      <c r="W90" s="12"/>
      <c r="X90" s="12"/>
      <c r="Y90" s="12"/>
      <c r="Z90" s="12"/>
    </row>
    <row r="91">
      <c r="A91" s="8">
        <v>44221.473020833335</v>
      </c>
      <c r="B91" s="9" t="str">
        <f>HYPERLINK("https://twitter.com/Cristob53463942","@Cristob53463942")</f>
        <v>@Cristob53463942</v>
      </c>
      <c r="C91" s="10" t="s">
        <v>1812</v>
      </c>
      <c r="D91" s="10" t="s">
        <v>1813</v>
      </c>
      <c r="E91" s="9" t="str">
        <f>HYPERLINK("https://twitter.com/Cristob53463942/status/1353754795333578759","1353754795333578759")</f>
        <v>1353754795333578759</v>
      </c>
      <c r="F91" s="12"/>
      <c r="G91" s="10"/>
      <c r="H91" s="12"/>
      <c r="I91" s="13">
        <v>0.0</v>
      </c>
      <c r="J91" s="13">
        <v>0.0</v>
      </c>
      <c r="K91" s="9" t="str">
        <f t="shared" si="23"/>
        <v>Twitter for Android</v>
      </c>
      <c r="L91" s="14">
        <v>6.0</v>
      </c>
      <c r="M91" s="14">
        <v>148.0</v>
      </c>
      <c r="N91" s="14">
        <v>0.0</v>
      </c>
      <c r="O91" s="19"/>
      <c r="P91" s="16">
        <v>44179.70211805556</v>
      </c>
      <c r="Q91" s="10" t="s">
        <v>1814</v>
      </c>
      <c r="R91" s="10" t="s">
        <v>1815</v>
      </c>
      <c r="S91" s="12"/>
      <c r="T91" s="12"/>
      <c r="U91" s="17" t="str">
        <f>HYPERLINK("https://pbs.twimg.com/profile_images/1338618512391155715/ZGZ66pCd.jpg","View")</f>
        <v>View</v>
      </c>
      <c r="V91" s="12"/>
      <c r="W91" s="12"/>
      <c r="X91" s="12"/>
      <c r="Y91" s="12"/>
      <c r="Z91" s="12"/>
    </row>
    <row r="92">
      <c r="A92" s="8">
        <v>44221.47263888889</v>
      </c>
      <c r="B92" s="9" t="str">
        <f>HYPERLINK("https://twitter.com/AracelRomero1","@AracelRomero1")</f>
        <v>@AracelRomero1</v>
      </c>
      <c r="C92" s="10" t="s">
        <v>1816</v>
      </c>
      <c r="D92" s="10" t="s">
        <v>1817</v>
      </c>
      <c r="E92" s="9" t="str">
        <f>HYPERLINK("https://twitter.com/AracelRomero1/status/1353754658003628033","1353754658003628033")</f>
        <v>1353754658003628033</v>
      </c>
      <c r="F92" s="12"/>
      <c r="G92" s="10"/>
      <c r="H92" s="12"/>
      <c r="I92" s="13">
        <v>4.0</v>
      </c>
      <c r="J92" s="13">
        <v>6.0</v>
      </c>
      <c r="K92" s="9" t="str">
        <f>HYPERLINK("https://mobile.twitter.com","Twitter Web App")</f>
        <v>Twitter Web App</v>
      </c>
      <c r="L92" s="14">
        <v>2123.0</v>
      </c>
      <c r="M92" s="14">
        <v>1326.0</v>
      </c>
      <c r="N92" s="14">
        <v>1.0</v>
      </c>
      <c r="O92" s="19"/>
      <c r="P92" s="16">
        <v>43564.48957175926</v>
      </c>
      <c r="Q92" s="10" t="s">
        <v>1818</v>
      </c>
      <c r="R92" s="10" t="s">
        <v>1819</v>
      </c>
      <c r="S92" s="12"/>
      <c r="T92" s="12"/>
      <c r="U92" s="17" t="str">
        <f>HYPERLINK("https://pbs.twimg.com/profile_images/1138306475225493504/Um22kB8Y.jpg","View")</f>
        <v>View</v>
      </c>
      <c r="V92" s="12"/>
      <c r="W92" s="12"/>
      <c r="X92" s="12"/>
      <c r="Y92" s="12"/>
      <c r="Z92" s="12"/>
    </row>
    <row r="93">
      <c r="A93" s="8">
        <v>44221.46885416667</v>
      </c>
      <c r="B93" s="9" t="str">
        <f>HYPERLINK("https://twitter.com/_Gerardoo_","@_Gerardoo_")</f>
        <v>@_Gerardoo_</v>
      </c>
      <c r="C93" s="10" t="s">
        <v>1820</v>
      </c>
      <c r="D93" s="10" t="s">
        <v>1821</v>
      </c>
      <c r="E93" s="9" t="str">
        <f>HYPERLINK("https://twitter.com/_Gerardoo_/status/1353753286059425793","1353753286059425793")</f>
        <v>1353753286059425793</v>
      </c>
      <c r="F93" s="12"/>
      <c r="G93" s="10"/>
      <c r="H93" s="12"/>
      <c r="I93" s="13">
        <v>0.0</v>
      </c>
      <c r="J93" s="13">
        <v>1.0</v>
      </c>
      <c r="K93" s="9" t="str">
        <f t="shared" ref="K93:K94" si="24">HYPERLINK("http://twitter.com/download/android","Twitter for Android")</f>
        <v>Twitter for Android</v>
      </c>
      <c r="L93" s="14">
        <v>1179.0</v>
      </c>
      <c r="M93" s="14">
        <v>1024.0</v>
      </c>
      <c r="N93" s="14">
        <v>7.0</v>
      </c>
      <c r="O93" s="19"/>
      <c r="P93" s="16">
        <v>40409.67166666667</v>
      </c>
      <c r="Q93" s="10" t="s">
        <v>1822</v>
      </c>
      <c r="R93" s="10" t="s">
        <v>1823</v>
      </c>
      <c r="S93" s="12"/>
      <c r="T93" s="12"/>
      <c r="U93" s="17" t="str">
        <f>HYPERLINK("https://pbs.twimg.com/profile_images/704559845056229376/Xmud58Zi.jpg","View")</f>
        <v>View</v>
      </c>
      <c r="V93" s="12"/>
      <c r="W93" s="12"/>
      <c r="X93" s="12"/>
      <c r="Y93" s="12"/>
      <c r="Z93" s="12"/>
    </row>
    <row r="94">
      <c r="A94" s="8">
        <v>44221.46736111111</v>
      </c>
      <c r="B94" s="9" t="str">
        <f>HYPERLINK("https://twitter.com/Reinadee_izcali","@Reinadee_izcali")</f>
        <v>@Reinadee_izcali</v>
      </c>
      <c r="C94" s="10" t="s">
        <v>1824</v>
      </c>
      <c r="D94" s="10" t="s">
        <v>1825</v>
      </c>
      <c r="E94" s="9" t="str">
        <f>HYPERLINK("https://twitter.com/Reinadee_izcali/status/1353752742976696327","1353752742976696327")</f>
        <v>1353752742976696327</v>
      </c>
      <c r="F94" s="10" t="s">
        <v>1642</v>
      </c>
      <c r="G94" s="11" t="s">
        <v>1643</v>
      </c>
      <c r="H94" s="12"/>
      <c r="I94" s="13">
        <v>0.0</v>
      </c>
      <c r="J94" s="13">
        <v>2.0</v>
      </c>
      <c r="K94" s="9" t="str">
        <f t="shared" si="24"/>
        <v>Twitter for Android</v>
      </c>
      <c r="L94" s="14">
        <v>437.0</v>
      </c>
      <c r="M94" s="14">
        <v>622.0</v>
      </c>
      <c r="N94" s="14">
        <v>0.0</v>
      </c>
      <c r="O94" s="19"/>
      <c r="P94" s="16">
        <v>44196.63877314815</v>
      </c>
      <c r="Q94" s="10" t="s">
        <v>1826</v>
      </c>
      <c r="R94" s="10" t="s">
        <v>1827</v>
      </c>
      <c r="S94" s="12"/>
      <c r="T94" s="12"/>
      <c r="U94" s="17" t="str">
        <f>HYPERLINK("https://pbs.twimg.com/profile_images/1344755234653011970/NeSBgpxt.jpg","View")</f>
        <v>View</v>
      </c>
      <c r="V94" s="12"/>
      <c r="W94" s="12"/>
      <c r="X94" s="12"/>
      <c r="Y94" s="12"/>
      <c r="Z94" s="12"/>
    </row>
    <row r="95">
      <c r="A95" s="8">
        <v>44221.466875</v>
      </c>
      <c r="B95" s="9" t="str">
        <f>HYPERLINK("https://twitter.com/Carl0zHdz","@Carl0zHdz")</f>
        <v>@Carl0zHdz</v>
      </c>
      <c r="C95" s="10" t="s">
        <v>892</v>
      </c>
      <c r="D95" s="10" t="s">
        <v>893</v>
      </c>
      <c r="E95" s="9" t="str">
        <f>HYPERLINK("https://twitter.com/Carl0zHdz/status/1353752567763922948","1353752567763922948")</f>
        <v>1353752567763922948</v>
      </c>
      <c r="F95" s="12"/>
      <c r="G95" s="10"/>
      <c r="H95" s="12"/>
      <c r="I95" s="13">
        <v>0.0</v>
      </c>
      <c r="J95" s="13">
        <v>0.0</v>
      </c>
      <c r="K95" s="9" t="str">
        <f>HYPERLINK("https://mobile.twitter.com","Twitter Web App")</f>
        <v>Twitter Web App</v>
      </c>
      <c r="L95" s="14">
        <v>485.0</v>
      </c>
      <c r="M95" s="14">
        <v>3033.0</v>
      </c>
      <c r="N95" s="14">
        <v>0.0</v>
      </c>
      <c r="O95" s="19"/>
      <c r="P95" s="16">
        <v>40899.96271990741</v>
      </c>
      <c r="Q95" s="10"/>
      <c r="R95" s="10" t="s">
        <v>894</v>
      </c>
      <c r="S95" s="12"/>
      <c r="T95" s="12"/>
      <c r="U95" s="17" t="str">
        <f>HYPERLINK("https://pbs.twimg.com/profile_images/1353756079390412802/kbUVelD8.jpg","View")</f>
        <v>View</v>
      </c>
      <c r="V95" s="12"/>
      <c r="W95" s="12"/>
      <c r="X95" s="12"/>
      <c r="Y95" s="12"/>
      <c r="Z95" s="12"/>
    </row>
    <row r="96">
      <c r="A96" s="8">
        <v>44221.45983796296</v>
      </c>
      <c r="B96" s="9" t="str">
        <f>HYPERLINK("https://twitter.com/elorco21","@elorco21")</f>
        <v>@elorco21</v>
      </c>
      <c r="C96" s="10" t="s">
        <v>1828</v>
      </c>
      <c r="D96" s="10" t="s">
        <v>1829</v>
      </c>
      <c r="E96" s="9" t="str">
        <f>HYPERLINK("https://twitter.com/elorco21/status/1353750016742092801","1353750016742092801")</f>
        <v>1353750016742092801</v>
      </c>
      <c r="F96" s="10" t="s">
        <v>1830</v>
      </c>
      <c r="G96" s="11" t="s">
        <v>1767</v>
      </c>
      <c r="H96" s="12"/>
      <c r="I96" s="13">
        <v>0.0</v>
      </c>
      <c r="J96" s="13">
        <v>0.0</v>
      </c>
      <c r="K96" s="9" t="str">
        <f>HYPERLINK("http://twitter.com/download/iphone","Twitter for iPhone")</f>
        <v>Twitter for iPhone</v>
      </c>
      <c r="L96" s="14">
        <v>1223.0</v>
      </c>
      <c r="M96" s="14">
        <v>324.0</v>
      </c>
      <c r="N96" s="14">
        <v>18.0</v>
      </c>
      <c r="O96" s="19"/>
      <c r="P96" s="16">
        <v>40152.52668981481</v>
      </c>
      <c r="Q96" s="10" t="s">
        <v>1831</v>
      </c>
      <c r="R96" s="10" t="s">
        <v>1832</v>
      </c>
      <c r="S96" s="12"/>
      <c r="T96" s="12"/>
      <c r="U96" s="17" t="str">
        <f>HYPERLINK("https://pbs.twimg.com/profile_images/1344360907820953601/InuLfZrc.jpg","View")</f>
        <v>View</v>
      </c>
      <c r="V96" s="12"/>
      <c r="W96" s="12"/>
      <c r="X96" s="12"/>
      <c r="Y96" s="12"/>
      <c r="Z96" s="12"/>
    </row>
    <row r="97">
      <c r="A97" s="8">
        <v>44221.455937499995</v>
      </c>
      <c r="B97" s="9" t="str">
        <f>HYPERLINK("https://twitter.com/asulvanam","@asulvanam")</f>
        <v>@asulvanam</v>
      </c>
      <c r="C97" s="10" t="s">
        <v>1833</v>
      </c>
      <c r="D97" s="10" t="s">
        <v>1834</v>
      </c>
      <c r="E97" s="9" t="str">
        <f>HYPERLINK("https://twitter.com/asulvanam/status/1353748604687675393","1353748604687675393")</f>
        <v>1353748604687675393</v>
      </c>
      <c r="F97" s="12"/>
      <c r="G97" s="10"/>
      <c r="H97" s="12"/>
      <c r="I97" s="13">
        <v>1.0</v>
      </c>
      <c r="J97" s="13">
        <v>1.0</v>
      </c>
      <c r="K97" s="9" t="str">
        <f>HYPERLINK("http://twitter.com/download/android","Twitter for Android")</f>
        <v>Twitter for Android</v>
      </c>
      <c r="L97" s="14">
        <v>969.0</v>
      </c>
      <c r="M97" s="14">
        <v>4499.0</v>
      </c>
      <c r="N97" s="14">
        <v>2.0</v>
      </c>
      <c r="O97" s="19"/>
      <c r="P97" s="16">
        <v>42814.712905092594</v>
      </c>
      <c r="Q97" s="10" t="s">
        <v>1835</v>
      </c>
      <c r="R97" s="10" t="s">
        <v>1836</v>
      </c>
      <c r="S97" s="12"/>
      <c r="T97" s="12"/>
      <c r="U97" s="17" t="str">
        <f>HYPERLINK("https://pbs.twimg.com/profile_images/1351612643992330246/o7GQxmyg.jpg","View")</f>
        <v>View</v>
      </c>
      <c r="V97" s="12"/>
      <c r="W97" s="12"/>
      <c r="X97" s="12"/>
      <c r="Y97" s="12"/>
      <c r="Z97" s="12"/>
    </row>
    <row r="98">
      <c r="A98" s="8">
        <v>44221.45549768519</v>
      </c>
      <c r="B98" s="9" t="str">
        <f>HYPERLINK("https://twitter.com/BJConnor18","@BJConnor18")</f>
        <v>@BJConnor18</v>
      </c>
      <c r="C98" s="10" t="s">
        <v>1837</v>
      </c>
      <c r="D98" s="10" t="s">
        <v>1838</v>
      </c>
      <c r="E98" s="9" t="str">
        <f>HYPERLINK("https://twitter.com/BJConnor18/status/1353748446746873861","1353748446746873861")</f>
        <v>1353748446746873861</v>
      </c>
      <c r="F98" s="10" t="s">
        <v>1839</v>
      </c>
      <c r="G98" s="10"/>
      <c r="H98" s="12"/>
      <c r="I98" s="13">
        <v>2.0</v>
      </c>
      <c r="J98" s="13">
        <v>10.0</v>
      </c>
      <c r="K98" s="9" t="str">
        <f>HYPERLINK("http://tapbots.com/tweetbot","Tweetbot for iΟS")</f>
        <v>Tweetbot for iΟS</v>
      </c>
      <c r="L98" s="14">
        <v>1410.0</v>
      </c>
      <c r="M98" s="14">
        <v>470.0</v>
      </c>
      <c r="N98" s="14">
        <v>1.0</v>
      </c>
      <c r="O98" s="19"/>
      <c r="P98" s="16">
        <v>44216.731203703705</v>
      </c>
      <c r="Q98" s="10"/>
      <c r="R98" s="10" t="s">
        <v>1840</v>
      </c>
      <c r="S98" s="12"/>
      <c r="T98" s="12"/>
      <c r="U98" s="17" t="str">
        <f>HYPERLINK("https://pbs.twimg.com/profile_images/1354139683131944963/UDeciJeD.jpg","View")</f>
        <v>View</v>
      </c>
      <c r="V98" s="12"/>
      <c r="W98" s="12"/>
      <c r="X98" s="12"/>
      <c r="Y98" s="12"/>
      <c r="Z98" s="12"/>
    </row>
    <row r="99">
      <c r="A99" s="8">
        <v>44221.45284722222</v>
      </c>
      <c r="B99" s="9" t="str">
        <f>HYPERLINK("https://twitter.com/_ElRagna","@_ElRagna")</f>
        <v>@_ElRagna</v>
      </c>
      <c r="C99" s="10" t="s">
        <v>1764</v>
      </c>
      <c r="D99" s="10" t="s">
        <v>1841</v>
      </c>
      <c r="E99" s="9" t="str">
        <f>HYPERLINK("https://twitter.com/_ElRagna/status/1353747486649835520","1353747486649835520")</f>
        <v>1353747486649835520</v>
      </c>
      <c r="F99" s="12"/>
      <c r="G99" s="10"/>
      <c r="H99" s="12"/>
      <c r="I99" s="13">
        <v>0.0</v>
      </c>
      <c r="J99" s="13">
        <v>2.0</v>
      </c>
      <c r="K99" s="9" t="str">
        <f>HYPERLINK("https://mobile.twitter.com","Twitter Web App")</f>
        <v>Twitter Web App</v>
      </c>
      <c r="L99" s="14">
        <v>601.0</v>
      </c>
      <c r="M99" s="14">
        <v>557.0</v>
      </c>
      <c r="N99" s="14">
        <v>17.0</v>
      </c>
      <c r="O99" s="19"/>
      <c r="P99" s="16">
        <v>40448.66607638889</v>
      </c>
      <c r="Q99" s="10" t="s">
        <v>1768</v>
      </c>
      <c r="R99" s="10" t="s">
        <v>1769</v>
      </c>
      <c r="S99" s="12"/>
      <c r="T99" s="12"/>
      <c r="U99" s="17" t="str">
        <f>HYPERLINK("https://pbs.twimg.com/profile_images/1350720800400105479/oBnb0kvc.jpg","View")</f>
        <v>View</v>
      </c>
      <c r="V99" s="12"/>
      <c r="W99" s="12"/>
      <c r="X99" s="12"/>
      <c r="Y99" s="12"/>
      <c r="Z99" s="12"/>
    </row>
    <row r="100">
      <c r="A100" s="8">
        <v>44221.45207175926</v>
      </c>
      <c r="B100" s="9" t="str">
        <f>HYPERLINK("https://twitter.com/jrjrpm","@jrjrpm")</f>
        <v>@jrjrpm</v>
      </c>
      <c r="C100" s="10" t="s">
        <v>1842</v>
      </c>
      <c r="D100" s="10" t="s">
        <v>1843</v>
      </c>
      <c r="E100" s="9" t="str">
        <f>HYPERLINK("https://twitter.com/jrjrpm/status/1353747204490416128","1353747204490416128")</f>
        <v>1353747204490416128</v>
      </c>
      <c r="F100" s="12"/>
      <c r="G100" s="10"/>
      <c r="H100" s="12"/>
      <c r="I100" s="13">
        <v>2.0</v>
      </c>
      <c r="J100" s="13">
        <v>3.0</v>
      </c>
      <c r="K100" s="9" t="str">
        <f t="shared" ref="K100:K101" si="25">HYPERLINK("http://twitter.com/download/android","Twitter for Android")</f>
        <v>Twitter for Android</v>
      </c>
      <c r="L100" s="14">
        <v>1091.0</v>
      </c>
      <c r="M100" s="14">
        <v>641.0</v>
      </c>
      <c r="N100" s="14">
        <v>3.0</v>
      </c>
      <c r="O100" s="19"/>
      <c r="P100" s="16">
        <v>41014.86467592593</v>
      </c>
      <c r="Q100" s="10"/>
      <c r="R100" s="10" t="s">
        <v>1844</v>
      </c>
      <c r="S100" s="12"/>
      <c r="T100" s="12"/>
      <c r="U100" s="17" t="str">
        <f>HYPERLINK("https://pbs.twimg.com/profile_images/1172890572748554240/xGtwmNEY.jpg","View")</f>
        <v>View</v>
      </c>
      <c r="V100" s="12"/>
      <c r="W100" s="12"/>
      <c r="X100" s="12"/>
      <c r="Y100" s="12"/>
      <c r="Z100" s="12"/>
    </row>
    <row r="101">
      <c r="A101" s="8">
        <v>44221.45112268519</v>
      </c>
      <c r="B101" s="9" t="str">
        <f>HYPERLINK("https://twitter.com/jhmm61","@jhmm61")</f>
        <v>@jhmm61</v>
      </c>
      <c r="C101" s="10" t="s">
        <v>1468</v>
      </c>
      <c r="D101" s="10" t="s">
        <v>1845</v>
      </c>
      <c r="E101" s="9" t="str">
        <f>HYPERLINK("https://twitter.com/jhmm61/status/1353746860939366402","1353746860939366402")</f>
        <v>1353746860939366402</v>
      </c>
      <c r="F101" s="10" t="s">
        <v>1839</v>
      </c>
      <c r="G101" s="11" t="s">
        <v>1846</v>
      </c>
      <c r="H101" s="12"/>
      <c r="I101" s="13">
        <v>1.0</v>
      </c>
      <c r="J101" s="13">
        <v>0.0</v>
      </c>
      <c r="K101" s="9" t="str">
        <f t="shared" si="25"/>
        <v>Twitter for Android</v>
      </c>
      <c r="L101" s="14">
        <v>2154.0</v>
      </c>
      <c r="M101" s="14">
        <v>1767.0</v>
      </c>
      <c r="N101" s="14">
        <v>22.0</v>
      </c>
      <c r="O101" s="19"/>
      <c r="P101" s="16">
        <v>40651.88928240741</v>
      </c>
      <c r="Q101" s="10" t="s">
        <v>1472</v>
      </c>
      <c r="R101" s="10" t="s">
        <v>1473</v>
      </c>
      <c r="S101" s="12"/>
      <c r="T101" s="12"/>
      <c r="U101" s="17" t="str">
        <f>HYPERLINK("https://pbs.twimg.com/profile_images/1298409082530013189/wW105PGX.jpg","View")</f>
        <v>View</v>
      </c>
      <c r="V101" s="12"/>
      <c r="W101" s="12"/>
      <c r="X101" s="12"/>
      <c r="Y101" s="12"/>
      <c r="Z101" s="12"/>
    </row>
    <row r="102">
      <c r="A102" s="8">
        <v>44221.43863425926</v>
      </c>
      <c r="B102" s="9" t="str">
        <f>HYPERLINK("https://twitter.com/puratolvanera","@puratolvanera")</f>
        <v>@puratolvanera</v>
      </c>
      <c r="C102" s="10" t="s">
        <v>1847</v>
      </c>
      <c r="D102" s="10" t="s">
        <v>1848</v>
      </c>
      <c r="E102" s="9" t="str">
        <f>HYPERLINK("https://twitter.com/puratolvanera/status/1353742333569871874","1353742333569871874")</f>
        <v>1353742333569871874</v>
      </c>
      <c r="F102" s="12"/>
      <c r="G102" s="10"/>
      <c r="H102" s="12"/>
      <c r="I102" s="13">
        <v>2.0</v>
      </c>
      <c r="J102" s="13">
        <v>13.0</v>
      </c>
      <c r="K102" s="9" t="str">
        <f>HYPERLINK("https://mobile.twitter.com","Twitter Web App")</f>
        <v>Twitter Web App</v>
      </c>
      <c r="L102" s="14">
        <v>6578.0</v>
      </c>
      <c r="M102" s="14">
        <v>1016.0</v>
      </c>
      <c r="N102" s="14">
        <v>77.0</v>
      </c>
      <c r="O102" s="15" t="s">
        <v>24</v>
      </c>
      <c r="P102" s="16">
        <v>40194.621145833335</v>
      </c>
      <c r="Q102" s="10" t="s">
        <v>1849</v>
      </c>
      <c r="R102" s="10" t="s">
        <v>1850</v>
      </c>
      <c r="S102" s="11" t="s">
        <v>1851</v>
      </c>
      <c r="T102" s="12"/>
      <c r="U102" s="17" t="str">
        <f>HYPERLINK("https://pbs.twimg.com/profile_images/1145914342669340672/chgEvemP.jpg","View")</f>
        <v>View</v>
      </c>
      <c r="V102" s="12"/>
      <c r="W102" s="12"/>
      <c r="X102" s="12"/>
      <c r="Y102" s="12"/>
      <c r="Z102" s="12"/>
    </row>
    <row r="103">
      <c r="A103" s="8">
        <v>44222.59887731481</v>
      </c>
      <c r="B103" s="9" t="str">
        <f>HYPERLINK("https://twitter.com/JaguarAguilar","@JaguarAguilar")</f>
        <v>@JaguarAguilar</v>
      </c>
      <c r="C103" s="10" t="s">
        <v>1463</v>
      </c>
      <c r="D103" s="10" t="s">
        <v>1464</v>
      </c>
      <c r="E103" s="9" t="str">
        <f>HYPERLINK("https://twitter.com/JaguarAguilar/status/1354162793273032705","1354162793273032705")</f>
        <v>1354162793273032705</v>
      </c>
      <c r="F103" s="12"/>
      <c r="G103" s="11" t="s">
        <v>1465</v>
      </c>
      <c r="H103" s="12"/>
      <c r="I103" s="13">
        <v>0.0</v>
      </c>
      <c r="J103" s="13">
        <v>0.0</v>
      </c>
      <c r="K103" s="9" t="str">
        <f>HYPERLINK("http://twitter.com/download/iphone","Twitter for iPhone")</f>
        <v>Twitter for iPhone</v>
      </c>
      <c r="L103" s="14">
        <v>817.0</v>
      </c>
      <c r="M103" s="14">
        <v>154.0</v>
      </c>
      <c r="N103" s="14">
        <v>12.0</v>
      </c>
      <c r="O103" s="19"/>
      <c r="P103" s="16">
        <v>40164.92288194445</v>
      </c>
      <c r="Q103" s="10" t="s">
        <v>1466</v>
      </c>
      <c r="R103" s="10" t="s">
        <v>1467</v>
      </c>
      <c r="S103" s="12"/>
      <c r="T103" s="12"/>
      <c r="U103" s="17" t="str">
        <f>HYPERLINK("https://pbs.twimg.com/profile_images/1351741843747303426/lT6rCg0D.jpg","View")</f>
        <v>View</v>
      </c>
      <c r="V103" s="12"/>
      <c r="W103" s="12"/>
      <c r="X103" s="12"/>
      <c r="Y103" s="12"/>
      <c r="Z103" s="12"/>
    </row>
    <row r="104">
      <c r="A104" s="8">
        <v>44222.56810185185</v>
      </c>
      <c r="B104" s="9" t="str">
        <f>HYPERLINK("https://twitter.com/jhmm61","@jhmm61")</f>
        <v>@jhmm61</v>
      </c>
      <c r="C104" s="10" t="s">
        <v>1468</v>
      </c>
      <c r="D104" s="10" t="s">
        <v>1469</v>
      </c>
      <c r="E104" s="9" t="str">
        <f>HYPERLINK("https://twitter.com/jhmm61/status/1354151639871938560","1354151639871938560")</f>
        <v>1354151639871938560</v>
      </c>
      <c r="F104" s="11" t="s">
        <v>1470</v>
      </c>
      <c r="G104" s="11" t="s">
        <v>1471</v>
      </c>
      <c r="H104" s="12"/>
      <c r="I104" s="13">
        <v>0.0</v>
      </c>
      <c r="J104" s="13">
        <v>0.0</v>
      </c>
      <c r="K104" s="9" t="str">
        <f>HYPERLINK("http://twitter.com/download/android","Twitter for Android")</f>
        <v>Twitter for Android</v>
      </c>
      <c r="L104" s="14">
        <v>2154.0</v>
      </c>
      <c r="M104" s="14">
        <v>1767.0</v>
      </c>
      <c r="N104" s="14">
        <v>22.0</v>
      </c>
      <c r="O104" s="19"/>
      <c r="P104" s="16">
        <v>40651.88928240741</v>
      </c>
      <c r="Q104" s="10" t="s">
        <v>1472</v>
      </c>
      <c r="R104" s="10" t="s">
        <v>1473</v>
      </c>
      <c r="S104" s="12"/>
      <c r="T104" s="12"/>
      <c r="U104" s="17" t="str">
        <f>HYPERLINK("https://pbs.twimg.com/profile_images/1298409082530013189/wW105PGX.jpg","View")</f>
        <v>View</v>
      </c>
      <c r="V104" s="12"/>
      <c r="W104" s="12"/>
      <c r="X104" s="12"/>
      <c r="Y104" s="12"/>
      <c r="Z104" s="12"/>
    </row>
    <row r="105">
      <c r="A105" s="8">
        <v>44222.56710648148</v>
      </c>
      <c r="B105" s="9" t="str">
        <f>HYPERLINK("https://twitter.com/fenomenals2","@fenomenals2")</f>
        <v>@fenomenals2</v>
      </c>
      <c r="C105" s="10" t="s">
        <v>1474</v>
      </c>
      <c r="D105" s="10" t="s">
        <v>1475</v>
      </c>
      <c r="E105" s="9" t="str">
        <f>HYPERLINK("https://twitter.com/fenomenals2/status/1354151277928673281","1354151277928673281")</f>
        <v>1354151277928673281</v>
      </c>
      <c r="F105" s="12"/>
      <c r="G105" s="11" t="s">
        <v>1476</v>
      </c>
      <c r="H105" s="12"/>
      <c r="I105" s="13">
        <v>0.0</v>
      </c>
      <c r="J105" s="13">
        <v>0.0</v>
      </c>
      <c r="K105" s="9" t="str">
        <f t="shared" ref="K105:K106" si="26">HYPERLINK("http://twitter.com/download/iphone","Twitter for iPhone")</f>
        <v>Twitter for iPhone</v>
      </c>
      <c r="L105" s="14">
        <v>24.0</v>
      </c>
      <c r="M105" s="14">
        <v>73.0</v>
      </c>
      <c r="N105" s="14">
        <v>0.0</v>
      </c>
      <c r="O105" s="19"/>
      <c r="P105" s="16">
        <v>44206.828622685185</v>
      </c>
      <c r="Q105" s="12"/>
      <c r="R105" s="10" t="s">
        <v>1477</v>
      </c>
      <c r="S105" s="12"/>
      <c r="T105" s="12"/>
      <c r="U105" s="17" t="str">
        <f>HYPERLINK("https://pbs.twimg.com/profile_images/1348448845219438593/EzAF1YHH.jpg","View")</f>
        <v>View</v>
      </c>
      <c r="V105" s="12"/>
      <c r="W105" s="12"/>
      <c r="X105" s="12"/>
      <c r="Y105" s="12"/>
      <c r="Z105" s="12"/>
    </row>
    <row r="106">
      <c r="A106" s="8">
        <v>44222.56253472222</v>
      </c>
      <c r="B106" s="9" t="str">
        <f>HYPERLINK("https://twitter.com/GuillermoGosol","@GuillermoGosol")</f>
        <v>@GuillermoGosol</v>
      </c>
      <c r="C106" s="10" t="s">
        <v>1478</v>
      </c>
      <c r="D106" s="10" t="s">
        <v>1479</v>
      </c>
      <c r="E106" s="9" t="str">
        <f>HYPERLINK("https://twitter.com/GuillermoGosol/status/1354149623967981570","1354149623967981570")</f>
        <v>1354149623967981570</v>
      </c>
      <c r="F106" s="12"/>
      <c r="G106" s="11" t="s">
        <v>1480</v>
      </c>
      <c r="H106" s="12"/>
      <c r="I106" s="13">
        <v>21.0</v>
      </c>
      <c r="J106" s="13">
        <v>38.0</v>
      </c>
      <c r="K106" s="9" t="str">
        <f t="shared" si="26"/>
        <v>Twitter for iPhone</v>
      </c>
      <c r="L106" s="14">
        <v>11487.0</v>
      </c>
      <c r="M106" s="14">
        <v>2709.0</v>
      </c>
      <c r="N106" s="14">
        <v>22.0</v>
      </c>
      <c r="O106" s="19"/>
      <c r="P106" s="16">
        <v>39975.72248842593</v>
      </c>
      <c r="Q106" s="10" t="s">
        <v>1481</v>
      </c>
      <c r="R106" s="10" t="s">
        <v>1482</v>
      </c>
      <c r="S106" s="12"/>
      <c r="T106" s="12"/>
      <c r="U106" s="17" t="str">
        <f>HYPERLINK("https://pbs.twimg.com/profile_images/1348855179806957568/cabo2476.jpg","View")</f>
        <v>View</v>
      </c>
      <c r="V106" s="12"/>
      <c r="W106" s="12"/>
      <c r="X106" s="12"/>
      <c r="Y106" s="12"/>
      <c r="Z106" s="12"/>
    </row>
    <row r="107">
      <c r="A107" s="8">
        <v>44222.496458333335</v>
      </c>
      <c r="B107" s="9" t="str">
        <f>HYPERLINK("https://twitter.com/raulmena70","@raulmena70")</f>
        <v>@raulmena70</v>
      </c>
      <c r="C107" s="10" t="s">
        <v>1483</v>
      </c>
      <c r="D107" s="10" t="s">
        <v>1484</v>
      </c>
      <c r="E107" s="9" t="str">
        <f>HYPERLINK("https://twitter.com/raulmena70/status/1354125678430576656","1354125678430576656")</f>
        <v>1354125678430576656</v>
      </c>
      <c r="F107" s="12"/>
      <c r="G107" s="11" t="s">
        <v>1485</v>
      </c>
      <c r="H107" s="12"/>
      <c r="I107" s="13">
        <v>4.0</v>
      </c>
      <c r="J107" s="13">
        <v>8.0</v>
      </c>
      <c r="K107" s="9" t="str">
        <f t="shared" ref="K107:K108" si="27">HYPERLINK("https://mobile.twitter.com","Twitter Web App")</f>
        <v>Twitter Web App</v>
      </c>
      <c r="L107" s="14">
        <v>2483.0</v>
      </c>
      <c r="M107" s="14">
        <v>128.0</v>
      </c>
      <c r="N107" s="14">
        <v>1.0</v>
      </c>
      <c r="O107" s="19"/>
      <c r="P107" s="16">
        <v>41351.87668981482</v>
      </c>
      <c r="Q107" s="12"/>
      <c r="R107" s="10" t="s">
        <v>1486</v>
      </c>
      <c r="S107" s="12"/>
      <c r="T107" s="12"/>
      <c r="U107" s="17" t="str">
        <f>HYPERLINK("https://pbs.twimg.com/profile_images/1349037982011908096/SUQZsBlW.jpg","View")</f>
        <v>View</v>
      </c>
      <c r="V107" s="12"/>
      <c r="W107" s="12"/>
      <c r="X107" s="12"/>
      <c r="Y107" s="12"/>
      <c r="Z107" s="12"/>
    </row>
    <row r="108">
      <c r="A108" s="8">
        <v>44222.45518518519</v>
      </c>
      <c r="B108" s="9" t="str">
        <f>HYPERLINK("https://twitter.com/Soviet_Mx","@Soviet_Mx")</f>
        <v>@Soviet_Mx</v>
      </c>
      <c r="C108" s="10" t="s">
        <v>1487</v>
      </c>
      <c r="D108" s="10" t="s">
        <v>1488</v>
      </c>
      <c r="E108" s="9" t="str">
        <f>HYPERLINK("https://twitter.com/Soviet_Mx/status/1354110719747190784","1354110719747190784")</f>
        <v>1354110719747190784</v>
      </c>
      <c r="F108" s="11" t="s">
        <v>1489</v>
      </c>
      <c r="G108" s="11" t="s">
        <v>1490</v>
      </c>
      <c r="H108" s="12"/>
      <c r="I108" s="13">
        <v>0.0</v>
      </c>
      <c r="J108" s="13">
        <v>0.0</v>
      </c>
      <c r="K108" s="9" t="str">
        <f t="shared" si="27"/>
        <v>Twitter Web App</v>
      </c>
      <c r="L108" s="14">
        <v>217.0</v>
      </c>
      <c r="M108" s="14">
        <v>67.0</v>
      </c>
      <c r="N108" s="14">
        <v>2.0</v>
      </c>
      <c r="O108" s="19"/>
      <c r="P108" s="16">
        <v>40569.137291666666</v>
      </c>
      <c r="Q108" s="10" t="s">
        <v>1491</v>
      </c>
      <c r="R108" s="10" t="s">
        <v>1492</v>
      </c>
      <c r="S108" s="11" t="s">
        <v>1493</v>
      </c>
      <c r="T108" s="12"/>
      <c r="U108" s="17" t="str">
        <f>HYPERLINK("https://pbs.twimg.com/profile_images/3552653975/e4391d2fd1249e977614e4988bbab5db.jpeg","View")</f>
        <v>View</v>
      </c>
      <c r="V108" s="12"/>
      <c r="W108" s="12"/>
      <c r="X108" s="12"/>
      <c r="Y108" s="12"/>
      <c r="Z108" s="12"/>
    </row>
    <row r="109">
      <c r="A109" s="8">
        <v>44222.44820601852</v>
      </c>
      <c r="B109" s="9" t="str">
        <f>HYPERLINK("https://twitter.com/montecristomo","@montecristomo")</f>
        <v>@montecristomo</v>
      </c>
      <c r="C109" s="10" t="s">
        <v>1494</v>
      </c>
      <c r="D109" s="10" t="s">
        <v>1495</v>
      </c>
      <c r="E109" s="9" t="str">
        <f>HYPERLINK("https://twitter.com/montecristomo/status/1354108192435941382","1354108192435941382")</f>
        <v>1354108192435941382</v>
      </c>
      <c r="F109" s="11" t="s">
        <v>1496</v>
      </c>
      <c r="G109" s="11" t="s">
        <v>1497</v>
      </c>
      <c r="H109" s="12"/>
      <c r="I109" s="13">
        <v>0.0</v>
      </c>
      <c r="J109" s="13">
        <v>0.0</v>
      </c>
      <c r="K109" s="9" t="str">
        <f>HYPERLINK("http://twitter.com/download/iphone","Twitter for iPhone")</f>
        <v>Twitter for iPhone</v>
      </c>
      <c r="L109" s="14">
        <v>120.0</v>
      </c>
      <c r="M109" s="14">
        <v>232.0</v>
      </c>
      <c r="N109" s="14">
        <v>0.0</v>
      </c>
      <c r="O109" s="19"/>
      <c r="P109" s="16">
        <v>44057.69871527777</v>
      </c>
      <c r="Q109" s="10" t="s">
        <v>1498</v>
      </c>
      <c r="R109" s="10" t="s">
        <v>1499</v>
      </c>
      <c r="S109" s="12"/>
      <c r="T109" s="12"/>
      <c r="U109" s="17" t="str">
        <f>HYPERLINK("https://pbs.twimg.com/profile_images/1351372878441287684/mDIUfb92.jpg","View")</f>
        <v>View</v>
      </c>
      <c r="V109" s="12"/>
      <c r="W109" s="12"/>
      <c r="X109" s="12"/>
      <c r="Y109" s="12"/>
      <c r="Z109" s="12"/>
    </row>
    <row r="110">
      <c r="A110" s="8">
        <v>44222.442025462966</v>
      </c>
      <c r="B110" s="9" t="str">
        <f>HYPERLINK("https://twitter.com/CitlaXXL","@CitlaXXL")</f>
        <v>@CitlaXXL</v>
      </c>
      <c r="C110" s="10" t="s">
        <v>1500</v>
      </c>
      <c r="D110" s="10" t="s">
        <v>1501</v>
      </c>
      <c r="E110" s="9" t="str">
        <f>HYPERLINK("https://twitter.com/CitlaXXL/status/1354105949418450944","1354105949418450944")</f>
        <v>1354105949418450944</v>
      </c>
      <c r="F110" s="12"/>
      <c r="G110" s="11" t="s">
        <v>1502</v>
      </c>
      <c r="H110" s="12"/>
      <c r="I110" s="13">
        <v>2.0</v>
      </c>
      <c r="J110" s="13">
        <v>18.0</v>
      </c>
      <c r="K110" s="9" t="str">
        <f t="shared" ref="K110:K112" si="28">HYPERLINK("http://twitter.com/download/android","Twitter for Android")</f>
        <v>Twitter for Android</v>
      </c>
      <c r="L110" s="14">
        <v>2686.0</v>
      </c>
      <c r="M110" s="14">
        <v>80.0</v>
      </c>
      <c r="N110" s="14">
        <v>0.0</v>
      </c>
      <c r="O110" s="19"/>
      <c r="P110" s="16">
        <v>43915.98782407407</v>
      </c>
      <c r="Q110" s="10" t="s">
        <v>1503</v>
      </c>
      <c r="R110" s="10" t="s">
        <v>1504</v>
      </c>
      <c r="S110" s="12"/>
      <c r="T110" s="12"/>
      <c r="U110" s="17" t="str">
        <f>HYPERLINK("https://pbs.twimg.com/profile_images/1316470750946107392/HQZB_hhW.jpg","View")</f>
        <v>View</v>
      </c>
      <c r="V110" s="12"/>
      <c r="W110" s="12"/>
      <c r="X110" s="12"/>
      <c r="Y110" s="12"/>
      <c r="Z110" s="12"/>
    </row>
    <row r="111">
      <c r="A111" s="8">
        <v>44222.42148148148</v>
      </c>
      <c r="B111" s="9" t="str">
        <f>HYPERLINK("https://twitter.com/Manchate","@Manchate")</f>
        <v>@Manchate</v>
      </c>
      <c r="C111" s="10" t="s">
        <v>1505</v>
      </c>
      <c r="D111" s="10" t="s">
        <v>1506</v>
      </c>
      <c r="E111" s="9" t="str">
        <f>HYPERLINK("https://twitter.com/Manchate/status/1354098504713596929","1354098504713596929")</f>
        <v>1354098504713596929</v>
      </c>
      <c r="F111" s="12"/>
      <c r="G111" s="11" t="s">
        <v>1507</v>
      </c>
      <c r="H111" s="12"/>
      <c r="I111" s="13">
        <v>0.0</v>
      </c>
      <c r="J111" s="13">
        <v>1.0</v>
      </c>
      <c r="K111" s="9" t="str">
        <f t="shared" si="28"/>
        <v>Twitter for Android</v>
      </c>
      <c r="L111" s="14">
        <v>2659.0</v>
      </c>
      <c r="M111" s="14">
        <v>2257.0</v>
      </c>
      <c r="N111" s="14">
        <v>135.0</v>
      </c>
      <c r="O111" s="19"/>
      <c r="P111" s="16">
        <v>39462.68488425926</v>
      </c>
      <c r="Q111" s="10" t="s">
        <v>325</v>
      </c>
      <c r="R111" s="10" t="s">
        <v>1508</v>
      </c>
      <c r="S111" s="12"/>
      <c r="T111" s="12"/>
      <c r="U111" s="17" t="str">
        <f>HYPERLINK("https://pbs.twimg.com/profile_images/1004172370448248832/nRtthKs7.jpg","View")</f>
        <v>View</v>
      </c>
      <c r="V111" s="12"/>
      <c r="W111" s="12"/>
      <c r="X111" s="12"/>
      <c r="Y111" s="12"/>
      <c r="Z111" s="12"/>
    </row>
    <row r="112">
      <c r="A112" s="8">
        <v>44222.381064814814</v>
      </c>
      <c r="B112" s="9" t="str">
        <f>HYPERLINK("https://twitter.com/_ciudadanocero","@_ciudadanocero")</f>
        <v>@_ciudadanocero</v>
      </c>
      <c r="C112" s="10" t="s">
        <v>1509</v>
      </c>
      <c r="D112" s="10" t="s">
        <v>1510</v>
      </c>
      <c r="E112" s="9" t="str">
        <f>HYPERLINK("https://twitter.com/_ciudadanocero/status/1354083858518573062","1354083858518573062")</f>
        <v>1354083858518573062</v>
      </c>
      <c r="F112" s="12"/>
      <c r="G112" s="11" t="s">
        <v>1511</v>
      </c>
      <c r="H112" s="12"/>
      <c r="I112" s="13">
        <v>0.0</v>
      </c>
      <c r="J112" s="13">
        <v>0.0</v>
      </c>
      <c r="K112" s="9" t="str">
        <f t="shared" si="28"/>
        <v>Twitter for Android</v>
      </c>
      <c r="L112" s="14">
        <v>111.0</v>
      </c>
      <c r="M112" s="14">
        <v>474.0</v>
      </c>
      <c r="N112" s="14">
        <v>0.0</v>
      </c>
      <c r="O112" s="19"/>
      <c r="P112" s="16">
        <v>42493.526620370365</v>
      </c>
      <c r="Q112" s="12"/>
      <c r="R112" s="10" t="s">
        <v>1512</v>
      </c>
      <c r="S112" s="12"/>
      <c r="T112" s="12"/>
      <c r="U112" s="17" t="str">
        <f>HYPERLINK("https://pbs.twimg.com/profile_images/1110275955665317889/-BcegsB0.jpg","View")</f>
        <v>View</v>
      </c>
      <c r="V112" s="12"/>
      <c r="W112" s="12"/>
      <c r="X112" s="12"/>
      <c r="Y112" s="12"/>
      <c r="Z112" s="12"/>
    </row>
    <row r="113">
      <c r="A113" s="8">
        <v>44222.35722222222</v>
      </c>
      <c r="B113" s="9" t="str">
        <f>HYPERLINK("https://twitter.com/LosPoliticosVer","@LosPoliticosVer")</f>
        <v>@LosPoliticosVer</v>
      </c>
      <c r="C113" s="10" t="s">
        <v>1513</v>
      </c>
      <c r="D113" s="10" t="s">
        <v>1514</v>
      </c>
      <c r="E113" s="9" t="str">
        <f>HYPERLINK("https://twitter.com/LosPoliticosVer/status/1354075219795861511","1354075219795861511")</f>
        <v>1354075219795861511</v>
      </c>
      <c r="F113" s="11" t="s">
        <v>1515</v>
      </c>
      <c r="G113" s="11" t="s">
        <v>1516</v>
      </c>
      <c r="H113" s="12"/>
      <c r="I113" s="13">
        <v>1.0</v>
      </c>
      <c r="J113" s="13">
        <v>0.0</v>
      </c>
      <c r="K113" s="9" t="str">
        <f>HYPERLINK("http://twitter.com/#!/download/ipad","Twitter for iPad")</f>
        <v>Twitter for iPad</v>
      </c>
      <c r="L113" s="14">
        <v>370.0</v>
      </c>
      <c r="M113" s="14">
        <v>408.0</v>
      </c>
      <c r="N113" s="14">
        <v>0.0</v>
      </c>
      <c r="O113" s="19"/>
      <c r="P113" s="16">
        <v>44056.7127199074</v>
      </c>
      <c r="Q113" s="12"/>
      <c r="R113" s="10" t="s">
        <v>1517</v>
      </c>
      <c r="S113" s="12"/>
      <c r="T113" s="12"/>
      <c r="U113" s="17" t="str">
        <f>HYPERLINK("https://pbs.twimg.com/profile_images/1294032704590286853/uqjBaGZS.jpg","View")</f>
        <v>View</v>
      </c>
      <c r="V113" s="12"/>
      <c r="W113" s="12"/>
      <c r="X113" s="12"/>
      <c r="Y113" s="12"/>
      <c r="Z113" s="12"/>
    </row>
    <row r="114">
      <c r="A114" s="8">
        <v>44222.32609953704</v>
      </c>
      <c r="B114" s="9" t="str">
        <f>HYPERLINK("https://twitter.com/Anc13ntR0ck3r","@Anc13ntR0ck3r")</f>
        <v>@Anc13ntR0ck3r</v>
      </c>
      <c r="C114" s="10" t="s">
        <v>1518</v>
      </c>
      <c r="D114" s="10" t="s">
        <v>1519</v>
      </c>
      <c r="E114" s="9" t="str">
        <f>HYPERLINK("https://twitter.com/Anc13ntR0ck3r/status/1354063939571773441","1354063939571773441")</f>
        <v>1354063939571773441</v>
      </c>
      <c r="F114" s="12"/>
      <c r="G114" s="11" t="s">
        <v>1520</v>
      </c>
      <c r="H114" s="12"/>
      <c r="I114" s="13">
        <v>0.0</v>
      </c>
      <c r="J114" s="13">
        <v>0.0</v>
      </c>
      <c r="K114" s="9" t="str">
        <f>HYPERLINK("http://twitter.com/download/iphone","Twitter for iPhone")</f>
        <v>Twitter for iPhone</v>
      </c>
      <c r="L114" s="14">
        <v>30.0</v>
      </c>
      <c r="M114" s="14">
        <v>251.0</v>
      </c>
      <c r="N114" s="14">
        <v>0.0</v>
      </c>
      <c r="O114" s="19"/>
      <c r="P114" s="16">
        <v>44154.76734953704</v>
      </c>
      <c r="Q114" s="12"/>
      <c r="R114" s="12"/>
      <c r="S114" s="12"/>
      <c r="T114" s="12"/>
      <c r="U114" s="17" t="str">
        <f>HYPERLINK("https://pbs.twimg.com/profile_images/1329586786813743105/MFj608uy.jpg","View")</f>
        <v>View</v>
      </c>
      <c r="V114" s="12"/>
      <c r="W114" s="12"/>
      <c r="X114" s="12"/>
      <c r="Y114" s="12"/>
      <c r="Z114" s="12"/>
    </row>
    <row r="115">
      <c r="A115" s="8">
        <v>44222.312256944446</v>
      </c>
      <c r="B115" s="9" t="str">
        <f>HYPERLINK("https://twitter.com/pedroferriz3","@pedroferriz3")</f>
        <v>@pedroferriz3</v>
      </c>
      <c r="C115" s="10" t="s">
        <v>1521</v>
      </c>
      <c r="D115" s="10" t="s">
        <v>1522</v>
      </c>
      <c r="E115" s="9" t="str">
        <f>HYPERLINK("https://twitter.com/pedroferriz3/status/1354058924270497794","1354058924270497794")</f>
        <v>1354058924270497794</v>
      </c>
      <c r="F115" s="12"/>
      <c r="G115" s="12"/>
      <c r="H115" s="12"/>
      <c r="I115" s="13">
        <v>135.0</v>
      </c>
      <c r="J115" s="13">
        <v>750.0</v>
      </c>
      <c r="K115" s="9" t="str">
        <f>HYPERLINK("http://twitter.com/#!/download/ipad","Twitter for iPad")</f>
        <v>Twitter for iPad</v>
      </c>
      <c r="L115" s="14">
        <v>129608.0</v>
      </c>
      <c r="M115" s="14">
        <v>2777.0</v>
      </c>
      <c r="N115" s="14">
        <v>447.0</v>
      </c>
      <c r="O115" s="15" t="s">
        <v>24</v>
      </c>
      <c r="P115" s="16">
        <v>40241.89655092593</v>
      </c>
      <c r="Q115" s="12"/>
      <c r="R115" s="10" t="s">
        <v>1523</v>
      </c>
      <c r="S115" s="12"/>
      <c r="T115" s="12"/>
      <c r="U115" s="17" t="str">
        <f>HYPERLINK("https://pbs.twimg.com/profile_images/1328454304102035463/o3OMMTJE.jpg","View")</f>
        <v>View</v>
      </c>
      <c r="V115" s="12"/>
      <c r="W115" s="12"/>
      <c r="X115" s="12"/>
      <c r="Y115" s="12"/>
      <c r="Z115" s="12"/>
    </row>
    <row r="116">
      <c r="A116" s="8">
        <v>44222.283263888894</v>
      </c>
      <c r="B116" s="9" t="str">
        <f>HYPERLINK("https://twitter.com/amerogabriel","@amerogabriel")</f>
        <v>@amerogabriel</v>
      </c>
      <c r="C116" s="10" t="s">
        <v>1524</v>
      </c>
      <c r="D116" s="10" t="s">
        <v>1525</v>
      </c>
      <c r="E116" s="9" t="str">
        <f>HYPERLINK("https://twitter.com/amerogabriel/status/1354048417639632898","1354048417639632898")</f>
        <v>1354048417639632898</v>
      </c>
      <c r="F116" s="12"/>
      <c r="G116" s="11" t="s">
        <v>1526</v>
      </c>
      <c r="H116" s="12"/>
      <c r="I116" s="13">
        <v>0.0</v>
      </c>
      <c r="J116" s="13">
        <v>0.0</v>
      </c>
      <c r="K116" s="9" t="str">
        <f>HYPERLINK("http://twitter.com/download/iphone","Twitter for iPhone")</f>
        <v>Twitter for iPhone</v>
      </c>
      <c r="L116" s="14">
        <v>396.0</v>
      </c>
      <c r="M116" s="14">
        <v>706.0</v>
      </c>
      <c r="N116" s="14">
        <v>19.0</v>
      </c>
      <c r="O116" s="19"/>
      <c r="P116" s="16">
        <v>42111.78162037037</v>
      </c>
      <c r="Q116" s="10" t="s">
        <v>526</v>
      </c>
      <c r="R116" s="10" t="s">
        <v>1527</v>
      </c>
      <c r="S116" s="12"/>
      <c r="T116" s="12"/>
      <c r="U116" s="17" t="str">
        <f>HYPERLINK("https://pbs.twimg.com/profile_images/872963211443810305/bTDXX3xb.jpg","View")</f>
        <v>View</v>
      </c>
      <c r="V116" s="12"/>
      <c r="W116" s="12"/>
      <c r="X116" s="12"/>
      <c r="Y116" s="12"/>
      <c r="Z116" s="12"/>
    </row>
    <row r="117">
      <c r="A117" s="8">
        <v>44222.2602199074</v>
      </c>
      <c r="B117" s="9" t="str">
        <f t="shared" ref="B117:B118" si="29">HYPERLINK("https://twitter.com/rogermetal7","@rogermetal7")</f>
        <v>@rogermetal7</v>
      </c>
      <c r="C117" s="10" t="s">
        <v>1528</v>
      </c>
      <c r="D117" s="10" t="s">
        <v>1529</v>
      </c>
      <c r="E117" s="9" t="str">
        <f>HYPERLINK("https://twitter.com/rogermetal7/status/1354040066721542145","1354040066721542145")</f>
        <v>1354040066721542145</v>
      </c>
      <c r="F117" s="12"/>
      <c r="G117" s="12"/>
      <c r="H117" s="12"/>
      <c r="I117" s="13">
        <v>0.0</v>
      </c>
      <c r="J117" s="13">
        <v>0.0</v>
      </c>
      <c r="K117" s="9" t="str">
        <f t="shared" ref="K117:K118" si="30">HYPERLINK("https://mobile.twitter.com","Twitter Web App")</f>
        <v>Twitter Web App</v>
      </c>
      <c r="L117" s="14">
        <v>664.0</v>
      </c>
      <c r="M117" s="14">
        <v>960.0</v>
      </c>
      <c r="N117" s="14">
        <v>0.0</v>
      </c>
      <c r="O117" s="19"/>
      <c r="P117" s="16">
        <v>43475.944340277776</v>
      </c>
      <c r="Q117" s="10" t="s">
        <v>1530</v>
      </c>
      <c r="R117" s="10" t="s">
        <v>1531</v>
      </c>
      <c r="S117" s="12"/>
      <c r="T117" s="12"/>
      <c r="U117" s="17" t="str">
        <f t="shared" ref="U117:U118" si="31">HYPERLINK("https://pbs.twimg.com/profile_images/1347067125966413826/y3Nu_U9h.jpg","View")</f>
        <v>View</v>
      </c>
      <c r="V117" s="12"/>
      <c r="W117" s="12"/>
      <c r="X117" s="12"/>
      <c r="Y117" s="12"/>
      <c r="Z117" s="12"/>
    </row>
    <row r="118">
      <c r="A118" s="8">
        <v>44222.25677083334</v>
      </c>
      <c r="B118" s="9" t="str">
        <f t="shared" si="29"/>
        <v>@rogermetal7</v>
      </c>
      <c r="C118" s="10" t="s">
        <v>1528</v>
      </c>
      <c r="D118" s="10" t="s">
        <v>1532</v>
      </c>
      <c r="E118" s="9" t="str">
        <f>HYPERLINK("https://twitter.com/rogermetal7/status/1354038818513383424","1354038818513383424")</f>
        <v>1354038818513383424</v>
      </c>
      <c r="F118" s="11" t="s">
        <v>1533</v>
      </c>
      <c r="G118" s="12"/>
      <c r="H118" s="12"/>
      <c r="I118" s="13">
        <v>0.0</v>
      </c>
      <c r="J118" s="13">
        <v>0.0</v>
      </c>
      <c r="K118" s="9" t="str">
        <f t="shared" si="30"/>
        <v>Twitter Web App</v>
      </c>
      <c r="L118" s="14">
        <v>664.0</v>
      </c>
      <c r="M118" s="14">
        <v>960.0</v>
      </c>
      <c r="N118" s="14">
        <v>0.0</v>
      </c>
      <c r="O118" s="19"/>
      <c r="P118" s="16">
        <v>43475.944340277776</v>
      </c>
      <c r="Q118" s="10" t="s">
        <v>1530</v>
      </c>
      <c r="R118" s="10" t="s">
        <v>1531</v>
      </c>
      <c r="S118" s="12"/>
      <c r="T118" s="12"/>
      <c r="U118" s="17" t="str">
        <f t="shared" si="31"/>
        <v>View</v>
      </c>
      <c r="V118" s="12"/>
      <c r="W118" s="12"/>
      <c r="X118" s="12"/>
      <c r="Y118" s="12"/>
      <c r="Z118" s="12"/>
    </row>
    <row r="119">
      <c r="A119" s="8">
        <v>44222.23826388889</v>
      </c>
      <c r="B119" s="9" t="str">
        <f>HYPERLINK("https://twitter.com/RosaRom62020963","@RosaRom62020963")</f>
        <v>@RosaRom62020963</v>
      </c>
      <c r="C119" s="10" t="s">
        <v>1534</v>
      </c>
      <c r="D119" s="10" t="s">
        <v>1535</v>
      </c>
      <c r="E119" s="9" t="str">
        <f>HYPERLINK("https://twitter.com/RosaRom62020963/status/1354032110856790016","1354032110856790016")</f>
        <v>1354032110856790016</v>
      </c>
      <c r="F119" s="11" t="s">
        <v>1536</v>
      </c>
      <c r="G119" s="12"/>
      <c r="H119" s="12"/>
      <c r="I119" s="13">
        <v>0.0</v>
      </c>
      <c r="J119" s="13">
        <v>0.0</v>
      </c>
      <c r="K119" s="9" t="str">
        <f>HYPERLINK("http://twitter.com/download/android","Twitter for Android")</f>
        <v>Twitter for Android</v>
      </c>
      <c r="L119" s="14">
        <v>8.0</v>
      </c>
      <c r="M119" s="14">
        <v>16.0</v>
      </c>
      <c r="N119" s="14">
        <v>0.0</v>
      </c>
      <c r="O119" s="19"/>
      <c r="P119" s="16">
        <v>44010.209189814814</v>
      </c>
      <c r="Q119" s="12"/>
      <c r="R119" s="12"/>
      <c r="S119" s="12"/>
      <c r="T119" s="12"/>
      <c r="U119" s="17" t="str">
        <f>HYPERLINK("https://pbs.twimg.com/profile_images/1354033714922201095/4V_cANrK.jpg","View")</f>
        <v>View</v>
      </c>
      <c r="V119" s="12"/>
      <c r="W119" s="12"/>
      <c r="X119" s="12"/>
      <c r="Y119" s="12"/>
      <c r="Z119" s="12"/>
    </row>
    <row r="120">
      <c r="A120" s="8">
        <v>44222.234178240746</v>
      </c>
      <c r="B120" s="9" t="str">
        <f>HYPERLINK("https://twitter.com/Vanzzini","@Vanzzini")</f>
        <v>@Vanzzini</v>
      </c>
      <c r="C120" s="10" t="s">
        <v>1537</v>
      </c>
      <c r="D120" s="10" t="s">
        <v>1538</v>
      </c>
      <c r="E120" s="9" t="str">
        <f>HYPERLINK("https://twitter.com/Vanzzini/status/1354030629369880576","1354030629369880576")</f>
        <v>1354030629369880576</v>
      </c>
      <c r="F120" s="12"/>
      <c r="G120" s="12"/>
      <c r="H120" s="12"/>
      <c r="I120" s="13">
        <v>1.0</v>
      </c>
      <c r="J120" s="13">
        <v>1.0</v>
      </c>
      <c r="K120" s="9" t="str">
        <f>HYPERLINK("https://tapbots.com/software/tweetbot/mac","Tweetbot for Mac")</f>
        <v>Tweetbot for Mac</v>
      </c>
      <c r="L120" s="14">
        <v>333745.0</v>
      </c>
      <c r="M120" s="14">
        <v>3743.0</v>
      </c>
      <c r="N120" s="14">
        <v>589.0</v>
      </c>
      <c r="O120" s="15" t="s">
        <v>24</v>
      </c>
      <c r="P120" s="16">
        <v>39914.84935185185</v>
      </c>
      <c r="Q120" s="10" t="s">
        <v>1539</v>
      </c>
      <c r="R120" s="10" t="s">
        <v>1540</v>
      </c>
      <c r="S120" s="11" t="s">
        <v>1541</v>
      </c>
      <c r="T120" s="12"/>
      <c r="U120" s="17" t="str">
        <f>HYPERLINK("https://pbs.twimg.com/profile_images/1079269997027962881/PVrTmBIK.jpg","View")</f>
        <v>View</v>
      </c>
      <c r="V120" s="12"/>
      <c r="W120" s="12"/>
      <c r="X120" s="12"/>
      <c r="Y120" s="12"/>
      <c r="Z120" s="12"/>
    </row>
    <row r="121">
      <c r="A121" s="8">
        <v>44222.01040509259</v>
      </c>
      <c r="B121" s="9" t="str">
        <f>HYPERLINK("https://twitter.com/Darth_Reivaj","@Darth_Reivaj")</f>
        <v>@Darth_Reivaj</v>
      </c>
      <c r="C121" s="10" t="s">
        <v>1542</v>
      </c>
      <c r="D121" s="10" t="s">
        <v>1543</v>
      </c>
      <c r="E121" s="9" t="str">
        <f>HYPERLINK("https://twitter.com/Darth_Reivaj/status/1353949535979114496","1353949535979114496")</f>
        <v>1353949535979114496</v>
      </c>
      <c r="F121" s="12"/>
      <c r="G121" s="12"/>
      <c r="H121" s="12"/>
      <c r="I121" s="13">
        <v>0.0</v>
      </c>
      <c r="J121" s="13">
        <v>0.0</v>
      </c>
      <c r="K121" s="9" t="str">
        <f t="shared" ref="K121:K122" si="32">HYPERLINK("http://twitter.com/download/iphone","Twitter for iPhone")</f>
        <v>Twitter for iPhone</v>
      </c>
      <c r="L121" s="14">
        <v>534.0</v>
      </c>
      <c r="M121" s="14">
        <v>1007.0</v>
      </c>
      <c r="N121" s="14">
        <v>1.0</v>
      </c>
      <c r="O121" s="19"/>
      <c r="P121" s="16">
        <v>40321.62902777777</v>
      </c>
      <c r="Q121" s="10" t="s">
        <v>325</v>
      </c>
      <c r="R121" s="10" t="s">
        <v>1544</v>
      </c>
      <c r="S121" s="12"/>
      <c r="T121" s="12"/>
      <c r="U121" s="17" t="str">
        <f>HYPERLINK("https://pbs.twimg.com/profile_images/1346485790629634048/ZqxqRFQx.jpg","View")</f>
        <v>View</v>
      </c>
      <c r="V121" s="12"/>
      <c r="W121" s="12"/>
      <c r="X121" s="12"/>
      <c r="Y121" s="12"/>
      <c r="Z121" s="12"/>
    </row>
    <row r="122">
      <c r="A122" s="8">
        <v>44221.98451388889</v>
      </c>
      <c r="B122" s="9" t="str">
        <f>HYPERLINK("https://twitter.com/GabrielEsper","@GabrielEsper")</f>
        <v>@GabrielEsper</v>
      </c>
      <c r="C122" s="10" t="s">
        <v>1545</v>
      </c>
      <c r="D122" s="10" t="s">
        <v>1546</v>
      </c>
      <c r="E122" s="9" t="str">
        <f>HYPERLINK("https://twitter.com/GabrielEsper/status/1353940156592447490","1353940156592447490")</f>
        <v>1353940156592447490</v>
      </c>
      <c r="F122" s="12"/>
      <c r="G122" s="12"/>
      <c r="H122" s="12"/>
      <c r="I122" s="13">
        <v>0.0</v>
      </c>
      <c r="J122" s="13">
        <v>2.0</v>
      </c>
      <c r="K122" s="9" t="str">
        <f t="shared" si="32"/>
        <v>Twitter for iPhone</v>
      </c>
      <c r="L122" s="14">
        <v>342.0</v>
      </c>
      <c r="M122" s="14">
        <v>281.0</v>
      </c>
      <c r="N122" s="14">
        <v>7.0</v>
      </c>
      <c r="O122" s="19"/>
      <c r="P122" s="16">
        <v>40036.485613425924</v>
      </c>
      <c r="Q122" s="10" t="s">
        <v>1547</v>
      </c>
      <c r="R122" s="10" t="s">
        <v>1548</v>
      </c>
      <c r="S122" s="11" t="s">
        <v>1549</v>
      </c>
      <c r="T122" s="12"/>
      <c r="U122" s="17" t="str">
        <f>HYPERLINK("https://pbs.twimg.com/profile_images/1259536317852999680/2pjsLukZ.jpg","View")</f>
        <v>View</v>
      </c>
      <c r="V122" s="12"/>
      <c r="W122" s="12"/>
      <c r="X122" s="12"/>
      <c r="Y122" s="12"/>
      <c r="Z122" s="12"/>
    </row>
    <row r="123">
      <c r="A123" s="8">
        <v>44221.97965277778</v>
      </c>
      <c r="B123" s="9" t="str">
        <f>HYPERLINK("https://twitter.com/vetacreativa","@vetacreativa")</f>
        <v>@vetacreativa</v>
      </c>
      <c r="C123" s="10" t="s">
        <v>1550</v>
      </c>
      <c r="D123" s="10" t="s">
        <v>1551</v>
      </c>
      <c r="E123" s="9" t="str">
        <f>HYPERLINK("https://twitter.com/vetacreativa/status/1353938394938626050","1353938394938626050")</f>
        <v>1353938394938626050</v>
      </c>
      <c r="F123" s="11" t="s">
        <v>1552</v>
      </c>
      <c r="G123" s="12"/>
      <c r="H123" s="12"/>
      <c r="I123" s="13">
        <v>0.0</v>
      </c>
      <c r="J123" s="13">
        <v>0.0</v>
      </c>
      <c r="K123" s="9" t="str">
        <f>HYPERLINK("https://mobile.twitter.com","Twitter Web App")</f>
        <v>Twitter Web App</v>
      </c>
      <c r="L123" s="14">
        <v>1041.0</v>
      </c>
      <c r="M123" s="14">
        <v>2465.0</v>
      </c>
      <c r="N123" s="14">
        <v>19.0</v>
      </c>
      <c r="O123" s="19"/>
      <c r="P123" s="16">
        <v>39488.86010416667</v>
      </c>
      <c r="Q123" s="10" t="s">
        <v>1553</v>
      </c>
      <c r="R123" s="10" t="s">
        <v>1554</v>
      </c>
      <c r="S123" s="11" t="s">
        <v>1555</v>
      </c>
      <c r="T123" s="12"/>
      <c r="U123" s="17" t="str">
        <f>HYPERLINK("https://pbs.twimg.com/profile_images/444358018050707456/Q1jC866M.jpeg","View")</f>
        <v>View</v>
      </c>
      <c r="V123" s="12"/>
      <c r="W123" s="12"/>
      <c r="X123" s="12"/>
      <c r="Y123" s="12"/>
      <c r="Z123" s="12"/>
    </row>
    <row r="124">
      <c r="A124" s="8">
        <v>44221.97833333333</v>
      </c>
      <c r="B124" s="9" t="str">
        <f>HYPERLINK("https://twitter.com/vickrpb","@vickrpb")</f>
        <v>@vickrpb</v>
      </c>
      <c r="C124" s="10" t="s">
        <v>1556</v>
      </c>
      <c r="D124" s="10" t="s">
        <v>1557</v>
      </c>
      <c r="E124" s="9" t="str">
        <f>HYPERLINK("https://twitter.com/vickrpb/status/1353937913134931968","1353937913134931968")</f>
        <v>1353937913134931968</v>
      </c>
      <c r="F124" s="11" t="s">
        <v>1558</v>
      </c>
      <c r="G124" s="12"/>
      <c r="H124" s="12"/>
      <c r="I124" s="13">
        <v>0.0</v>
      </c>
      <c r="J124" s="13">
        <v>2.0</v>
      </c>
      <c r="K124" s="9" t="str">
        <f>HYPERLINK("http://twitter.com/download/iphone","Twitter for iPhone")</f>
        <v>Twitter for iPhone</v>
      </c>
      <c r="L124" s="14">
        <v>16601.0</v>
      </c>
      <c r="M124" s="14">
        <v>3758.0</v>
      </c>
      <c r="N124" s="14">
        <v>83.0</v>
      </c>
      <c r="O124" s="19"/>
      <c r="P124" s="16">
        <v>40120.71565972222</v>
      </c>
      <c r="Q124" s="10" t="s">
        <v>1559</v>
      </c>
      <c r="R124" s="10" t="s">
        <v>1560</v>
      </c>
      <c r="S124" s="11" t="s">
        <v>1561</v>
      </c>
      <c r="T124" s="12"/>
      <c r="U124" s="17" t="str">
        <f>HYPERLINK("https://pbs.twimg.com/profile_images/1333525474878902274/DorskV6n.jpg","View")</f>
        <v>View</v>
      </c>
      <c r="V124" s="12"/>
      <c r="W124" s="12"/>
      <c r="X124" s="12"/>
      <c r="Y124" s="12"/>
      <c r="Z124" s="12"/>
    </row>
    <row r="125">
      <c r="A125" s="8">
        <v>44221.97320601852</v>
      </c>
      <c r="B125" s="9" t="str">
        <f>HYPERLINK("https://twitter.com/Porfis08582237","@Porfis08582237")</f>
        <v>@Porfis08582237</v>
      </c>
      <c r="C125" s="10" t="s">
        <v>1562</v>
      </c>
      <c r="D125" s="10" t="s">
        <v>1563</v>
      </c>
      <c r="E125" s="9" t="str">
        <f>HYPERLINK("https://twitter.com/Porfis08582237/status/1353936054898860033","1353936054898860033")</f>
        <v>1353936054898860033</v>
      </c>
      <c r="F125" s="12"/>
      <c r="G125" s="12"/>
      <c r="H125" s="12"/>
      <c r="I125" s="13">
        <v>1.0</v>
      </c>
      <c r="J125" s="13">
        <v>0.0</v>
      </c>
      <c r="K125" s="9" t="str">
        <f>HYPERLINK("http://twitter.com/download/android","Twitter for Android")</f>
        <v>Twitter for Android</v>
      </c>
      <c r="L125" s="14">
        <v>634.0</v>
      </c>
      <c r="M125" s="14">
        <v>1269.0</v>
      </c>
      <c r="N125" s="14">
        <v>1.0</v>
      </c>
      <c r="O125" s="19"/>
      <c r="P125" s="16">
        <v>44095.9825462963</v>
      </c>
      <c r="Q125" s="12"/>
      <c r="R125" s="10" t="s">
        <v>1564</v>
      </c>
      <c r="S125" s="12"/>
      <c r="T125" s="12"/>
      <c r="U125" s="17" t="str">
        <f>HYPERLINK("https://pbs.twimg.com/profile_images/1308263558656987136/W2vYFuwb.jpg","View")</f>
        <v>View</v>
      </c>
      <c r="V125" s="12"/>
      <c r="W125" s="12"/>
      <c r="X125" s="12"/>
      <c r="Y125" s="12"/>
      <c r="Z125" s="12"/>
    </row>
    <row r="126">
      <c r="A126" s="8">
        <v>44221.964224537034</v>
      </c>
      <c r="B126" s="9" t="str">
        <f>HYPERLINK("https://twitter.com/rangelirijillo","@rangelirijillo")</f>
        <v>@rangelirijillo</v>
      </c>
      <c r="C126" s="10" t="s">
        <v>1565</v>
      </c>
      <c r="D126" s="10" t="s">
        <v>1566</v>
      </c>
      <c r="E126" s="9" t="str">
        <f>HYPERLINK("https://twitter.com/rangelirijillo/status/1353932801238831104","1353932801238831104")</f>
        <v>1353932801238831104</v>
      </c>
      <c r="F126" s="12"/>
      <c r="G126" s="12"/>
      <c r="H126" s="12"/>
      <c r="I126" s="13">
        <v>0.0</v>
      </c>
      <c r="J126" s="13">
        <v>0.0</v>
      </c>
      <c r="K126" s="9" t="str">
        <f>HYPERLINK("http://twitter.com/download/iphone","Twitter for iPhone")</f>
        <v>Twitter for iPhone</v>
      </c>
      <c r="L126" s="14">
        <v>273.0</v>
      </c>
      <c r="M126" s="14">
        <v>750.0</v>
      </c>
      <c r="N126" s="14">
        <v>21.0</v>
      </c>
      <c r="O126" s="19"/>
      <c r="P126" s="16">
        <v>40233.68126157408</v>
      </c>
      <c r="Q126" s="10" t="s">
        <v>325</v>
      </c>
      <c r="R126" s="12"/>
      <c r="S126" s="12"/>
      <c r="T126" s="12"/>
      <c r="U126" s="17" t="str">
        <f>HYPERLINK("https://pbs.twimg.com/profile_images/1140391934034419712/h9VqKp4I.jpg","View")</f>
        <v>View</v>
      </c>
      <c r="V126" s="12"/>
      <c r="W126" s="12"/>
      <c r="X126" s="12"/>
      <c r="Y126" s="12"/>
      <c r="Z126" s="12"/>
    </row>
    <row r="127">
      <c r="A127" s="8">
        <v>44221.95834490741</v>
      </c>
      <c r="B127" s="9" t="str">
        <f>HYPERLINK("https://twitter.com/maprifu","@maprifu")</f>
        <v>@maprifu</v>
      </c>
      <c r="C127" s="10" t="s">
        <v>1567</v>
      </c>
      <c r="D127" s="10" t="s">
        <v>1568</v>
      </c>
      <c r="E127" s="9" t="str">
        <f>HYPERLINK("https://twitter.com/maprifu/status/1353930671778111488","1353930671778111488")</f>
        <v>1353930671778111488</v>
      </c>
      <c r="F127" s="11" t="s">
        <v>1533</v>
      </c>
      <c r="G127" s="12"/>
      <c r="H127" s="12"/>
      <c r="I127" s="13">
        <v>0.0</v>
      </c>
      <c r="J127" s="13">
        <v>0.0</v>
      </c>
      <c r="K127" s="9" t="str">
        <f t="shared" ref="K127:K128" si="33">HYPERLINK("http://twitter.com/download/android","Twitter for Android")</f>
        <v>Twitter for Android</v>
      </c>
      <c r="L127" s="14">
        <v>51.0</v>
      </c>
      <c r="M127" s="14">
        <v>228.0</v>
      </c>
      <c r="N127" s="14">
        <v>0.0</v>
      </c>
      <c r="O127" s="19"/>
      <c r="P127" s="16">
        <v>44155.56910879629</v>
      </c>
      <c r="Q127" s="10" t="s">
        <v>1569</v>
      </c>
      <c r="R127" s="10" t="s">
        <v>1570</v>
      </c>
      <c r="S127" s="12"/>
      <c r="T127" s="12"/>
      <c r="U127" s="17" t="str">
        <f>HYPERLINK("https://pbs.twimg.com/profile_images/1329872328570793984/90JMH6Bv.jpg","View")</f>
        <v>View</v>
      </c>
      <c r="V127" s="12"/>
      <c r="W127" s="12"/>
      <c r="X127" s="12"/>
      <c r="Y127" s="12"/>
      <c r="Z127" s="12"/>
    </row>
    <row r="128">
      <c r="A128" s="8">
        <v>44221.95273148148</v>
      </c>
      <c r="B128" s="9" t="str">
        <f>HYPERLINK("https://twitter.com/optimusneo","@optimusneo")</f>
        <v>@optimusneo</v>
      </c>
      <c r="C128" s="10" t="s">
        <v>1571</v>
      </c>
      <c r="D128" s="10" t="s">
        <v>1572</v>
      </c>
      <c r="E128" s="9" t="str">
        <f>HYPERLINK("https://twitter.com/optimusneo/status/1353928637012185088","1353928637012185088")</f>
        <v>1353928637012185088</v>
      </c>
      <c r="F128" s="12"/>
      <c r="G128" s="11" t="s">
        <v>1573</v>
      </c>
      <c r="H128" s="12"/>
      <c r="I128" s="13">
        <v>5.0</v>
      </c>
      <c r="J128" s="13">
        <v>29.0</v>
      </c>
      <c r="K128" s="9" t="str">
        <f t="shared" si="33"/>
        <v>Twitter for Android</v>
      </c>
      <c r="L128" s="14">
        <v>945.0</v>
      </c>
      <c r="M128" s="14">
        <v>1537.0</v>
      </c>
      <c r="N128" s="14">
        <v>4.0</v>
      </c>
      <c r="O128" s="19"/>
      <c r="P128" s="16">
        <v>40061.697743055556</v>
      </c>
      <c r="Q128" s="10" t="s">
        <v>1574</v>
      </c>
      <c r="R128" s="10" t="s">
        <v>1575</v>
      </c>
      <c r="S128" s="12"/>
      <c r="T128" s="12"/>
      <c r="U128" s="17" t="str">
        <f>HYPERLINK("https://pbs.twimg.com/profile_images/1349607319609470976/7JXVcwt6.jpg","View")</f>
        <v>View</v>
      </c>
      <c r="V128" s="12"/>
      <c r="W128" s="12"/>
      <c r="X128" s="12"/>
      <c r="Y128" s="12"/>
      <c r="Z128" s="12"/>
    </row>
    <row r="129">
      <c r="A129" s="8">
        <v>44221.948229166665</v>
      </c>
      <c r="B129" s="9" t="str">
        <f>HYPERLINK("https://twitter.com/trolecilloazul","@trolecilloazul")</f>
        <v>@trolecilloazul</v>
      </c>
      <c r="C129" s="10" t="s">
        <v>1576</v>
      </c>
      <c r="D129" s="10" t="s">
        <v>1577</v>
      </c>
      <c r="E129" s="9" t="str">
        <f>HYPERLINK("https://twitter.com/trolecilloazul/status/1353927006589759489","1353927006589759489")</f>
        <v>1353927006589759489</v>
      </c>
      <c r="F129" s="12"/>
      <c r="G129" s="12"/>
      <c r="H129" s="12"/>
      <c r="I129" s="13">
        <v>3.0</v>
      </c>
      <c r="J129" s="13">
        <v>28.0</v>
      </c>
      <c r="K129" s="9" t="str">
        <f>HYPERLINK("http://twitter.com/download/iphone","Twitter for iPhone")</f>
        <v>Twitter for iPhone</v>
      </c>
      <c r="L129" s="14">
        <v>808.0</v>
      </c>
      <c r="M129" s="14">
        <v>671.0</v>
      </c>
      <c r="N129" s="14">
        <v>4.0</v>
      </c>
      <c r="O129" s="19"/>
      <c r="P129" s="16">
        <v>43244.35976851852</v>
      </c>
      <c r="Q129" s="12"/>
      <c r="R129" s="10" t="s">
        <v>1578</v>
      </c>
      <c r="S129" s="12"/>
      <c r="T129" s="12"/>
      <c r="U129" s="17" t="str">
        <f>HYPERLINK("https://pbs.twimg.com/profile_images/1353752695111352320/i6xSnhNu.jpg","View")</f>
        <v>View</v>
      </c>
      <c r="V129" s="12"/>
      <c r="W129" s="12"/>
      <c r="X129" s="12"/>
      <c r="Y129" s="12"/>
      <c r="Z129" s="12"/>
    </row>
    <row r="130">
      <c r="A130" s="8">
        <v>44221.91952546296</v>
      </c>
      <c r="B130" s="9" t="str">
        <f>HYPERLINK("https://twitter.com/Chintololo2","@Chintololo2")</f>
        <v>@Chintololo2</v>
      </c>
      <c r="C130" s="10" t="s">
        <v>1579</v>
      </c>
      <c r="D130" s="10" t="s">
        <v>1580</v>
      </c>
      <c r="E130" s="9" t="str">
        <f>HYPERLINK("https://twitter.com/Chintololo2/status/1353916604434821122","1353916604434821122")</f>
        <v>1353916604434821122</v>
      </c>
      <c r="F130" s="12"/>
      <c r="G130" s="12"/>
      <c r="H130" s="12"/>
      <c r="I130" s="13">
        <v>0.0</v>
      </c>
      <c r="J130" s="13">
        <v>0.0</v>
      </c>
      <c r="K130" s="9" t="str">
        <f>HYPERLINK("http://twitter.com/download/android","Twitter for Android")</f>
        <v>Twitter for Android</v>
      </c>
      <c r="L130" s="14">
        <v>2.0</v>
      </c>
      <c r="M130" s="14">
        <v>116.0</v>
      </c>
      <c r="N130" s="14">
        <v>0.0</v>
      </c>
      <c r="O130" s="19"/>
      <c r="P130" s="16">
        <v>44176.12414351852</v>
      </c>
      <c r="Q130" s="12"/>
      <c r="R130" s="10" t="s">
        <v>1581</v>
      </c>
      <c r="S130" s="12"/>
      <c r="T130" s="12"/>
      <c r="U130" s="17" t="str">
        <f>HYPERLINK("https://pbs.twimg.com/profile_images/1337321210082942977/6RVJAzaW.jpg","View")</f>
        <v>View</v>
      </c>
      <c r="V130" s="12"/>
      <c r="W130" s="12"/>
      <c r="X130" s="12"/>
      <c r="Y130" s="12"/>
      <c r="Z130" s="12"/>
    </row>
    <row r="131">
      <c r="A131" s="8">
        <v>44221.91835648148</v>
      </c>
      <c r="B131" s="9" t="str">
        <f>HYPERLINK("https://twitter.com/DomadorDChairos","@DomadorDChairos")</f>
        <v>@DomadorDChairos</v>
      </c>
      <c r="C131" s="10" t="s">
        <v>1582</v>
      </c>
      <c r="D131" s="10" t="s">
        <v>1583</v>
      </c>
      <c r="E131" s="9" t="str">
        <f>HYPERLINK("https://twitter.com/DomadorDChairos/status/1353916181191610370","1353916181191610370")</f>
        <v>1353916181191610370</v>
      </c>
      <c r="F131" s="10" t="s">
        <v>1584</v>
      </c>
      <c r="G131" s="12"/>
      <c r="H131" s="12"/>
      <c r="I131" s="13">
        <v>0.0</v>
      </c>
      <c r="J131" s="13">
        <v>0.0</v>
      </c>
      <c r="K131" s="9" t="str">
        <f>HYPERLINK("https://mobile.twitter.com","Twitter Web App")</f>
        <v>Twitter Web App</v>
      </c>
      <c r="L131" s="14">
        <v>157.0</v>
      </c>
      <c r="M131" s="14">
        <v>487.0</v>
      </c>
      <c r="N131" s="14">
        <v>0.0</v>
      </c>
      <c r="O131" s="19"/>
      <c r="P131" s="16">
        <v>44158.77784722223</v>
      </c>
      <c r="Q131" s="10" t="s">
        <v>1585</v>
      </c>
      <c r="R131" s="10" t="s">
        <v>1586</v>
      </c>
      <c r="S131" s="12"/>
      <c r="T131" s="12"/>
      <c r="U131" s="17" t="str">
        <f>HYPERLINK("https://pbs.twimg.com/profile_images/1339978822775697410/VxVRc-Be.jpg","View")</f>
        <v>View</v>
      </c>
      <c r="V131" s="12"/>
      <c r="W131" s="12"/>
      <c r="X131" s="12"/>
      <c r="Y131" s="12"/>
      <c r="Z131" s="12"/>
    </row>
    <row r="132">
      <c r="A132" s="8">
        <v>44221.90402777778</v>
      </c>
      <c r="B132" s="9" t="str">
        <f>HYPERLINK("https://twitter.com/Insagro","@Insagro")</f>
        <v>@Insagro</v>
      </c>
      <c r="C132" s="10" t="s">
        <v>1587</v>
      </c>
      <c r="D132" s="10" t="s">
        <v>1588</v>
      </c>
      <c r="E132" s="9" t="str">
        <f>HYPERLINK("https://twitter.com/Insagro/status/1353910989213855744","1353910989213855744")</f>
        <v>1353910989213855744</v>
      </c>
      <c r="F132" s="12"/>
      <c r="G132" s="11" t="s">
        <v>1589</v>
      </c>
      <c r="H132" s="12"/>
      <c r="I132" s="13">
        <v>0.0</v>
      </c>
      <c r="J132" s="13">
        <v>0.0</v>
      </c>
      <c r="K132" s="9" t="str">
        <f t="shared" ref="K132:K133" si="34">HYPERLINK("http://twitter.com/download/android","Twitter for Android")</f>
        <v>Twitter for Android</v>
      </c>
      <c r="L132" s="14">
        <v>152.0</v>
      </c>
      <c r="M132" s="14">
        <v>809.0</v>
      </c>
      <c r="N132" s="14">
        <v>1.0</v>
      </c>
      <c r="O132" s="19"/>
      <c r="P132" s="16">
        <v>42006.543715277774</v>
      </c>
      <c r="Q132" s="10" t="s">
        <v>1590</v>
      </c>
      <c r="R132" s="10" t="s">
        <v>1591</v>
      </c>
      <c r="S132" s="12"/>
      <c r="T132" s="12"/>
      <c r="U132" s="17" t="str">
        <f>HYPERLINK("https://pbs.twimg.com/profile_images/1211067702502133760/_5_he5Pp.jpg","View")</f>
        <v>View</v>
      </c>
      <c r="V132" s="12"/>
      <c r="W132" s="12"/>
      <c r="X132" s="12"/>
      <c r="Y132" s="12"/>
      <c r="Z132" s="12"/>
    </row>
    <row r="133">
      <c r="A133" s="8">
        <v>44221.9002662037</v>
      </c>
      <c r="B133" s="9" t="str">
        <f>HYPERLINK("https://twitter.com/LaRanaAzulada","@LaRanaAzulada")</f>
        <v>@LaRanaAzulada</v>
      </c>
      <c r="C133" s="10" t="s">
        <v>1073</v>
      </c>
      <c r="D133" s="10" t="s">
        <v>1592</v>
      </c>
      <c r="E133" s="9" t="str">
        <f>HYPERLINK("https://twitter.com/LaRanaAzulada/status/1353909623556886528","1353909623556886528")</f>
        <v>1353909623556886528</v>
      </c>
      <c r="F133" s="12"/>
      <c r="G133" s="12"/>
      <c r="H133" s="12"/>
      <c r="I133" s="13">
        <v>2.0</v>
      </c>
      <c r="J133" s="13">
        <v>1.0</v>
      </c>
      <c r="K133" s="9" t="str">
        <f t="shared" si="34"/>
        <v>Twitter for Android</v>
      </c>
      <c r="L133" s="14">
        <v>1422.0</v>
      </c>
      <c r="M133" s="14">
        <v>1009.0</v>
      </c>
      <c r="N133" s="14">
        <v>3.0</v>
      </c>
      <c r="O133" s="19"/>
      <c r="P133" s="16">
        <v>40201.91677083333</v>
      </c>
      <c r="Q133" s="12"/>
      <c r="R133" s="12"/>
      <c r="S133" s="12"/>
      <c r="T133" s="12"/>
      <c r="U133" s="17" t="str">
        <f>HYPERLINK("https://pbs.twimg.com/profile_images/1340126795312615425/ej-c6Ett.jpg","View")</f>
        <v>View</v>
      </c>
      <c r="V133" s="12"/>
      <c r="W133" s="12"/>
      <c r="X133" s="12"/>
      <c r="Y133" s="12"/>
      <c r="Z133" s="12"/>
    </row>
    <row r="134">
      <c r="A134" s="8">
        <v>44221.8981712963</v>
      </c>
      <c r="B134" s="9" t="str">
        <f>HYPERLINK("https://twitter.com/ExAnacronic0","@ExAnacronic0")</f>
        <v>@ExAnacronic0</v>
      </c>
      <c r="C134" s="10" t="s">
        <v>1593</v>
      </c>
      <c r="D134" s="10" t="s">
        <v>1594</v>
      </c>
      <c r="E134" s="9" t="str">
        <f>HYPERLINK("https://twitter.com/ExAnacronic0/status/1353908864958259200","1353908864958259200")</f>
        <v>1353908864958259200</v>
      </c>
      <c r="F134" s="10" t="s">
        <v>1595</v>
      </c>
      <c r="G134" s="12"/>
      <c r="H134" s="12"/>
      <c r="I134" s="13">
        <v>0.0</v>
      </c>
      <c r="J134" s="13">
        <v>0.0</v>
      </c>
      <c r="K134" s="9" t="str">
        <f>HYPERLINK("http://twitter.com/download/iphone","Twitter for iPhone")</f>
        <v>Twitter for iPhone</v>
      </c>
      <c r="L134" s="14">
        <v>93.0</v>
      </c>
      <c r="M134" s="14">
        <v>119.0</v>
      </c>
      <c r="N134" s="14">
        <v>0.0</v>
      </c>
      <c r="O134" s="19"/>
      <c r="P134" s="16">
        <v>43807.70091435185</v>
      </c>
      <c r="Q134" s="10" t="s">
        <v>526</v>
      </c>
      <c r="R134" s="10" t="s">
        <v>1596</v>
      </c>
      <c r="S134" s="12"/>
      <c r="T134" s="12"/>
      <c r="U134" s="17" t="str">
        <f>HYPERLINK("https://pbs.twimg.com/profile_images/1203809476425310208/0MZdxO43.jpg","View")</f>
        <v>View</v>
      </c>
      <c r="V134" s="12"/>
      <c r="W134" s="12"/>
      <c r="X134" s="12"/>
      <c r="Y134" s="12"/>
      <c r="Z134" s="12"/>
    </row>
    <row r="135">
      <c r="A135" s="8">
        <v>44221.894583333335</v>
      </c>
      <c r="B135" s="9" t="str">
        <f>HYPERLINK("https://twitter.com/LaRanaAzulada","@LaRanaAzulada")</f>
        <v>@LaRanaAzulada</v>
      </c>
      <c r="C135" s="10" t="s">
        <v>1073</v>
      </c>
      <c r="D135" s="10" t="s">
        <v>1597</v>
      </c>
      <c r="E135" s="9" t="str">
        <f>HYPERLINK("https://twitter.com/LaRanaAzulada/status/1353907564673642498","1353907564673642498")</f>
        <v>1353907564673642498</v>
      </c>
      <c r="F135" s="10" t="s">
        <v>1598</v>
      </c>
      <c r="G135" s="12"/>
      <c r="H135" s="12"/>
      <c r="I135" s="13">
        <v>0.0</v>
      </c>
      <c r="J135" s="13">
        <v>0.0</v>
      </c>
      <c r="K135" s="9" t="str">
        <f>HYPERLINK("http://twitter.com/download/android","Twitter for Android")</f>
        <v>Twitter for Android</v>
      </c>
      <c r="L135" s="14">
        <v>1422.0</v>
      </c>
      <c r="M135" s="14">
        <v>1009.0</v>
      </c>
      <c r="N135" s="14">
        <v>3.0</v>
      </c>
      <c r="O135" s="19"/>
      <c r="P135" s="16">
        <v>40201.91677083333</v>
      </c>
      <c r="Q135" s="12"/>
      <c r="R135" s="12"/>
      <c r="S135" s="12"/>
      <c r="T135" s="12"/>
      <c r="U135" s="17" t="str">
        <f>HYPERLINK("https://pbs.twimg.com/profile_images/1340126795312615425/ej-c6Ett.jpg","View")</f>
        <v>View</v>
      </c>
      <c r="V135" s="12"/>
      <c r="W135" s="12"/>
      <c r="X135" s="12"/>
      <c r="Y135" s="12"/>
      <c r="Z135" s="12"/>
    </row>
    <row r="136">
      <c r="A136" s="8">
        <v>44221.893275462964</v>
      </c>
      <c r="B136" s="9" t="str">
        <f>HYPERLINK("https://twitter.com/Maricela_Arnaiz","@Maricela_Arnaiz")</f>
        <v>@Maricela_Arnaiz</v>
      </c>
      <c r="C136" s="10" t="s">
        <v>1599</v>
      </c>
      <c r="D136" s="10" t="s">
        <v>1600</v>
      </c>
      <c r="E136" s="9" t="str">
        <f>HYPERLINK("https://twitter.com/Maricela_Arnaiz/status/1353907090063036417","1353907090063036417")</f>
        <v>1353907090063036417</v>
      </c>
      <c r="F136" s="12"/>
      <c r="G136" s="11" t="s">
        <v>1601</v>
      </c>
      <c r="H136" s="12"/>
      <c r="I136" s="13">
        <v>150.0</v>
      </c>
      <c r="J136" s="13">
        <v>275.0</v>
      </c>
      <c r="K136" s="9" t="str">
        <f>HYPERLINK("http://twitter.com/download/iphone","Twitter for iPhone")</f>
        <v>Twitter for iPhone</v>
      </c>
      <c r="L136" s="14">
        <v>5317.0</v>
      </c>
      <c r="M136" s="14">
        <v>4302.0</v>
      </c>
      <c r="N136" s="14">
        <v>8.0</v>
      </c>
      <c r="O136" s="19"/>
      <c r="P136" s="16">
        <v>41174.556608796294</v>
      </c>
      <c r="Q136" s="10" t="s">
        <v>478</v>
      </c>
      <c r="R136" s="10" t="s">
        <v>1602</v>
      </c>
      <c r="S136" s="12"/>
      <c r="T136" s="12"/>
      <c r="U136" s="17" t="str">
        <f>HYPERLINK("https://pbs.twimg.com/profile_images/1340070436571389953/_B2T52N7.jpg","View")</f>
        <v>View</v>
      </c>
      <c r="V136" s="12"/>
      <c r="W136" s="12"/>
      <c r="X136" s="12"/>
      <c r="Y136" s="12"/>
      <c r="Z136" s="12"/>
    </row>
    <row r="137">
      <c r="A137" s="8">
        <v>44221.892638888894</v>
      </c>
      <c r="B137" s="9" t="str">
        <f>HYPERLINK("https://twitter.com/hex250","@hex250")</f>
        <v>@hex250</v>
      </c>
      <c r="C137" s="10" t="s">
        <v>1603</v>
      </c>
      <c r="D137" s="10" t="s">
        <v>1604</v>
      </c>
      <c r="E137" s="9" t="str">
        <f>HYPERLINK("https://twitter.com/hex250/status/1353906862098239488","1353906862098239488")</f>
        <v>1353906862098239488</v>
      </c>
      <c r="F137" s="12"/>
      <c r="G137" s="12"/>
      <c r="H137" s="12"/>
      <c r="I137" s="13">
        <v>0.0</v>
      </c>
      <c r="J137" s="13">
        <v>0.0</v>
      </c>
      <c r="K137" s="9" t="str">
        <f>HYPERLINK("http://twitter.com/download/android","Twitter for Android")</f>
        <v>Twitter for Android</v>
      </c>
      <c r="L137" s="14">
        <v>153.0</v>
      </c>
      <c r="M137" s="14">
        <v>200.0</v>
      </c>
      <c r="N137" s="14">
        <v>2.0</v>
      </c>
      <c r="O137" s="19"/>
      <c r="P137" s="16">
        <v>41880.6634375</v>
      </c>
      <c r="Q137" s="12"/>
      <c r="R137" s="12"/>
      <c r="S137" s="12"/>
      <c r="T137" s="12"/>
      <c r="U137" s="17" t="str">
        <f>HYPERLINK("https://pbs.twimg.com/profile_images/1350284436164603905/keKvx2Nn.jpg","View")</f>
        <v>View</v>
      </c>
      <c r="V137" s="12"/>
      <c r="W137" s="12"/>
      <c r="X137" s="12"/>
      <c r="Y137" s="12"/>
      <c r="Z137" s="12"/>
    </row>
    <row r="138">
      <c r="A138" s="8">
        <v>44221.89165509259</v>
      </c>
      <c r="B138" s="9" t="str">
        <f>HYPERLINK("https://twitter.com/politicomx","@politicomx")</f>
        <v>@politicomx</v>
      </c>
      <c r="C138" s="10" t="s">
        <v>1605</v>
      </c>
      <c r="D138" s="10" t="s">
        <v>1606</v>
      </c>
      <c r="E138" s="9" t="str">
        <f>HYPERLINK("https://twitter.com/politicomx/status/1353906504869539846","1353906504869539846")</f>
        <v>1353906504869539846</v>
      </c>
      <c r="F138" s="11" t="s">
        <v>1607</v>
      </c>
      <c r="G138" s="11" t="s">
        <v>1608</v>
      </c>
      <c r="H138" s="12"/>
      <c r="I138" s="13">
        <v>5.0</v>
      </c>
      <c r="J138" s="13">
        <v>12.0</v>
      </c>
      <c r="K138" s="9" t="str">
        <f>HYPERLINK("https://mobile.twitter.com","Twitter Web App")</f>
        <v>Twitter Web App</v>
      </c>
      <c r="L138" s="14">
        <v>122393.0</v>
      </c>
      <c r="M138" s="14">
        <v>931.0</v>
      </c>
      <c r="N138" s="14">
        <v>998.0</v>
      </c>
      <c r="O138" s="15" t="s">
        <v>24</v>
      </c>
      <c r="P138" s="16">
        <v>40294.689317129625</v>
      </c>
      <c r="Q138" s="10" t="s">
        <v>325</v>
      </c>
      <c r="R138" s="10" t="s">
        <v>1609</v>
      </c>
      <c r="S138" s="11" t="s">
        <v>1610</v>
      </c>
      <c r="T138" s="12"/>
      <c r="U138" s="17" t="str">
        <f>HYPERLINK("https://pbs.twimg.com/profile_images/1323098683450281985/2LvugDjM.jpg","View")</f>
        <v>View</v>
      </c>
      <c r="V138" s="12"/>
      <c r="W138" s="12"/>
      <c r="X138" s="12"/>
      <c r="Y138" s="12"/>
      <c r="Z138" s="12"/>
    </row>
    <row r="139">
      <c r="A139" s="8">
        <v>44221.88452546296</v>
      </c>
      <c r="B139" s="9" t="str">
        <f>HYPERLINK("https://twitter.com/JoseAntonioLo06","@JoseAntonioLo06")</f>
        <v>@JoseAntonioLo06</v>
      </c>
      <c r="C139" s="10" t="s">
        <v>1611</v>
      </c>
      <c r="D139" s="10" t="s">
        <v>1612</v>
      </c>
      <c r="E139" s="9" t="str">
        <f>HYPERLINK("https://twitter.com/JoseAntonioLo06/status/1353903919290789890","1353903919290789890")</f>
        <v>1353903919290789890</v>
      </c>
      <c r="F139" s="12"/>
      <c r="G139" s="11" t="s">
        <v>1497</v>
      </c>
      <c r="H139" s="12"/>
      <c r="I139" s="13">
        <v>18.0</v>
      </c>
      <c r="J139" s="13">
        <v>137.0</v>
      </c>
      <c r="K139" s="9" t="str">
        <f>HYPERLINK("http://twitter.com/download/android","Twitter for Android")</f>
        <v>Twitter for Android</v>
      </c>
      <c r="L139" s="14">
        <v>26522.0</v>
      </c>
      <c r="M139" s="14">
        <v>21600.0</v>
      </c>
      <c r="N139" s="14">
        <v>54.0</v>
      </c>
      <c r="O139" s="19"/>
      <c r="P139" s="16">
        <v>40886.64921296296</v>
      </c>
      <c r="Q139" s="10" t="s">
        <v>1613</v>
      </c>
      <c r="R139" s="10" t="s">
        <v>1614</v>
      </c>
      <c r="S139" s="12"/>
      <c r="T139" s="12"/>
      <c r="U139" s="17" t="str">
        <f>HYPERLINK("https://pbs.twimg.com/profile_images/1282838946993647616/fkydHD1E.jpg","View")</f>
        <v>View</v>
      </c>
      <c r="V139" s="12"/>
      <c r="W139" s="12"/>
      <c r="X139" s="12"/>
      <c r="Y139" s="12"/>
      <c r="Z139" s="12"/>
    </row>
    <row r="140">
      <c r="A140" s="8">
        <v>44221.8671875</v>
      </c>
      <c r="B140" s="9" t="str">
        <f>HYPERLINK("https://twitter.com/alexciddeleon","@alexciddeleon")</f>
        <v>@alexciddeleon</v>
      </c>
      <c r="C140" s="10" t="s">
        <v>1615</v>
      </c>
      <c r="D140" s="10" t="s">
        <v>1616</v>
      </c>
      <c r="E140" s="9" t="str">
        <f>HYPERLINK("https://twitter.com/alexciddeleon/status/1353897637578235904","1353897637578235904")</f>
        <v>1353897637578235904</v>
      </c>
      <c r="F140" s="12"/>
      <c r="G140" s="12"/>
      <c r="H140" s="12"/>
      <c r="I140" s="13">
        <v>0.0</v>
      </c>
      <c r="J140" s="13">
        <v>0.0</v>
      </c>
      <c r="K140" s="9" t="str">
        <f>HYPERLINK("http://twitter.com/download/iphone","Twitter for iPhone")</f>
        <v>Twitter for iPhone</v>
      </c>
      <c r="L140" s="14">
        <v>878.0</v>
      </c>
      <c r="M140" s="14">
        <v>858.0</v>
      </c>
      <c r="N140" s="14">
        <v>6.0</v>
      </c>
      <c r="O140" s="19"/>
      <c r="P140" s="16">
        <v>41805.75119212963</v>
      </c>
      <c r="Q140" s="10" t="s">
        <v>1617</v>
      </c>
      <c r="R140" s="10" t="s">
        <v>1618</v>
      </c>
      <c r="S140" s="12"/>
      <c r="T140" s="12"/>
      <c r="U140" s="17" t="str">
        <f>HYPERLINK("https://pbs.twimg.com/profile_images/1304689252987482112/hcB5Npka.jpg","View")</f>
        <v>View</v>
      </c>
      <c r="V140" s="12"/>
      <c r="W140" s="12"/>
      <c r="X140" s="12"/>
      <c r="Y140" s="12"/>
      <c r="Z140" s="12"/>
    </row>
    <row r="141">
      <c r="A141" s="8">
        <v>44221.86069444445</v>
      </c>
      <c r="B141" s="9" t="str">
        <f>HYPERLINK("https://twitter.com/lessivoemmanuel","@lessivoemmanuel")</f>
        <v>@lessivoemmanuel</v>
      </c>
      <c r="C141" s="10" t="s">
        <v>1619</v>
      </c>
      <c r="D141" s="10" t="s">
        <v>1620</v>
      </c>
      <c r="E141" s="9" t="str">
        <f>HYPERLINK("https://twitter.com/lessivoemmanuel/status/1353895284561084416","1353895284561084416")</f>
        <v>1353895284561084416</v>
      </c>
      <c r="F141" s="12"/>
      <c r="G141" s="11" t="s">
        <v>1621</v>
      </c>
      <c r="H141" s="12"/>
      <c r="I141" s="13">
        <v>0.0</v>
      </c>
      <c r="J141" s="13">
        <v>0.0</v>
      </c>
      <c r="K141" s="9" t="str">
        <f>HYPERLINK("http://twitter.com/#!/download/ipad","Twitter for iPad")</f>
        <v>Twitter for iPad</v>
      </c>
      <c r="L141" s="14">
        <v>24.0</v>
      </c>
      <c r="M141" s="14">
        <v>38.0</v>
      </c>
      <c r="N141" s="14">
        <v>0.0</v>
      </c>
      <c r="O141" s="19"/>
      <c r="P141" s="16">
        <v>43306.01121527777</v>
      </c>
      <c r="Q141" s="12"/>
      <c r="R141" s="12"/>
      <c r="S141" s="12"/>
      <c r="T141" s="12"/>
      <c r="U141" s="17" t="str">
        <f>HYPERLINK("https://pbs.twimg.com/profile_images/1313500151948947456/oWm1xZ1s.jpg","View")</f>
        <v>View</v>
      </c>
      <c r="V141" s="12"/>
      <c r="W141" s="12"/>
      <c r="X141" s="12"/>
      <c r="Y141" s="12"/>
      <c r="Z141" s="12"/>
    </row>
    <row r="142">
      <c r="A142" s="8">
        <v>44221.858078703706</v>
      </c>
      <c r="B142" s="9" t="str">
        <f>HYPERLINK("https://twitter.com/el_medico_brujo","@el_medico_brujo")</f>
        <v>@el_medico_brujo</v>
      </c>
      <c r="C142" s="10" t="s">
        <v>1622</v>
      </c>
      <c r="D142" s="10" t="s">
        <v>1623</v>
      </c>
      <c r="E142" s="9" t="str">
        <f>HYPERLINK("https://twitter.com/el_medico_brujo/status/1353894335201357826","1353894335201357826")</f>
        <v>1353894335201357826</v>
      </c>
      <c r="F142" s="11" t="s">
        <v>1624</v>
      </c>
      <c r="G142" s="12"/>
      <c r="H142" s="12"/>
      <c r="I142" s="13">
        <v>0.0</v>
      </c>
      <c r="J142" s="13">
        <v>0.0</v>
      </c>
      <c r="K142" s="9" t="str">
        <f>HYPERLINK("http://twitter.com/download/iphone","Twitter for iPhone")</f>
        <v>Twitter for iPhone</v>
      </c>
      <c r="L142" s="14">
        <v>1355.0</v>
      </c>
      <c r="M142" s="14">
        <v>2264.0</v>
      </c>
      <c r="N142" s="14">
        <v>53.0</v>
      </c>
      <c r="O142" s="19"/>
      <c r="P142" s="16">
        <v>40058.66174768518</v>
      </c>
      <c r="Q142" s="10" t="s">
        <v>1625</v>
      </c>
      <c r="R142" s="10" t="s">
        <v>1626</v>
      </c>
      <c r="S142" s="12"/>
      <c r="T142" s="12"/>
      <c r="U142" s="17" t="str">
        <f>HYPERLINK("https://pbs.twimg.com/profile_images/1089750369578692608/PubDPwm6.jpg","View")</f>
        <v>View</v>
      </c>
      <c r="V142" s="12"/>
      <c r="W142" s="12"/>
      <c r="X142" s="12"/>
      <c r="Y142" s="12"/>
      <c r="Z142" s="12"/>
    </row>
    <row r="143">
      <c r="A143" s="8">
        <v>44221.84266203704</v>
      </c>
      <c r="B143" s="9" t="str">
        <f>HYPERLINK("https://twitter.com/DorhenyCayetano","@DorhenyCayetano")</f>
        <v>@DorhenyCayetano</v>
      </c>
      <c r="C143" s="10" t="s">
        <v>1627</v>
      </c>
      <c r="D143" s="10" t="s">
        <v>1628</v>
      </c>
      <c r="E143" s="9" t="str">
        <f>HYPERLINK("https://twitter.com/DorhenyCayetano/status/1353888748094816256","1353888748094816256")</f>
        <v>1353888748094816256</v>
      </c>
      <c r="F143" s="11" t="s">
        <v>1629</v>
      </c>
      <c r="G143" s="12"/>
      <c r="H143" s="12"/>
      <c r="I143" s="13">
        <v>2.0</v>
      </c>
      <c r="J143" s="13">
        <v>8.0</v>
      </c>
      <c r="K143" s="9" t="str">
        <f t="shared" ref="K143:K146" si="35">HYPERLINK("http://twitter.com/download/android","Twitter for Android")</f>
        <v>Twitter for Android</v>
      </c>
      <c r="L143" s="14">
        <v>5614.0</v>
      </c>
      <c r="M143" s="14">
        <v>488.0</v>
      </c>
      <c r="N143" s="14">
        <v>30.0</v>
      </c>
      <c r="O143" s="15" t="s">
        <v>24</v>
      </c>
      <c r="P143" s="16">
        <v>40183.79219907407</v>
      </c>
      <c r="Q143" s="10" t="s">
        <v>1630</v>
      </c>
      <c r="R143" s="10" t="s">
        <v>1631</v>
      </c>
      <c r="S143" s="11" t="s">
        <v>1632</v>
      </c>
      <c r="T143" s="12"/>
      <c r="U143" s="17" t="str">
        <f>HYPERLINK("https://pbs.twimg.com/profile_images/913628663110713344/hW4Q4gxn.jpg","View")</f>
        <v>View</v>
      </c>
      <c r="V143" s="12"/>
      <c r="W143" s="12"/>
      <c r="X143" s="12"/>
      <c r="Y143" s="12"/>
      <c r="Z143" s="12"/>
    </row>
    <row r="144">
      <c r="A144" s="8">
        <v>44221.839837962965</v>
      </c>
      <c r="B144" s="9" t="str">
        <f>HYPERLINK("https://twitter.com/valentin_lopez","@valentin_lopez")</f>
        <v>@valentin_lopez</v>
      </c>
      <c r="C144" s="10" t="s">
        <v>1633</v>
      </c>
      <c r="D144" s="10" t="s">
        <v>1634</v>
      </c>
      <c r="E144" s="9" t="str">
        <f>HYPERLINK("https://twitter.com/valentin_lopez/status/1353887724315553792","1353887724315553792")</f>
        <v>1353887724315553792</v>
      </c>
      <c r="F144" s="12"/>
      <c r="G144" s="11" t="s">
        <v>1635</v>
      </c>
      <c r="H144" s="12"/>
      <c r="I144" s="13">
        <v>0.0</v>
      </c>
      <c r="J144" s="13">
        <v>0.0</v>
      </c>
      <c r="K144" s="9" t="str">
        <f t="shared" si="35"/>
        <v>Twitter for Android</v>
      </c>
      <c r="L144" s="14">
        <v>8507.0</v>
      </c>
      <c r="M144" s="14">
        <v>8746.0</v>
      </c>
      <c r="N144" s="14">
        <v>11.0</v>
      </c>
      <c r="O144" s="19"/>
      <c r="P144" s="16">
        <v>40395.79634259259</v>
      </c>
      <c r="Q144" s="10" t="s">
        <v>1636</v>
      </c>
      <c r="R144" s="10" t="s">
        <v>1637</v>
      </c>
      <c r="S144" s="12"/>
      <c r="T144" s="12"/>
      <c r="U144" s="17" t="str">
        <f>HYPERLINK("https://pbs.twimg.com/profile_images/1351960138538737667/JpVfdWkO.jpg","View")</f>
        <v>View</v>
      </c>
      <c r="V144" s="12"/>
      <c r="W144" s="12"/>
      <c r="X144" s="12"/>
      <c r="Y144" s="12"/>
      <c r="Z144" s="12"/>
    </row>
    <row r="145">
      <c r="A145" s="8">
        <v>44221.83863425926</v>
      </c>
      <c r="B145" s="9" t="str">
        <f>HYPERLINK("https://twitter.com/Bananon8","@Bananon8")</f>
        <v>@Bananon8</v>
      </c>
      <c r="C145" s="10" t="s">
        <v>1638</v>
      </c>
      <c r="D145" s="10" t="s">
        <v>1639</v>
      </c>
      <c r="E145" s="9" t="str">
        <f>HYPERLINK("https://twitter.com/Bananon8/status/1353887290096017411","1353887290096017411")</f>
        <v>1353887290096017411</v>
      </c>
      <c r="F145" s="12"/>
      <c r="G145" s="12"/>
      <c r="H145" s="12"/>
      <c r="I145" s="13">
        <v>1.0</v>
      </c>
      <c r="J145" s="13">
        <v>3.0</v>
      </c>
      <c r="K145" s="9" t="str">
        <f t="shared" si="35"/>
        <v>Twitter for Android</v>
      </c>
      <c r="L145" s="14">
        <v>562.0</v>
      </c>
      <c r="M145" s="14">
        <v>773.0</v>
      </c>
      <c r="N145" s="14">
        <v>2.0</v>
      </c>
      <c r="O145" s="19"/>
      <c r="P145" s="16">
        <v>43822.75237268519</v>
      </c>
      <c r="Q145" s="12"/>
      <c r="R145" s="12"/>
      <c r="S145" s="12"/>
      <c r="T145" s="12"/>
      <c r="U145" s="17" t="str">
        <f>HYPERLINK("https://pbs.twimg.com/profile_images/1348812753033687040/SiHx0HMB.jpg","View")</f>
        <v>View</v>
      </c>
      <c r="V145" s="12"/>
      <c r="W145" s="12"/>
      <c r="X145" s="12"/>
      <c r="Y145" s="12"/>
      <c r="Z145" s="12"/>
    </row>
    <row r="146">
      <c r="A146" s="8">
        <v>44221.82822916667</v>
      </c>
      <c r="B146" s="9" t="str">
        <f>HYPERLINK("https://twitter.com/Fucken_Trinidad","@Fucken_Trinidad")</f>
        <v>@Fucken_Trinidad</v>
      </c>
      <c r="C146" s="10" t="s">
        <v>1640</v>
      </c>
      <c r="D146" s="10" t="s">
        <v>1641</v>
      </c>
      <c r="E146" s="9" t="str">
        <f>HYPERLINK("https://twitter.com/Fucken_Trinidad/status/1353883518426886144","1353883518426886144")</f>
        <v>1353883518426886144</v>
      </c>
      <c r="F146" s="10" t="s">
        <v>1642</v>
      </c>
      <c r="G146" s="11" t="s">
        <v>1643</v>
      </c>
      <c r="H146" s="12"/>
      <c r="I146" s="13">
        <v>0.0</v>
      </c>
      <c r="J146" s="13">
        <v>0.0</v>
      </c>
      <c r="K146" s="9" t="str">
        <f t="shared" si="35"/>
        <v>Twitter for Android</v>
      </c>
      <c r="L146" s="14">
        <v>455.0</v>
      </c>
      <c r="M146" s="14">
        <v>361.0</v>
      </c>
      <c r="N146" s="14">
        <v>0.0</v>
      </c>
      <c r="O146" s="19"/>
      <c r="P146" s="16">
        <v>41497.54277777778</v>
      </c>
      <c r="Q146" s="10" t="s">
        <v>1644</v>
      </c>
      <c r="R146" s="10" t="s">
        <v>1645</v>
      </c>
      <c r="S146" s="12"/>
      <c r="T146" s="12"/>
      <c r="U146" s="17" t="str">
        <f>HYPERLINK("https://pbs.twimg.com/profile_images/1352785692221448197/4-agJmQA.jpg","View")</f>
        <v>View</v>
      </c>
      <c r="V146" s="12"/>
      <c r="W146" s="12"/>
      <c r="X146" s="12"/>
      <c r="Y146" s="12"/>
      <c r="Z146" s="12"/>
    </row>
    <row r="147">
      <c r="A147" s="8">
        <v>44221.81408564815</v>
      </c>
      <c r="B147" s="9" t="str">
        <f>HYPERLINK("https://twitter.com/ricardotiradojr","@ricardotiradojr")</f>
        <v>@ricardotiradojr</v>
      </c>
      <c r="C147" s="10" t="s">
        <v>1646</v>
      </c>
      <c r="D147" s="10" t="s">
        <v>1647</v>
      </c>
      <c r="E147" s="9" t="str">
        <f>HYPERLINK("https://twitter.com/ricardotiradojr/status/1353878391934611456","1353878391934611456")</f>
        <v>1353878391934611456</v>
      </c>
      <c r="F147" s="11" t="s">
        <v>1648</v>
      </c>
      <c r="G147" s="12"/>
      <c r="H147" s="12"/>
      <c r="I147" s="13">
        <v>0.0</v>
      </c>
      <c r="J147" s="13">
        <v>0.0</v>
      </c>
      <c r="K147" s="9" t="str">
        <f>HYPERLINK("http://twitter.com/download/iphone","Twitter for iPhone")</f>
        <v>Twitter for iPhone</v>
      </c>
      <c r="L147" s="14">
        <v>556.0</v>
      </c>
      <c r="M147" s="14">
        <v>254.0</v>
      </c>
      <c r="N147" s="14">
        <v>0.0</v>
      </c>
      <c r="O147" s="19"/>
      <c r="P147" s="16">
        <v>42912.696331018524</v>
      </c>
      <c r="Q147" s="10" t="s">
        <v>1649</v>
      </c>
      <c r="R147" s="10" t="s">
        <v>1650</v>
      </c>
      <c r="S147" s="12"/>
      <c r="T147" s="12"/>
      <c r="U147" s="17" t="str">
        <f>HYPERLINK("https://pbs.twimg.com/profile_images/1348520107547512832/e9UxX5AH.jpg","View")</f>
        <v>View</v>
      </c>
      <c r="V147" s="12"/>
      <c r="W147" s="12"/>
      <c r="X147" s="12"/>
      <c r="Y147" s="12"/>
      <c r="Z147" s="12"/>
    </row>
    <row r="148">
      <c r="A148" s="8">
        <v>44221.81024305556</v>
      </c>
      <c r="B148" s="9" t="str">
        <f t="shared" ref="B148:B149" si="36">HYPERLINK("https://twitter.com/Rigoleirus","@Rigoleirus")</f>
        <v>@Rigoleirus</v>
      </c>
      <c r="C148" s="10" t="s">
        <v>1651</v>
      </c>
      <c r="D148" s="10" t="s">
        <v>1652</v>
      </c>
      <c r="E148" s="9" t="str">
        <f>HYPERLINK("https://twitter.com/Rigoleirus/status/1353876999266308096","1353876999266308096")</f>
        <v>1353876999266308096</v>
      </c>
      <c r="F148" s="10" t="s">
        <v>1653</v>
      </c>
      <c r="G148" s="11" t="s">
        <v>1654</v>
      </c>
      <c r="H148" s="12"/>
      <c r="I148" s="13">
        <v>0.0</v>
      </c>
      <c r="J148" s="13">
        <v>0.0</v>
      </c>
      <c r="K148" s="9" t="str">
        <f t="shared" ref="K148:K150" si="37">HYPERLINK("http://twitter.com/download/android","Twitter for Android")</f>
        <v>Twitter for Android</v>
      </c>
      <c r="L148" s="14">
        <v>129.0</v>
      </c>
      <c r="M148" s="14">
        <v>330.0</v>
      </c>
      <c r="N148" s="14">
        <v>0.0</v>
      </c>
      <c r="O148" s="19"/>
      <c r="P148" s="16">
        <v>42628.45572916667</v>
      </c>
      <c r="Q148" s="10" t="s">
        <v>325</v>
      </c>
      <c r="R148" s="10" t="s">
        <v>1655</v>
      </c>
      <c r="S148" s="12"/>
      <c r="T148" s="12"/>
      <c r="U148" s="17" t="str">
        <f t="shared" ref="U148:U149" si="38">HYPERLINK("https://pbs.twimg.com/profile_images/1340056656852467713/MqrN7zpY.jpg","View")</f>
        <v>View</v>
      </c>
      <c r="V148" s="12"/>
      <c r="W148" s="12"/>
      <c r="X148" s="12"/>
      <c r="Y148" s="12"/>
      <c r="Z148" s="12"/>
    </row>
    <row r="149">
      <c r="A149" s="8">
        <v>44221.80688657408</v>
      </c>
      <c r="B149" s="9" t="str">
        <f t="shared" si="36"/>
        <v>@Rigoleirus</v>
      </c>
      <c r="C149" s="10" t="s">
        <v>1651</v>
      </c>
      <c r="D149" s="10" t="s">
        <v>1656</v>
      </c>
      <c r="E149" s="9" t="str">
        <f>HYPERLINK("https://twitter.com/Rigoleirus/status/1353875783819948033","1353875783819948033")</f>
        <v>1353875783819948033</v>
      </c>
      <c r="F149" s="11" t="s">
        <v>1657</v>
      </c>
      <c r="G149" s="11" t="s">
        <v>1658</v>
      </c>
      <c r="H149" s="12"/>
      <c r="I149" s="13">
        <v>0.0</v>
      </c>
      <c r="J149" s="13">
        <v>1.0</v>
      </c>
      <c r="K149" s="9" t="str">
        <f t="shared" si="37"/>
        <v>Twitter for Android</v>
      </c>
      <c r="L149" s="14">
        <v>129.0</v>
      </c>
      <c r="M149" s="14">
        <v>330.0</v>
      </c>
      <c r="N149" s="14">
        <v>0.0</v>
      </c>
      <c r="O149" s="19"/>
      <c r="P149" s="16">
        <v>42628.45572916667</v>
      </c>
      <c r="Q149" s="10" t="s">
        <v>325</v>
      </c>
      <c r="R149" s="10" t="s">
        <v>1655</v>
      </c>
      <c r="S149" s="12"/>
      <c r="T149" s="12"/>
      <c r="U149" s="17" t="str">
        <f t="shared" si="38"/>
        <v>View</v>
      </c>
      <c r="V149" s="12"/>
      <c r="W149" s="12"/>
      <c r="X149" s="12"/>
      <c r="Y149" s="12"/>
      <c r="Z149" s="12"/>
    </row>
    <row r="150">
      <c r="A150" s="8">
        <v>44221.80674768519</v>
      </c>
      <c r="B150" s="9" t="str">
        <f>HYPERLINK("https://twitter.com/RickFlrs","@RickFlrs")</f>
        <v>@RickFlrs</v>
      </c>
      <c r="C150" s="10" t="s">
        <v>1659</v>
      </c>
      <c r="D150" s="10" t="s">
        <v>1660</v>
      </c>
      <c r="E150" s="9" t="str">
        <f>HYPERLINK("https://twitter.com/RickFlrs/status/1353875736168443905","1353875736168443905")</f>
        <v>1353875736168443905</v>
      </c>
      <c r="F150" s="12"/>
      <c r="G150" s="11" t="s">
        <v>1661</v>
      </c>
      <c r="H150" s="12"/>
      <c r="I150" s="13">
        <v>3.0</v>
      </c>
      <c r="J150" s="13">
        <v>4.0</v>
      </c>
      <c r="K150" s="9" t="str">
        <f t="shared" si="37"/>
        <v>Twitter for Android</v>
      </c>
      <c r="L150" s="14">
        <v>240.0</v>
      </c>
      <c r="M150" s="14">
        <v>567.0</v>
      </c>
      <c r="N150" s="14">
        <v>7.0</v>
      </c>
      <c r="O150" s="19"/>
      <c r="P150" s="16">
        <v>40220.963113425925</v>
      </c>
      <c r="Q150" s="10" t="s">
        <v>1662</v>
      </c>
      <c r="R150" s="10" t="s">
        <v>1663</v>
      </c>
      <c r="S150" s="12"/>
      <c r="T150" s="12"/>
      <c r="U150" s="17" t="str">
        <f>HYPERLINK("https://pbs.twimg.com/profile_images/1350178700084576257/z0732HaC.jpg","View")</f>
        <v>View</v>
      </c>
      <c r="V150" s="12"/>
      <c r="W150" s="12"/>
      <c r="X150" s="12"/>
      <c r="Y150" s="12"/>
      <c r="Z150" s="12"/>
    </row>
    <row r="151">
      <c r="A151" s="8">
        <v>44221.805393518516</v>
      </c>
      <c r="B151" s="9" t="str">
        <f>HYPERLINK("https://twitter.com/pepepintos","@pepepintos")</f>
        <v>@pepepintos</v>
      </c>
      <c r="C151" s="10" t="s">
        <v>1288</v>
      </c>
      <c r="D151" s="10" t="s">
        <v>1664</v>
      </c>
      <c r="E151" s="9" t="str">
        <f>HYPERLINK("https://twitter.com/pepepintos/status/1353875242561794051","1353875242561794051")</f>
        <v>1353875242561794051</v>
      </c>
      <c r="F151" s="12"/>
      <c r="G151" s="11" t="s">
        <v>1665</v>
      </c>
      <c r="H151" s="12"/>
      <c r="I151" s="13">
        <v>0.0</v>
      </c>
      <c r="J151" s="13">
        <v>0.0</v>
      </c>
      <c r="K151" s="9" t="str">
        <f t="shared" ref="K151:K152" si="39">HYPERLINK("http://twitter.com/download/iphone","Twitter for iPhone")</f>
        <v>Twitter for iPhone</v>
      </c>
      <c r="L151" s="14">
        <v>1439.0</v>
      </c>
      <c r="M151" s="14">
        <v>1272.0</v>
      </c>
      <c r="N151" s="14">
        <v>18.0</v>
      </c>
      <c r="O151" s="19"/>
      <c r="P151" s="16">
        <v>40056.96716435185</v>
      </c>
      <c r="Q151" s="12"/>
      <c r="R151" s="10" t="s">
        <v>1292</v>
      </c>
      <c r="S151" s="11" t="s">
        <v>1293</v>
      </c>
      <c r="T151" s="12"/>
      <c r="U151" s="17" t="str">
        <f>HYPERLINK("https://pbs.twimg.com/profile_images/1100636170730393600/6l87F9DX.jpg","View")</f>
        <v>View</v>
      </c>
      <c r="V151" s="12"/>
      <c r="W151" s="12"/>
      <c r="X151" s="12"/>
      <c r="Y151" s="12"/>
      <c r="Z151" s="12"/>
    </row>
    <row r="152">
      <c r="A152" s="8">
        <v>44221.79956018519</v>
      </c>
      <c r="B152" s="9" t="str">
        <f>HYPERLINK("https://twitter.com/Dorray01","@Dorray01")</f>
        <v>@Dorray01</v>
      </c>
      <c r="C152" s="10" t="s">
        <v>1666</v>
      </c>
      <c r="D152" s="10" t="s">
        <v>1667</v>
      </c>
      <c r="E152" s="9" t="str">
        <f>HYPERLINK("https://twitter.com/Dorray01/status/1353873129022480384","1353873129022480384")</f>
        <v>1353873129022480384</v>
      </c>
      <c r="F152" s="10" t="s">
        <v>1668</v>
      </c>
      <c r="G152" s="11" t="s">
        <v>1669</v>
      </c>
      <c r="H152" s="12"/>
      <c r="I152" s="13">
        <v>0.0</v>
      </c>
      <c r="J152" s="13">
        <v>0.0</v>
      </c>
      <c r="K152" s="9" t="str">
        <f t="shared" si="39"/>
        <v>Twitter for iPhone</v>
      </c>
      <c r="L152" s="14">
        <v>77.0</v>
      </c>
      <c r="M152" s="14">
        <v>531.0</v>
      </c>
      <c r="N152" s="14">
        <v>1.0</v>
      </c>
      <c r="O152" s="19"/>
      <c r="P152" s="16">
        <v>40246.03252314815</v>
      </c>
      <c r="Q152" s="10" t="s">
        <v>1670</v>
      </c>
      <c r="R152" s="10" t="s">
        <v>1671</v>
      </c>
      <c r="S152" s="11" t="s">
        <v>1672</v>
      </c>
      <c r="T152" s="12"/>
      <c r="U152" s="17" t="str">
        <f>HYPERLINK("https://pbs.twimg.com/profile_images/1250466566707138560/vlwWMi9g.jpg","View")</f>
        <v>View</v>
      </c>
      <c r="V152" s="12"/>
      <c r="W152" s="12"/>
      <c r="X152" s="12"/>
      <c r="Y152" s="12"/>
      <c r="Z152" s="12"/>
    </row>
    <row r="153">
      <c r="A153" s="8">
        <v>44221.79949074074</v>
      </c>
      <c r="B153" s="9" t="str">
        <f>HYPERLINK("https://twitter.com/CortsMezaMartn1","@CortsMezaMartn1")</f>
        <v>@CortsMezaMartn1</v>
      </c>
      <c r="C153" s="10" t="s">
        <v>1673</v>
      </c>
      <c r="D153" s="10" t="s">
        <v>1674</v>
      </c>
      <c r="E153" s="9" t="str">
        <f>HYPERLINK("https://twitter.com/CortsMezaMartn1/status/1353873104695652355","1353873104695652355")</f>
        <v>1353873104695652355</v>
      </c>
      <c r="F153" s="12"/>
      <c r="G153" s="12"/>
      <c r="H153" s="12"/>
      <c r="I153" s="13">
        <v>0.0</v>
      </c>
      <c r="J153" s="13">
        <v>2.0</v>
      </c>
      <c r="K153" s="9" t="str">
        <f>HYPERLINK("http://twitter.com/download/android","Twitter for Android")</f>
        <v>Twitter for Android</v>
      </c>
      <c r="L153" s="14">
        <v>5.0</v>
      </c>
      <c r="M153" s="14">
        <v>19.0</v>
      </c>
      <c r="N153" s="14">
        <v>0.0</v>
      </c>
      <c r="O153" s="19"/>
      <c r="P153" s="16">
        <v>44004.564247685186</v>
      </c>
      <c r="Q153" s="12"/>
      <c r="R153" s="10" t="s">
        <v>1675</v>
      </c>
      <c r="S153" s="12"/>
      <c r="T153" s="12"/>
      <c r="U153" s="17" t="str">
        <f>HYPERLINK("https://pbs.twimg.com/profile_images/1329570132759355392/zMqmUhG8.jpg","View")</f>
        <v>View</v>
      </c>
      <c r="V153" s="12"/>
      <c r="W153" s="12"/>
      <c r="X153" s="12"/>
      <c r="Y153" s="12"/>
      <c r="Z153" s="12"/>
    </row>
    <row r="154">
      <c r="A154" s="8">
        <v>44221.79685185185</v>
      </c>
      <c r="B154" s="9" t="str">
        <f>HYPERLINK("https://twitter.com/tia_netas","@tia_netas")</f>
        <v>@tia_netas</v>
      </c>
      <c r="C154" s="10" t="s">
        <v>1676</v>
      </c>
      <c r="D154" s="10" t="s">
        <v>1677</v>
      </c>
      <c r="E154" s="9" t="str">
        <f>HYPERLINK("https://twitter.com/tia_netas/status/1353872149493260288","1353872149493260288")</f>
        <v>1353872149493260288</v>
      </c>
      <c r="F154" s="12"/>
      <c r="G154" s="12"/>
      <c r="H154" s="12"/>
      <c r="I154" s="13">
        <v>27.0</v>
      </c>
      <c r="J154" s="13">
        <v>72.0</v>
      </c>
      <c r="K154" s="9" t="str">
        <f>HYPERLINK("http://twitter.com/download/iphone","Twitter for iPhone")</f>
        <v>Twitter for iPhone</v>
      </c>
      <c r="L154" s="14">
        <v>3255.0</v>
      </c>
      <c r="M154" s="14">
        <v>3472.0</v>
      </c>
      <c r="N154" s="14">
        <v>0.0</v>
      </c>
      <c r="O154" s="19"/>
      <c r="P154" s="16">
        <v>43888.78770833333</v>
      </c>
      <c r="Q154" s="10" t="s">
        <v>1155</v>
      </c>
      <c r="R154" s="10" t="s">
        <v>1678</v>
      </c>
      <c r="S154" s="12"/>
      <c r="T154" s="12"/>
      <c r="U154" s="17" t="str">
        <f>HYPERLINK("https://pbs.twimg.com/profile_images/1234555008735010818/tY2ol0xc.jpg","View")</f>
        <v>View</v>
      </c>
      <c r="V154" s="12"/>
      <c r="W154" s="12"/>
      <c r="X154" s="12"/>
      <c r="Y154" s="12"/>
      <c r="Z154" s="12"/>
    </row>
    <row r="155">
      <c r="A155" s="8">
        <v>44221.78013888889</v>
      </c>
      <c r="B155" s="9" t="str">
        <f>HYPERLINK("https://twitter.com/IAmTheYuki","@IAmTheYuki")</f>
        <v>@IAmTheYuki</v>
      </c>
      <c r="C155" s="10" t="s">
        <v>1679</v>
      </c>
      <c r="D155" s="10" t="s">
        <v>1680</v>
      </c>
      <c r="E155" s="9" t="str">
        <f>HYPERLINK("https://twitter.com/IAmTheYuki/status/1353866091366215680","1353866091366215680")</f>
        <v>1353866091366215680</v>
      </c>
      <c r="F155" s="12"/>
      <c r="G155" s="12"/>
      <c r="H155" s="12"/>
      <c r="I155" s="13">
        <v>0.0</v>
      </c>
      <c r="J155" s="13">
        <v>0.0</v>
      </c>
      <c r="K155" s="9" t="str">
        <f t="shared" ref="K155:K156" si="40">HYPERLINK("https://mobile.twitter.com","Twitter Web App")</f>
        <v>Twitter Web App</v>
      </c>
      <c r="L155" s="14">
        <v>42.0</v>
      </c>
      <c r="M155" s="14">
        <v>154.0</v>
      </c>
      <c r="N155" s="14">
        <v>0.0</v>
      </c>
      <c r="O155" s="19"/>
      <c r="P155" s="16">
        <v>40240.00283564815</v>
      </c>
      <c r="Q155" s="10" t="s">
        <v>325</v>
      </c>
      <c r="R155" s="12"/>
      <c r="S155" s="12"/>
      <c r="T155" s="12"/>
      <c r="U155" s="17" t="str">
        <f>HYPERLINK("https://pbs.twimg.com/profile_images/1231722925310349312/r5hTFtiG.jpg","View")</f>
        <v>View</v>
      </c>
      <c r="V155" s="12"/>
      <c r="W155" s="12"/>
      <c r="X155" s="12"/>
      <c r="Y155" s="12"/>
      <c r="Z155" s="12"/>
    </row>
    <row r="156">
      <c r="A156" s="8">
        <v>44221.77777777778</v>
      </c>
      <c r="B156" s="9" t="str">
        <f>HYPERLINK("https://twitter.com/sdpnoticias","@sdpnoticias")</f>
        <v>@sdpnoticias</v>
      </c>
      <c r="C156" s="10" t="s">
        <v>1681</v>
      </c>
      <c r="D156" s="10" t="s">
        <v>1682</v>
      </c>
      <c r="E156" s="9" t="str">
        <f>HYPERLINK("https://twitter.com/sdpnoticias/status/1353865234809823232","1353865234809823232")</f>
        <v>1353865234809823232</v>
      </c>
      <c r="F156" s="11" t="s">
        <v>1683</v>
      </c>
      <c r="G156" s="12"/>
      <c r="H156" s="12"/>
      <c r="I156" s="13">
        <v>6.0</v>
      </c>
      <c r="J156" s="13">
        <v>9.0</v>
      </c>
      <c r="K156" s="9" t="str">
        <f t="shared" si="40"/>
        <v>Twitter Web App</v>
      </c>
      <c r="L156" s="14">
        <v>372943.0</v>
      </c>
      <c r="M156" s="14">
        <v>3962.0</v>
      </c>
      <c r="N156" s="14">
        <v>2881.0</v>
      </c>
      <c r="O156" s="15" t="s">
        <v>24</v>
      </c>
      <c r="P156" s="16">
        <v>39919.44689814815</v>
      </c>
      <c r="Q156" s="10" t="s">
        <v>1093</v>
      </c>
      <c r="R156" s="10" t="s">
        <v>1684</v>
      </c>
      <c r="S156" s="11" t="s">
        <v>1685</v>
      </c>
      <c r="T156" s="12"/>
      <c r="U156" s="17" t="str">
        <f>HYPERLINK("https://pbs.twimg.com/profile_images/1145729043062546432/tOcmWwP8.png","View")</f>
        <v>View</v>
      </c>
      <c r="V156" s="12"/>
      <c r="W156" s="12"/>
      <c r="X156" s="12"/>
      <c r="Y156" s="12"/>
      <c r="Z156" s="12"/>
    </row>
    <row r="157">
      <c r="A157" s="8">
        <v>44221.77428240741</v>
      </c>
      <c r="B157" s="9" t="str">
        <f>HYPERLINK("https://twitter.com/mjcastillejos","@mjcastillejos")</f>
        <v>@mjcastillejos</v>
      </c>
      <c r="C157" s="10" t="s">
        <v>1686</v>
      </c>
      <c r="D157" s="10" t="s">
        <v>1687</v>
      </c>
      <c r="E157" s="9" t="str">
        <f>HYPERLINK("https://twitter.com/mjcastillejos/status/1353863967823843328","1353863967823843328")</f>
        <v>1353863967823843328</v>
      </c>
      <c r="F157" s="11" t="s">
        <v>1688</v>
      </c>
      <c r="G157" s="12"/>
      <c r="H157" s="12"/>
      <c r="I157" s="13">
        <v>2.0</v>
      </c>
      <c r="J157" s="13">
        <v>1.0</v>
      </c>
      <c r="K157" s="9" t="str">
        <f>HYPERLINK("http://twitter.com/download/iphone","Twitter for iPhone")</f>
        <v>Twitter for iPhone</v>
      </c>
      <c r="L157" s="14">
        <v>4613.0</v>
      </c>
      <c r="M157" s="14">
        <v>4826.0</v>
      </c>
      <c r="N157" s="14">
        <v>9.0</v>
      </c>
      <c r="O157" s="19"/>
      <c r="P157" s="16">
        <v>40906.9578125</v>
      </c>
      <c r="Q157" s="10" t="s">
        <v>1689</v>
      </c>
      <c r="R157" s="10" t="s">
        <v>1690</v>
      </c>
      <c r="S157" s="12"/>
      <c r="T157" s="12"/>
      <c r="U157" s="17" t="str">
        <f>HYPERLINK("https://pbs.twimg.com/profile_images/1239431052730474497/wVE--nOt.jpg","View")</f>
        <v>View</v>
      </c>
      <c r="V157" s="12"/>
      <c r="W157" s="12"/>
      <c r="X157" s="12"/>
      <c r="Y157" s="12"/>
      <c r="Z157" s="12"/>
    </row>
    <row r="158">
      <c r="A158" s="8">
        <v>44221.75896990741</v>
      </c>
      <c r="B158" s="9" t="str">
        <f>HYPERLINK("https://twitter.com/LAURENZOLI","@LAURENZOLI")</f>
        <v>@LAURENZOLI</v>
      </c>
      <c r="C158" s="10" t="s">
        <v>1691</v>
      </c>
      <c r="D158" s="10" t="s">
        <v>1692</v>
      </c>
      <c r="E158" s="9" t="str">
        <f>HYPERLINK("https://twitter.com/LAURENZOLI/status/1353858421699866624","1353858421699866624")</f>
        <v>1353858421699866624</v>
      </c>
      <c r="F158" s="12"/>
      <c r="G158" s="11" t="s">
        <v>1693</v>
      </c>
      <c r="H158" s="12"/>
      <c r="I158" s="13">
        <v>1.0</v>
      </c>
      <c r="J158" s="13">
        <v>3.0</v>
      </c>
      <c r="K158" s="9" t="str">
        <f t="shared" ref="K158:K159" si="41">HYPERLINK("http://twitter.com/download/android","Twitter for Android")</f>
        <v>Twitter for Android</v>
      </c>
      <c r="L158" s="14">
        <v>1315.0</v>
      </c>
      <c r="M158" s="14">
        <v>3452.0</v>
      </c>
      <c r="N158" s="14">
        <v>0.0</v>
      </c>
      <c r="O158" s="19"/>
      <c r="P158" s="16">
        <v>41056.549039351856</v>
      </c>
      <c r="Q158" s="10" t="s">
        <v>325</v>
      </c>
      <c r="R158" s="10" t="s">
        <v>1694</v>
      </c>
      <c r="S158" s="12"/>
      <c r="T158" s="12"/>
      <c r="U158" s="17" t="str">
        <f>HYPERLINK("https://pbs.twimg.com/profile_images/1351012663883653122/87MDrN_5.jpg","View")</f>
        <v>View</v>
      </c>
      <c r="V158" s="12"/>
      <c r="W158" s="12"/>
      <c r="X158" s="12"/>
      <c r="Y158" s="12"/>
      <c r="Z158" s="12"/>
    </row>
    <row r="159">
      <c r="A159" s="8">
        <v>44221.74056712963</v>
      </c>
      <c r="B159" s="9" t="str">
        <f>HYPERLINK("https://twitter.com/LaManoqueMueve1","@LaManoqueMueve1")</f>
        <v>@LaManoqueMueve1</v>
      </c>
      <c r="C159" s="10" t="s">
        <v>1695</v>
      </c>
      <c r="D159" s="10" t="s">
        <v>1696</v>
      </c>
      <c r="E159" s="9" t="str">
        <f>HYPERLINK("https://twitter.com/LaManoqueMueve1/status/1353851750504132608","1353851750504132608")</f>
        <v>1353851750504132608</v>
      </c>
      <c r="F159" s="12"/>
      <c r="G159" s="11" t="s">
        <v>1697</v>
      </c>
      <c r="H159" s="12"/>
      <c r="I159" s="13">
        <v>0.0</v>
      </c>
      <c r="J159" s="13">
        <v>0.0</v>
      </c>
      <c r="K159" s="9" t="str">
        <f t="shared" si="41"/>
        <v>Twitter for Android</v>
      </c>
      <c r="L159" s="14">
        <v>420.0</v>
      </c>
      <c r="M159" s="14">
        <v>1277.0</v>
      </c>
      <c r="N159" s="14">
        <v>0.0</v>
      </c>
      <c r="O159" s="19"/>
      <c r="P159" s="16">
        <v>44099.932222222225</v>
      </c>
      <c r="Q159" s="12"/>
      <c r="R159" s="10" t="s">
        <v>1698</v>
      </c>
      <c r="S159" s="12"/>
      <c r="T159" s="12"/>
      <c r="U159" s="17" t="str">
        <f>HYPERLINK("https://pbs.twimg.com/profile_images/1309694919376883713/Lc4mR8xs.jpg","View")</f>
        <v>View</v>
      </c>
      <c r="V159" s="12"/>
      <c r="W159" s="12"/>
      <c r="X159" s="12"/>
      <c r="Y159" s="12"/>
      <c r="Z159" s="12"/>
    </row>
    <row r="160">
      <c r="A160" s="8">
        <v>44221.70408564815</v>
      </c>
      <c r="B160" s="9" t="str">
        <f>HYPERLINK("https://twitter.com/Veronicagro_","@Veronicagro_")</f>
        <v>@Veronicagro_</v>
      </c>
      <c r="C160" s="10" t="s">
        <v>1699</v>
      </c>
      <c r="D160" s="10" t="s">
        <v>1700</v>
      </c>
      <c r="E160" s="9" t="str">
        <f>HYPERLINK("https://twitter.com/Veronicagro_/status/1353838530691092485","1353838530691092485")</f>
        <v>1353838530691092485</v>
      </c>
      <c r="F160" s="12"/>
      <c r="G160" s="12"/>
      <c r="H160" s="12"/>
      <c r="I160" s="13">
        <v>0.0</v>
      </c>
      <c r="J160" s="13">
        <v>0.0</v>
      </c>
      <c r="K160" s="9" t="str">
        <f>HYPERLINK("http://twitter.com/download/iphone","Twitter for iPhone")</f>
        <v>Twitter for iPhone</v>
      </c>
      <c r="L160" s="14">
        <v>44.0</v>
      </c>
      <c r="M160" s="14">
        <v>53.0</v>
      </c>
      <c r="N160" s="14">
        <v>0.0</v>
      </c>
      <c r="O160" s="19"/>
      <c r="P160" s="16">
        <v>43883.56688657407</v>
      </c>
      <c r="Q160" s="10" t="s">
        <v>1701</v>
      </c>
      <c r="R160" s="12"/>
      <c r="S160" s="12"/>
      <c r="T160" s="12"/>
      <c r="U160" s="17" t="str">
        <f>HYPERLINK("https://pbs.twimg.com/profile_images/1353424716476760065/ZAMI2KKq.jpg","View")</f>
        <v>View</v>
      </c>
      <c r="V160" s="12"/>
      <c r="W160" s="12"/>
      <c r="X160" s="12"/>
      <c r="Y160" s="12"/>
      <c r="Z160" s="12"/>
    </row>
    <row r="161">
      <c r="A161" s="8">
        <v>44221.69354166667</v>
      </c>
      <c r="B161" s="9" t="str">
        <f>HYPERLINK("https://twitter.com/mascarakatin","@mascarakatin")</f>
        <v>@mascarakatin</v>
      </c>
      <c r="C161" s="10" t="s">
        <v>1702</v>
      </c>
      <c r="D161" s="10" t="s">
        <v>1703</v>
      </c>
      <c r="E161" s="9" t="str">
        <f>HYPERLINK("https://twitter.com/mascarakatin/status/1353834707755130883","1353834707755130883")</f>
        <v>1353834707755130883</v>
      </c>
      <c r="F161" s="11" t="s">
        <v>1704</v>
      </c>
      <c r="G161" s="12"/>
      <c r="H161" s="12"/>
      <c r="I161" s="13">
        <v>0.0</v>
      </c>
      <c r="J161" s="13">
        <v>0.0</v>
      </c>
      <c r="K161" s="9" t="str">
        <f t="shared" ref="K161:K163" si="42">HYPERLINK("http://twitter.com/download/android","Twitter for Android")</f>
        <v>Twitter for Android</v>
      </c>
      <c r="L161" s="14">
        <v>682.0</v>
      </c>
      <c r="M161" s="14">
        <v>841.0</v>
      </c>
      <c r="N161" s="14">
        <v>0.0</v>
      </c>
      <c r="O161" s="19"/>
      <c r="P161" s="16">
        <v>40525.87466435185</v>
      </c>
      <c r="Q161" s="10" t="s">
        <v>1705</v>
      </c>
      <c r="R161" s="10" t="s">
        <v>1706</v>
      </c>
      <c r="S161" s="12"/>
      <c r="T161" s="12"/>
      <c r="U161" s="17" t="str">
        <f>HYPERLINK("https://pbs.twimg.com/profile_images/1191082198251835399/wl3TxhYQ.jpg","View")</f>
        <v>View</v>
      </c>
      <c r="V161" s="12"/>
      <c r="W161" s="12"/>
      <c r="X161" s="12"/>
      <c r="Y161" s="12"/>
      <c r="Z161" s="12"/>
    </row>
    <row r="162">
      <c r="A162" s="8">
        <v>44221.68739583333</v>
      </c>
      <c r="B162" s="9" t="str">
        <f>HYPERLINK("https://twitter.com/ElCaradeHembra","@ElCaradeHembra")</f>
        <v>@ElCaradeHembra</v>
      </c>
      <c r="C162" s="10" t="s">
        <v>1707</v>
      </c>
      <c r="D162" s="10" t="s">
        <v>1708</v>
      </c>
      <c r="E162" s="9" t="str">
        <f>HYPERLINK("https://twitter.com/ElCaradeHembra/status/1353832483398283264","1353832483398283264")</f>
        <v>1353832483398283264</v>
      </c>
      <c r="F162" s="12"/>
      <c r="G162" s="11" t="s">
        <v>1709</v>
      </c>
      <c r="H162" s="12"/>
      <c r="I162" s="13">
        <v>1.0</v>
      </c>
      <c r="J162" s="13">
        <v>4.0</v>
      </c>
      <c r="K162" s="9" t="str">
        <f t="shared" si="42"/>
        <v>Twitter for Android</v>
      </c>
      <c r="L162" s="14">
        <v>264.0</v>
      </c>
      <c r="M162" s="14">
        <v>381.0</v>
      </c>
      <c r="N162" s="14">
        <v>1.0</v>
      </c>
      <c r="O162" s="19"/>
      <c r="P162" s="16">
        <v>41326.626655092594</v>
      </c>
      <c r="Q162" s="12"/>
      <c r="R162" s="10" t="s">
        <v>1710</v>
      </c>
      <c r="S162" s="12"/>
      <c r="T162" s="12"/>
      <c r="U162" s="17" t="str">
        <f>HYPERLINK("https://pbs.twimg.com/profile_images/1236017057826779137/mzq6DRSG.jpg","View")</f>
        <v>View</v>
      </c>
      <c r="V162" s="12"/>
      <c r="W162" s="12"/>
      <c r="X162" s="12"/>
      <c r="Y162" s="12"/>
      <c r="Z162" s="12"/>
    </row>
    <row r="163">
      <c r="A163" s="8">
        <v>44221.686747685184</v>
      </c>
      <c r="B163" s="9" t="str">
        <f>HYPERLINK("https://twitter.com/Alfanges","@Alfanges")</f>
        <v>@Alfanges</v>
      </c>
      <c r="C163" s="10" t="s">
        <v>1711</v>
      </c>
      <c r="D163" s="10" t="s">
        <v>1712</v>
      </c>
      <c r="E163" s="9" t="str">
        <f>HYPERLINK("https://twitter.com/Alfanges/status/1353832249024794625","1353832249024794625")</f>
        <v>1353832249024794625</v>
      </c>
      <c r="F163" s="12"/>
      <c r="G163" s="11" t="s">
        <v>1658</v>
      </c>
      <c r="H163" s="12"/>
      <c r="I163" s="13">
        <v>16.0</v>
      </c>
      <c r="J163" s="13">
        <v>33.0</v>
      </c>
      <c r="K163" s="9" t="str">
        <f t="shared" si="42"/>
        <v>Twitter for Android</v>
      </c>
      <c r="L163" s="14">
        <v>4790.0</v>
      </c>
      <c r="M163" s="14">
        <v>4813.0</v>
      </c>
      <c r="N163" s="14">
        <v>4.0</v>
      </c>
      <c r="O163" s="19"/>
      <c r="P163" s="16">
        <v>43691.48388888889</v>
      </c>
      <c r="Q163" s="10" t="s">
        <v>1713</v>
      </c>
      <c r="R163" s="10" t="s">
        <v>1714</v>
      </c>
      <c r="S163" s="12"/>
      <c r="T163" s="12"/>
      <c r="U163" s="17" t="str">
        <f>HYPERLINK("https://pbs.twimg.com/profile_images/1351759551821971458/thJBJL5U.jpg","View")</f>
        <v>View</v>
      </c>
      <c r="V163" s="12"/>
      <c r="W163" s="12"/>
      <c r="X163" s="12"/>
      <c r="Y163" s="12"/>
      <c r="Z163" s="12"/>
    </row>
    <row r="164">
      <c r="A164" s="8">
        <v>44221.68236111111</v>
      </c>
      <c r="B164" s="9" t="str">
        <f>HYPERLINK("https://twitter.com/pepepintos","@pepepintos")</f>
        <v>@pepepintos</v>
      </c>
      <c r="C164" s="10" t="s">
        <v>1288</v>
      </c>
      <c r="D164" s="10" t="s">
        <v>1715</v>
      </c>
      <c r="E164" s="9" t="str">
        <f>HYPERLINK("https://twitter.com/pepepintos/status/1353830656011366400","1353830656011366400")</f>
        <v>1353830656011366400</v>
      </c>
      <c r="F164" s="11" t="s">
        <v>1716</v>
      </c>
      <c r="G164" s="12"/>
      <c r="H164" s="12"/>
      <c r="I164" s="13">
        <v>0.0</v>
      </c>
      <c r="J164" s="13">
        <v>0.0</v>
      </c>
      <c r="K164" s="9" t="str">
        <f>HYPERLINK("http://twitter.com/download/iphone","Twitter for iPhone")</f>
        <v>Twitter for iPhone</v>
      </c>
      <c r="L164" s="14">
        <v>1439.0</v>
      </c>
      <c r="M164" s="14">
        <v>1272.0</v>
      </c>
      <c r="N164" s="14">
        <v>18.0</v>
      </c>
      <c r="O164" s="19"/>
      <c r="P164" s="16">
        <v>40056.96716435185</v>
      </c>
      <c r="Q164" s="12"/>
      <c r="R164" s="10" t="s">
        <v>1292</v>
      </c>
      <c r="S164" s="11" t="s">
        <v>1293</v>
      </c>
      <c r="T164" s="12"/>
      <c r="U164" s="17" t="str">
        <f>HYPERLINK("https://pbs.twimg.com/profile_images/1100636170730393600/6l87F9DX.jpg","View")</f>
        <v>View</v>
      </c>
      <c r="V164" s="12"/>
      <c r="W164" s="12"/>
      <c r="X164" s="12"/>
      <c r="Y164" s="12"/>
      <c r="Z164" s="12"/>
    </row>
    <row r="165">
      <c r="A165" s="8">
        <v>44221.676527777774</v>
      </c>
      <c r="B165" s="9" t="str">
        <f>HYPERLINK("https://twitter.com/ElLiderMx","@ElLiderMx")</f>
        <v>@ElLiderMx</v>
      </c>
      <c r="C165" s="10" t="s">
        <v>1717</v>
      </c>
      <c r="D165" s="10" t="s">
        <v>1718</v>
      </c>
      <c r="E165" s="9" t="str">
        <f>HYPERLINK("https://twitter.com/ElLiderMx/status/1353828545689219073","1353828545689219073")</f>
        <v>1353828545689219073</v>
      </c>
      <c r="F165" s="12"/>
      <c r="G165" s="11" t="s">
        <v>1719</v>
      </c>
      <c r="H165" s="12"/>
      <c r="I165" s="13">
        <v>0.0</v>
      </c>
      <c r="J165" s="13">
        <v>0.0</v>
      </c>
      <c r="K165" s="9" t="str">
        <f t="shared" ref="K165:K169" si="43">HYPERLINK("http://twitter.com/download/android","Twitter for Android")</f>
        <v>Twitter for Android</v>
      </c>
      <c r="L165" s="14">
        <v>36.0</v>
      </c>
      <c r="M165" s="14">
        <v>919.0</v>
      </c>
      <c r="N165" s="14">
        <v>0.0</v>
      </c>
      <c r="O165" s="19"/>
      <c r="P165" s="16">
        <v>43462.628159722226</v>
      </c>
      <c r="Q165" s="10" t="s">
        <v>1720</v>
      </c>
      <c r="R165" s="12"/>
      <c r="S165" s="12"/>
      <c r="T165" s="12"/>
      <c r="U165" s="17" t="str">
        <f>HYPERLINK("https://pbs.twimg.com/profile_images/1154379658902691840/65XhyUxe.jpg","View")</f>
        <v>View</v>
      </c>
      <c r="V165" s="12"/>
      <c r="W165" s="12"/>
      <c r="X165" s="12"/>
      <c r="Y165" s="12"/>
      <c r="Z165" s="12"/>
    </row>
    <row r="166">
      <c r="A166" s="8">
        <v>44221.643692129626</v>
      </c>
      <c r="B166" s="9" t="str">
        <f>HYPERLINK("https://twitter.com/LastSaintAround","@LastSaintAround")</f>
        <v>@LastSaintAround</v>
      </c>
      <c r="C166" s="10" t="s">
        <v>1721</v>
      </c>
      <c r="D166" s="10" t="s">
        <v>1722</v>
      </c>
      <c r="E166" s="9" t="str">
        <f>HYPERLINK("https://twitter.com/LastSaintAround/status/1353816644544434176","1353816644544434176")</f>
        <v>1353816644544434176</v>
      </c>
      <c r="F166" s="11" t="s">
        <v>1107</v>
      </c>
      <c r="G166" s="11" t="s">
        <v>1108</v>
      </c>
      <c r="H166" s="12"/>
      <c r="I166" s="13">
        <v>0.0</v>
      </c>
      <c r="J166" s="13">
        <v>0.0</v>
      </c>
      <c r="K166" s="9" t="str">
        <f t="shared" si="43"/>
        <v>Twitter for Android</v>
      </c>
      <c r="L166" s="14">
        <v>539.0</v>
      </c>
      <c r="M166" s="14">
        <v>520.0</v>
      </c>
      <c r="N166" s="14">
        <v>18.0</v>
      </c>
      <c r="O166" s="19"/>
      <c r="P166" s="16">
        <v>40698.38936342593</v>
      </c>
      <c r="Q166" s="10" t="s">
        <v>1723</v>
      </c>
      <c r="R166" s="10" t="s">
        <v>1724</v>
      </c>
      <c r="S166" s="11" t="s">
        <v>1725</v>
      </c>
      <c r="T166" s="12"/>
      <c r="U166" s="17" t="str">
        <f>HYPERLINK("https://pbs.twimg.com/profile_images/1348039419991707650/ZxhW4yjd.jpg","View")</f>
        <v>View</v>
      </c>
      <c r="V166" s="12"/>
      <c r="W166" s="12"/>
      <c r="X166" s="12"/>
      <c r="Y166" s="12"/>
      <c r="Z166" s="12"/>
    </row>
    <row r="167">
      <c r="A167" s="8">
        <v>44221.63550925926</v>
      </c>
      <c r="B167" s="9" t="str">
        <f>HYPERLINK("https://twitter.com/DianaMunAc","@DianaMunAc")</f>
        <v>@DianaMunAc</v>
      </c>
      <c r="C167" s="10" t="s">
        <v>1726</v>
      </c>
      <c r="D167" s="10" t="s">
        <v>1727</v>
      </c>
      <c r="E167" s="9" t="str">
        <f>HYPERLINK("https://twitter.com/DianaMunAc/status/1353813679721091073","1353813679721091073")</f>
        <v>1353813679721091073</v>
      </c>
      <c r="F167" s="12"/>
      <c r="G167" s="12"/>
      <c r="H167" s="12"/>
      <c r="I167" s="13">
        <v>0.0</v>
      </c>
      <c r="J167" s="13">
        <v>0.0</v>
      </c>
      <c r="K167" s="9" t="str">
        <f t="shared" si="43"/>
        <v>Twitter for Android</v>
      </c>
      <c r="L167" s="14">
        <v>98.0</v>
      </c>
      <c r="M167" s="14">
        <v>129.0</v>
      </c>
      <c r="N167" s="14">
        <v>1.0</v>
      </c>
      <c r="O167" s="19"/>
      <c r="P167" s="16">
        <v>40924.62005787037</v>
      </c>
      <c r="Q167" s="12"/>
      <c r="R167" s="12"/>
      <c r="S167" s="12"/>
      <c r="T167" s="12"/>
      <c r="U167" s="17" t="str">
        <f>HYPERLINK("https://pbs.twimg.com/profile_images/1354082657647407106/GXyIh_5v.jpg","View")</f>
        <v>View</v>
      </c>
      <c r="V167" s="12"/>
      <c r="W167" s="12"/>
      <c r="X167" s="12"/>
      <c r="Y167" s="12"/>
      <c r="Z167" s="12"/>
    </row>
    <row r="168">
      <c r="A168" s="8">
        <v>44221.628958333335</v>
      </c>
      <c r="B168" s="9" t="str">
        <f>HYPERLINK("https://twitter.com/_ciudadanocero","@_ciudadanocero")</f>
        <v>@_ciudadanocero</v>
      </c>
      <c r="C168" s="10" t="s">
        <v>1509</v>
      </c>
      <c r="D168" s="10" t="s">
        <v>1728</v>
      </c>
      <c r="E168" s="9" t="str">
        <f>HYPERLINK("https://twitter.com/_ciudadanocero/status/1353811307380797440","1353811307380797440")</f>
        <v>1353811307380797440</v>
      </c>
      <c r="F168" s="10" t="s">
        <v>1729</v>
      </c>
      <c r="G168" s="12"/>
      <c r="H168" s="12"/>
      <c r="I168" s="13">
        <v>0.0</v>
      </c>
      <c r="J168" s="13">
        <v>0.0</v>
      </c>
      <c r="K168" s="9" t="str">
        <f t="shared" si="43"/>
        <v>Twitter for Android</v>
      </c>
      <c r="L168" s="14">
        <v>111.0</v>
      </c>
      <c r="M168" s="14">
        <v>474.0</v>
      </c>
      <c r="N168" s="14">
        <v>0.0</v>
      </c>
      <c r="O168" s="19"/>
      <c r="P168" s="16">
        <v>42493.526620370365</v>
      </c>
      <c r="Q168" s="12"/>
      <c r="R168" s="10" t="s">
        <v>1512</v>
      </c>
      <c r="S168" s="12"/>
      <c r="T168" s="12"/>
      <c r="U168" s="17" t="str">
        <f>HYPERLINK("https://pbs.twimg.com/profile_images/1110275955665317889/-BcegsB0.jpg","View")</f>
        <v>View</v>
      </c>
      <c r="V168" s="12"/>
      <c r="W168" s="12"/>
      <c r="X168" s="12"/>
      <c r="Y168" s="12"/>
      <c r="Z168" s="12"/>
    </row>
    <row r="169">
      <c r="A169" s="8">
        <v>44221.625821759255</v>
      </c>
      <c r="B169" s="9" t="str">
        <f>HYPERLINK("https://twitter.com/ImChepe","@ImChepe")</f>
        <v>@ImChepe</v>
      </c>
      <c r="C169" s="10" t="s">
        <v>1730</v>
      </c>
      <c r="D169" s="10" t="s">
        <v>1731</v>
      </c>
      <c r="E169" s="9" t="str">
        <f>HYPERLINK("https://twitter.com/ImChepe/status/1353810170736861186","1353810170736861186")</f>
        <v>1353810170736861186</v>
      </c>
      <c r="F169" s="11" t="s">
        <v>1732</v>
      </c>
      <c r="G169" s="12"/>
      <c r="H169" s="12"/>
      <c r="I169" s="13">
        <v>0.0</v>
      </c>
      <c r="J169" s="13">
        <v>2.0</v>
      </c>
      <c r="K169" s="9" t="str">
        <f t="shared" si="43"/>
        <v>Twitter for Android</v>
      </c>
      <c r="L169" s="14">
        <v>788.0</v>
      </c>
      <c r="M169" s="14">
        <v>2043.0</v>
      </c>
      <c r="N169" s="14">
        <v>0.0</v>
      </c>
      <c r="O169" s="19"/>
      <c r="P169" s="16">
        <v>41144.759976851856</v>
      </c>
      <c r="Q169" s="10" t="s">
        <v>1625</v>
      </c>
      <c r="R169" s="10" t="s">
        <v>1733</v>
      </c>
      <c r="S169" s="12"/>
      <c r="T169" s="12"/>
      <c r="U169" s="17" t="str">
        <f>HYPERLINK("https://pbs.twimg.com/profile_images/1087438177206444033/__qAD-VZ.jpg","View")</f>
        <v>View</v>
      </c>
      <c r="V169" s="12"/>
      <c r="W169" s="12"/>
      <c r="X169" s="12"/>
      <c r="Y169" s="12"/>
      <c r="Z169" s="12"/>
    </row>
    <row r="170">
      <c r="A170" s="8">
        <v>44221.61728009259</v>
      </c>
      <c r="B170" s="9" t="str">
        <f>HYPERLINK("https://twitter.com/DENUNCIATUGOB","@DENUNCIATUGOB")</f>
        <v>@DENUNCIATUGOB</v>
      </c>
      <c r="C170" s="10" t="s">
        <v>1734</v>
      </c>
      <c r="D170" s="10" t="s">
        <v>1735</v>
      </c>
      <c r="E170" s="9" t="str">
        <f>HYPERLINK("https://twitter.com/DENUNCIATUGOB/status/1353807072266133504","1353807072266133504")</f>
        <v>1353807072266133504</v>
      </c>
      <c r="F170" s="12"/>
      <c r="G170" s="11" t="s">
        <v>1736</v>
      </c>
      <c r="H170" s="12"/>
      <c r="I170" s="13">
        <v>0.0</v>
      </c>
      <c r="J170" s="13">
        <v>0.0</v>
      </c>
      <c r="K170" s="9" t="str">
        <f>HYPERLINK("https://mobile.twitter.com","Twitter Web App")</f>
        <v>Twitter Web App</v>
      </c>
      <c r="L170" s="14">
        <v>317.0</v>
      </c>
      <c r="M170" s="14">
        <v>4013.0</v>
      </c>
      <c r="N170" s="14">
        <v>0.0</v>
      </c>
      <c r="O170" s="19"/>
      <c r="P170" s="16">
        <v>42572.42344907408</v>
      </c>
      <c r="Q170" s="10" t="s">
        <v>325</v>
      </c>
      <c r="R170" s="10" t="s">
        <v>1737</v>
      </c>
      <c r="S170" s="12"/>
      <c r="T170" s="12"/>
      <c r="U170" s="17" t="str">
        <f>HYPERLINK("https://pbs.twimg.com/profile_images/756144938748813313/4AM5himz.jpg","View")</f>
        <v>View</v>
      </c>
      <c r="V170" s="12"/>
      <c r="W170" s="12"/>
      <c r="X170" s="12"/>
      <c r="Y170" s="12"/>
      <c r="Z170" s="12"/>
    </row>
    <row r="171">
      <c r="A171" s="8">
        <v>44221.59756944445</v>
      </c>
      <c r="B171" s="9" t="str">
        <f>HYPERLINK("https://twitter.com/darth_sadeus","@darth_sadeus")</f>
        <v>@darth_sadeus</v>
      </c>
      <c r="C171" s="10" t="s">
        <v>1738</v>
      </c>
      <c r="D171" s="10" t="s">
        <v>1739</v>
      </c>
      <c r="E171" s="9" t="str">
        <f>HYPERLINK("https://twitter.com/darth_sadeus/status/1353799929446076418","1353799929446076418")</f>
        <v>1353799929446076418</v>
      </c>
      <c r="F171" s="12"/>
      <c r="G171" s="12"/>
      <c r="H171" s="12"/>
      <c r="I171" s="13">
        <v>0.0</v>
      </c>
      <c r="J171" s="13">
        <v>0.0</v>
      </c>
      <c r="K171" s="9" t="str">
        <f>HYPERLINK("http://twitter.com/download/android","Twitter for Android")</f>
        <v>Twitter for Android</v>
      </c>
      <c r="L171" s="14">
        <v>17.0</v>
      </c>
      <c r="M171" s="14">
        <v>170.0</v>
      </c>
      <c r="N171" s="14">
        <v>0.0</v>
      </c>
      <c r="O171" s="19"/>
      <c r="P171" s="16">
        <v>40353.879224537035</v>
      </c>
      <c r="Q171" s="10" t="s">
        <v>1740</v>
      </c>
      <c r="R171" s="10" t="s">
        <v>1741</v>
      </c>
      <c r="S171" s="12"/>
      <c r="T171" s="12"/>
      <c r="U171" s="17" t="str">
        <f>HYPERLINK("https://pbs.twimg.com/profile_images/1021906888/don_ramon.jpg","View")</f>
        <v>View</v>
      </c>
      <c r="V171" s="12"/>
      <c r="W171" s="12"/>
      <c r="X171" s="12"/>
      <c r="Y171" s="12"/>
      <c r="Z171" s="12"/>
    </row>
    <row r="172">
      <c r="A172" s="8">
        <v>44221.59542824074</v>
      </c>
      <c r="B172" s="9" t="str">
        <f>HYPERLINK("https://twitter.com/MiMoCabaretero","@MiMoCabaretero")</f>
        <v>@MiMoCabaretero</v>
      </c>
      <c r="C172" s="10" t="s">
        <v>1742</v>
      </c>
      <c r="D172" s="10" t="s">
        <v>1743</v>
      </c>
      <c r="E172" s="9" t="str">
        <f>HYPERLINK("https://twitter.com/MiMoCabaretero/status/1353799155685019648","1353799155685019648")</f>
        <v>1353799155685019648</v>
      </c>
      <c r="F172" s="12"/>
      <c r="G172" s="12"/>
      <c r="H172" s="12"/>
      <c r="I172" s="13">
        <v>0.0</v>
      </c>
      <c r="J172" s="13">
        <v>1.0</v>
      </c>
      <c r="K172" s="9" t="str">
        <f>HYPERLINK("https://mobile.twitter.com","Twitter Web App")</f>
        <v>Twitter Web App</v>
      </c>
      <c r="L172" s="14">
        <v>363.0</v>
      </c>
      <c r="M172" s="14">
        <v>355.0</v>
      </c>
      <c r="N172" s="14">
        <v>1.0</v>
      </c>
      <c r="O172" s="19"/>
      <c r="P172" s="16">
        <v>43462.80309027778</v>
      </c>
      <c r="Q172" s="10" t="s">
        <v>1744</v>
      </c>
      <c r="R172" s="10" t="s">
        <v>1745</v>
      </c>
      <c r="S172" s="11" t="s">
        <v>1746</v>
      </c>
      <c r="T172" s="12"/>
      <c r="U172" s="17" t="str">
        <f>HYPERLINK("https://pbs.twimg.com/profile_images/1116772152420683776/1Ugs-JlU.png","View")</f>
        <v>View</v>
      </c>
      <c r="V172" s="12"/>
      <c r="W172" s="12"/>
      <c r="X172" s="12"/>
      <c r="Y172" s="12"/>
      <c r="Z172" s="12"/>
    </row>
    <row r="173">
      <c r="A173" s="8">
        <v>44221.59409722222</v>
      </c>
      <c r="B173" s="9" t="str">
        <f>HYPERLINK("https://twitter.com/robertov68","@robertov68")</f>
        <v>@robertov68</v>
      </c>
      <c r="C173" s="10" t="s">
        <v>1747</v>
      </c>
      <c r="D173" s="10" t="s">
        <v>1748</v>
      </c>
      <c r="E173" s="9" t="str">
        <f>HYPERLINK("https://twitter.com/robertov68/status/1353798672019021825","1353798672019021825")</f>
        <v>1353798672019021825</v>
      </c>
      <c r="F173" s="12"/>
      <c r="G173" s="12"/>
      <c r="H173" s="12"/>
      <c r="I173" s="13">
        <v>0.0</v>
      </c>
      <c r="J173" s="13">
        <v>0.0</v>
      </c>
      <c r="K173" s="9" t="str">
        <f t="shared" ref="K173:K176" si="44">HYPERLINK("http://twitter.com/download/android","Twitter for Android")</f>
        <v>Twitter for Android</v>
      </c>
      <c r="L173" s="14">
        <v>2217.0</v>
      </c>
      <c r="M173" s="14">
        <v>3073.0</v>
      </c>
      <c r="N173" s="14">
        <v>22.0</v>
      </c>
      <c r="O173" s="19"/>
      <c r="P173" s="16">
        <v>40750.36938657407</v>
      </c>
      <c r="Q173" s="12"/>
      <c r="R173" s="10" t="s">
        <v>1749</v>
      </c>
      <c r="S173" s="12"/>
      <c r="T173" s="12"/>
      <c r="U173" s="17" t="str">
        <f>HYPERLINK("https://pbs.twimg.com/profile_images/1300819282704637953/hElqK8G5.jpg","View")</f>
        <v>View</v>
      </c>
      <c r="V173" s="12"/>
      <c r="W173" s="12"/>
      <c r="X173" s="12"/>
      <c r="Y173" s="12"/>
      <c r="Z173" s="12"/>
    </row>
    <row r="174">
      <c r="A174" s="8">
        <v>44221.58715277778</v>
      </c>
      <c r="B174" s="9" t="str">
        <f>HYPERLINK("https://twitter.com/CeAmy2","@CeAmy2")</f>
        <v>@CeAmy2</v>
      </c>
      <c r="C174" s="10" t="s">
        <v>1750</v>
      </c>
      <c r="D174" s="10" t="s">
        <v>1751</v>
      </c>
      <c r="E174" s="9" t="str">
        <f>HYPERLINK("https://twitter.com/CeAmy2/status/1353796156321628162","1353796156321628162")</f>
        <v>1353796156321628162</v>
      </c>
      <c r="F174" s="12"/>
      <c r="G174" s="11" t="s">
        <v>1752</v>
      </c>
      <c r="H174" s="12"/>
      <c r="I174" s="13">
        <v>1.0</v>
      </c>
      <c r="J174" s="13">
        <v>12.0</v>
      </c>
      <c r="K174" s="9" t="str">
        <f t="shared" si="44"/>
        <v>Twitter for Android</v>
      </c>
      <c r="L174" s="14">
        <v>8215.0</v>
      </c>
      <c r="M174" s="14">
        <v>4857.0</v>
      </c>
      <c r="N174" s="14">
        <v>6.0</v>
      </c>
      <c r="O174" s="19"/>
      <c r="P174" s="16">
        <v>43564.526087962964</v>
      </c>
      <c r="Q174" s="12"/>
      <c r="R174" s="12"/>
      <c r="S174" s="12"/>
      <c r="T174" s="12"/>
      <c r="U174" s="17" t="str">
        <f>HYPERLINK("https://pbs.twimg.com/profile_images/1345131165666066432/STQK6fpB.jpg","View")</f>
        <v>View</v>
      </c>
      <c r="V174" s="12"/>
      <c r="W174" s="12"/>
      <c r="X174" s="12"/>
      <c r="Y174" s="12"/>
      <c r="Z174" s="12"/>
    </row>
    <row r="175">
      <c r="A175" s="8">
        <v>44221.577627314815</v>
      </c>
      <c r="B175" s="9" t="str">
        <f>HYPERLINK("https://twitter.com/TiburonJacques","@TiburonJacques")</f>
        <v>@TiburonJacques</v>
      </c>
      <c r="C175" s="10" t="s">
        <v>1753</v>
      </c>
      <c r="D175" s="10" t="s">
        <v>1754</v>
      </c>
      <c r="E175" s="9" t="str">
        <f>HYPERLINK("https://twitter.com/TiburonJacques/status/1353792702685523968","1353792702685523968")</f>
        <v>1353792702685523968</v>
      </c>
      <c r="F175" s="12"/>
      <c r="G175" s="12"/>
      <c r="H175" s="12"/>
      <c r="I175" s="13">
        <v>0.0</v>
      </c>
      <c r="J175" s="13">
        <v>0.0</v>
      </c>
      <c r="K175" s="9" t="str">
        <f t="shared" si="44"/>
        <v>Twitter for Android</v>
      </c>
      <c r="L175" s="14">
        <v>208.0</v>
      </c>
      <c r="M175" s="14">
        <v>412.0</v>
      </c>
      <c r="N175" s="14">
        <v>0.0</v>
      </c>
      <c r="O175" s="19"/>
      <c r="P175" s="16">
        <v>42613.72815972222</v>
      </c>
      <c r="Q175" s="10" t="s">
        <v>914</v>
      </c>
      <c r="R175" s="10" t="s">
        <v>1755</v>
      </c>
      <c r="S175" s="12"/>
      <c r="T175" s="12"/>
      <c r="U175" s="17" t="str">
        <f>HYPERLINK("https://pbs.twimg.com/profile_images/1352690385387220992/dzxqeDgE.jpg","View")</f>
        <v>View</v>
      </c>
      <c r="V175" s="12"/>
      <c r="W175" s="12"/>
      <c r="X175" s="12"/>
      <c r="Y175" s="12"/>
      <c r="Z175" s="12"/>
    </row>
    <row r="176">
      <c r="A176" s="8">
        <v>44221.576157407406</v>
      </c>
      <c r="B176" s="9" t="str">
        <f>HYPERLINK("https://twitter.com/pipocervantes","@pipocervantes")</f>
        <v>@pipocervantes</v>
      </c>
      <c r="C176" s="10" t="s">
        <v>1756</v>
      </c>
      <c r="D176" s="10" t="s">
        <v>1757</v>
      </c>
      <c r="E176" s="9" t="str">
        <f>HYPERLINK("https://twitter.com/pipocervantes/status/1353792170424152065","1353792170424152065")</f>
        <v>1353792170424152065</v>
      </c>
      <c r="F176" s="12"/>
      <c r="G176" s="11" t="s">
        <v>1758</v>
      </c>
      <c r="H176" s="12"/>
      <c r="I176" s="13">
        <v>2.0</v>
      </c>
      <c r="J176" s="13">
        <v>11.0</v>
      </c>
      <c r="K176" s="9" t="str">
        <f t="shared" si="44"/>
        <v>Twitter for Android</v>
      </c>
      <c r="L176" s="14">
        <v>693.0</v>
      </c>
      <c r="M176" s="14">
        <v>1025.0</v>
      </c>
      <c r="N176" s="14">
        <v>4.0</v>
      </c>
      <c r="O176" s="19"/>
      <c r="P176" s="16">
        <v>40681.01909722222</v>
      </c>
      <c r="Q176" s="10" t="s">
        <v>325</v>
      </c>
      <c r="R176" s="10" t="s">
        <v>1759</v>
      </c>
      <c r="S176" s="12"/>
      <c r="T176" s="12"/>
      <c r="U176" s="17" t="str">
        <f>HYPERLINK("https://pbs.twimg.com/profile_images/1298072964848652288/6ZB7Tnoe.jpg","View")</f>
        <v>View</v>
      </c>
      <c r="V176" s="12"/>
      <c r="W176" s="12"/>
      <c r="X176" s="12"/>
      <c r="Y176" s="12"/>
      <c r="Z176" s="12"/>
    </row>
    <row r="177">
      <c r="A177" s="8">
        <v>44221.56370370371</v>
      </c>
      <c r="B177" s="9" t="str">
        <f>HYPERLINK("https://twitter.com/yasebanonorona","@yasebanonorona")</f>
        <v>@yasebanonorona</v>
      </c>
      <c r="C177" s="10" t="s">
        <v>1760</v>
      </c>
      <c r="D177" s="10" t="s">
        <v>1761</v>
      </c>
      <c r="E177" s="9" t="str">
        <f>HYPERLINK("https://twitter.com/yasebanonorona/status/1353787657910968320","1353787657910968320")</f>
        <v>1353787657910968320</v>
      </c>
      <c r="F177" s="12"/>
      <c r="G177" s="11" t="s">
        <v>1762</v>
      </c>
      <c r="H177" s="12"/>
      <c r="I177" s="13">
        <v>0.0</v>
      </c>
      <c r="J177" s="13">
        <v>0.0</v>
      </c>
      <c r="K177" s="9" t="str">
        <f>HYPERLINK("http://twitter.com/download/iphone","Twitter for iPhone")</f>
        <v>Twitter for iPhone</v>
      </c>
      <c r="L177" s="14">
        <v>224.0</v>
      </c>
      <c r="M177" s="14">
        <v>331.0</v>
      </c>
      <c r="N177" s="14">
        <v>0.0</v>
      </c>
      <c r="O177" s="19"/>
      <c r="P177" s="16">
        <v>43954.690358796295</v>
      </c>
      <c r="Q177" s="12"/>
      <c r="R177" s="10" t="s">
        <v>1763</v>
      </c>
      <c r="S177" s="12"/>
      <c r="T177" s="12"/>
      <c r="U177" s="17" t="str">
        <f>HYPERLINK("https://pbs.twimg.com/profile_images/1257061003252072448/mgNuQg5F.jpg","View")</f>
        <v>View</v>
      </c>
      <c r="V177" s="12"/>
      <c r="W177" s="12"/>
      <c r="X177" s="12"/>
      <c r="Y177" s="12"/>
      <c r="Z177" s="12"/>
    </row>
    <row r="178">
      <c r="A178" s="8">
        <v>44221.55962962963</v>
      </c>
      <c r="B178" s="9" t="str">
        <f>HYPERLINK("https://twitter.com/_ElRagna","@_ElRagna")</f>
        <v>@_ElRagna</v>
      </c>
      <c r="C178" s="10" t="s">
        <v>1764</v>
      </c>
      <c r="D178" s="10" t="s">
        <v>1765</v>
      </c>
      <c r="E178" s="9" t="str">
        <f>HYPERLINK("https://twitter.com/_ElRagna/status/1353786180383346688","1353786180383346688")</f>
        <v>1353786180383346688</v>
      </c>
      <c r="F178" s="10" t="s">
        <v>1766</v>
      </c>
      <c r="G178" s="11" t="s">
        <v>1767</v>
      </c>
      <c r="H178" s="12"/>
      <c r="I178" s="13">
        <v>0.0</v>
      </c>
      <c r="J178" s="13">
        <v>1.0</v>
      </c>
      <c r="K178" s="9" t="str">
        <f>HYPERLINK("http://twitter.com/download/android","Twitter for Android")</f>
        <v>Twitter for Android</v>
      </c>
      <c r="L178" s="14">
        <v>601.0</v>
      </c>
      <c r="M178" s="14">
        <v>557.0</v>
      </c>
      <c r="N178" s="14">
        <v>17.0</v>
      </c>
      <c r="O178" s="19"/>
      <c r="P178" s="16">
        <v>40448.66607638889</v>
      </c>
      <c r="Q178" s="10" t="s">
        <v>1768</v>
      </c>
      <c r="R178" s="10" t="s">
        <v>1769</v>
      </c>
      <c r="S178" s="12"/>
      <c r="T178" s="12"/>
      <c r="U178" s="17" t="str">
        <f>HYPERLINK("https://pbs.twimg.com/profile_images/1350720800400105479/oBnb0kvc.jpg","View")</f>
        <v>View</v>
      </c>
      <c r="V178" s="12"/>
      <c r="W178" s="12"/>
      <c r="X178" s="12"/>
      <c r="Y178" s="12"/>
      <c r="Z178" s="12"/>
    </row>
    <row r="179">
      <c r="A179" s="8">
        <v>44221.55158564815</v>
      </c>
      <c r="B179" s="9" t="str">
        <f>HYPERLINK("https://twitter.com/D_R_A_L_E_X","@D_R_A_L_E_X")</f>
        <v>@D_R_A_L_E_X</v>
      </c>
      <c r="C179" s="10" t="s">
        <v>1770</v>
      </c>
      <c r="D179" s="10" t="s">
        <v>1771</v>
      </c>
      <c r="E179" s="9" t="str">
        <f>HYPERLINK("https://twitter.com/D_R_A_L_E_X/status/1353783265765818368","1353783265765818368")</f>
        <v>1353783265765818368</v>
      </c>
      <c r="F179" s="12"/>
      <c r="G179" s="12"/>
      <c r="H179" s="12"/>
      <c r="I179" s="13">
        <v>0.0</v>
      </c>
      <c r="J179" s="13">
        <v>1.0</v>
      </c>
      <c r="K179" s="9" t="str">
        <f>HYPERLINK("https://mobile.twitter.com","Twitter Web App")</f>
        <v>Twitter Web App</v>
      </c>
      <c r="L179" s="14">
        <v>737.0</v>
      </c>
      <c r="M179" s="14">
        <v>1891.0</v>
      </c>
      <c r="N179" s="14">
        <v>2.0</v>
      </c>
      <c r="O179" s="19"/>
      <c r="P179" s="16">
        <v>40296.31917824074</v>
      </c>
      <c r="Q179" s="12"/>
      <c r="R179" s="10" t="s">
        <v>1772</v>
      </c>
      <c r="S179" s="12"/>
      <c r="T179" s="12"/>
      <c r="U179" s="17" t="str">
        <f>HYPERLINK("https://pbs.twimg.com/profile_images/1319467318229921793/0GRi0R6i.jpg","View")</f>
        <v>View</v>
      </c>
      <c r="V179" s="12"/>
      <c r="W179" s="12"/>
      <c r="X179" s="12"/>
      <c r="Y179" s="12"/>
      <c r="Z179" s="12"/>
    </row>
    <row r="180">
      <c r="A180" s="8">
        <v>44221.54929398149</v>
      </c>
      <c r="B180" s="9" t="str">
        <f>HYPERLINK("https://twitter.com/A_ausdenRuthen","@A_ausdenRuthen")</f>
        <v>@A_ausdenRuthen</v>
      </c>
      <c r="C180" s="10" t="s">
        <v>1773</v>
      </c>
      <c r="D180" s="10" t="s">
        <v>1774</v>
      </c>
      <c r="E180" s="9" t="str">
        <f>HYPERLINK("https://twitter.com/A_ausdenRuthen/status/1353782436040237057","1353782436040237057")</f>
        <v>1353782436040237057</v>
      </c>
      <c r="F180" s="12"/>
      <c r="G180" s="12"/>
      <c r="H180" s="12"/>
      <c r="I180" s="13">
        <v>521.0</v>
      </c>
      <c r="J180" s="13">
        <v>4544.0</v>
      </c>
      <c r="K180" s="9" t="str">
        <f>HYPERLINK("http://twitter.com/download/iphone","Twitter for iPhone")</f>
        <v>Twitter for iPhone</v>
      </c>
      <c r="L180" s="14">
        <v>106915.0</v>
      </c>
      <c r="M180" s="14">
        <v>1029.0</v>
      </c>
      <c r="N180" s="14">
        <v>232.0</v>
      </c>
      <c r="O180" s="19"/>
      <c r="P180" s="16">
        <v>42738.51957175926</v>
      </c>
      <c r="Q180" s="10" t="s">
        <v>325</v>
      </c>
      <c r="R180" s="10" t="s">
        <v>1775</v>
      </c>
      <c r="S180" s="12"/>
      <c r="T180" s="12"/>
      <c r="U180" s="17" t="str">
        <f>HYPERLINK("https://pbs.twimg.com/profile_images/1334089402121904129/kwiG_pW9.jpg","View")</f>
        <v>View</v>
      </c>
      <c r="V180" s="12"/>
      <c r="W180" s="12"/>
      <c r="X180" s="12"/>
      <c r="Y180" s="12"/>
      <c r="Z180" s="12"/>
    </row>
    <row r="181">
      <c r="A181" s="8">
        <v>44221.546678240746</v>
      </c>
      <c r="B181" s="9" t="str">
        <f>HYPERLINK("https://twitter.com/israelnapier","@israelnapier")</f>
        <v>@israelnapier</v>
      </c>
      <c r="C181" s="10" t="s">
        <v>1776</v>
      </c>
      <c r="D181" s="10" t="s">
        <v>1777</v>
      </c>
      <c r="E181" s="9" t="str">
        <f>HYPERLINK("https://twitter.com/israelnapier/status/1353781486848241666","1353781486848241666")</f>
        <v>1353781486848241666</v>
      </c>
      <c r="F181" s="12"/>
      <c r="G181" s="12"/>
      <c r="H181" s="12"/>
      <c r="I181" s="13">
        <v>0.0</v>
      </c>
      <c r="J181" s="13">
        <v>1.0</v>
      </c>
      <c r="K181" s="9" t="str">
        <f t="shared" ref="K181:K182" si="45">HYPERLINK("http://twitter.com/download/android","Twitter for Android")</f>
        <v>Twitter for Android</v>
      </c>
      <c r="L181" s="14">
        <v>427.0</v>
      </c>
      <c r="M181" s="14">
        <v>519.0</v>
      </c>
      <c r="N181" s="14">
        <v>3.0</v>
      </c>
      <c r="O181" s="19"/>
      <c r="P181" s="16">
        <v>40146.79446759259</v>
      </c>
      <c r="Q181" s="10" t="s">
        <v>1778</v>
      </c>
      <c r="R181" s="10" t="s">
        <v>1779</v>
      </c>
      <c r="S181" s="12"/>
      <c r="T181" s="12"/>
      <c r="U181" s="17" t="str">
        <f>HYPERLINK("https://pbs.twimg.com/profile_images/1274399016109764608/TRRlTksM.jpg","View")</f>
        <v>View</v>
      </c>
      <c r="V181" s="12"/>
      <c r="W181" s="12"/>
      <c r="X181" s="12"/>
      <c r="Y181" s="12"/>
      <c r="Z181" s="12"/>
    </row>
    <row r="182">
      <c r="A182" s="8">
        <v>44221.53385416667</v>
      </c>
      <c r="B182" s="9" t="str">
        <f>HYPERLINK("https://twitter.com/Hyleann","@Hyleann")</f>
        <v>@Hyleann</v>
      </c>
      <c r="C182" s="10" t="s">
        <v>1780</v>
      </c>
      <c r="D182" s="10" t="s">
        <v>1781</v>
      </c>
      <c r="E182" s="9" t="str">
        <f>HYPERLINK("https://twitter.com/Hyleann/status/1353776842784862208","1353776842784862208")</f>
        <v>1353776842784862208</v>
      </c>
      <c r="F182" s="12"/>
      <c r="G182" s="12"/>
      <c r="H182" s="12"/>
      <c r="I182" s="13">
        <v>1.0</v>
      </c>
      <c r="J182" s="13">
        <v>4.0</v>
      </c>
      <c r="K182" s="9" t="str">
        <f t="shared" si="45"/>
        <v>Twitter for Android</v>
      </c>
      <c r="L182" s="14">
        <v>640.0</v>
      </c>
      <c r="M182" s="14">
        <v>1181.0</v>
      </c>
      <c r="N182" s="14">
        <v>9.0</v>
      </c>
      <c r="O182" s="19"/>
      <c r="P182" s="16">
        <v>41095.61688657408</v>
      </c>
      <c r="Q182" s="10" t="s">
        <v>1782</v>
      </c>
      <c r="R182" s="10" t="s">
        <v>1783</v>
      </c>
      <c r="S182" s="11" t="s">
        <v>1784</v>
      </c>
      <c r="T182" s="12"/>
      <c r="U182" s="17" t="str">
        <f>HYPERLINK("https://pbs.twimg.com/profile_images/1329968180928851970/NG7KC7fR.jpg","View")</f>
        <v>View</v>
      </c>
      <c r="V182" s="12"/>
      <c r="W182" s="12"/>
      <c r="X182" s="12"/>
      <c r="Y182" s="12"/>
      <c r="Z182" s="12"/>
    </row>
    <row r="183">
      <c r="A183" s="8">
        <v>44221.53221064815</v>
      </c>
      <c r="B183" s="9" t="str">
        <f>HYPERLINK("https://twitter.com/Poninas13613964","@Poninas13613964")</f>
        <v>@Poninas13613964</v>
      </c>
      <c r="C183" s="10" t="s">
        <v>1785</v>
      </c>
      <c r="D183" s="10" t="s">
        <v>1786</v>
      </c>
      <c r="E183" s="9" t="str">
        <f>HYPERLINK("https://twitter.com/Poninas13613964/status/1353776246879113216","1353776246879113216")</f>
        <v>1353776246879113216</v>
      </c>
      <c r="F183" s="10" t="s">
        <v>1653</v>
      </c>
      <c r="G183" s="10" t="s">
        <v>1787</v>
      </c>
      <c r="H183" s="12"/>
      <c r="I183" s="13">
        <v>0.0</v>
      </c>
      <c r="J183" s="13">
        <v>0.0</v>
      </c>
      <c r="K183" s="9" t="str">
        <f t="shared" ref="K183:K184" si="46">HYPERLINK("https://mobile.twitter.com","Twitter Web App")</f>
        <v>Twitter Web App</v>
      </c>
      <c r="L183" s="14">
        <v>15.0</v>
      </c>
      <c r="M183" s="14">
        <v>171.0</v>
      </c>
      <c r="N183" s="14">
        <v>1.0</v>
      </c>
      <c r="O183" s="19"/>
      <c r="P183" s="16">
        <v>44166.01886574074</v>
      </c>
      <c r="Q183" s="10" t="s">
        <v>1788</v>
      </c>
      <c r="R183" s="10" t="s">
        <v>1789</v>
      </c>
      <c r="S183" s="12"/>
      <c r="T183" s="12"/>
      <c r="U183" s="17" t="str">
        <f>HYPERLINK("https://pbs.twimg.com/profile_images/1333659181656764416/Nohk2fgS.jpg","View")</f>
        <v>View</v>
      </c>
      <c r="V183" s="12"/>
      <c r="W183" s="12"/>
      <c r="X183" s="12"/>
      <c r="Y183" s="12"/>
      <c r="Z183" s="12"/>
    </row>
    <row r="184">
      <c r="A184" s="8">
        <v>44221.52903935185</v>
      </c>
      <c r="B184" s="9" t="str">
        <f>HYPERLINK("https://twitter.com/chikw4","@chikw4")</f>
        <v>@chikw4</v>
      </c>
      <c r="C184" s="10" t="s">
        <v>1790</v>
      </c>
      <c r="D184" s="10" t="s">
        <v>1791</v>
      </c>
      <c r="E184" s="9" t="str">
        <f>HYPERLINK("https://twitter.com/chikw4/status/1353775095018360833","1353775095018360833")</f>
        <v>1353775095018360833</v>
      </c>
      <c r="F184" s="10" t="s">
        <v>1653</v>
      </c>
      <c r="G184" s="11" t="s">
        <v>1654</v>
      </c>
      <c r="H184" s="12"/>
      <c r="I184" s="13">
        <v>0.0</v>
      </c>
      <c r="J184" s="13">
        <v>0.0</v>
      </c>
      <c r="K184" s="9" t="str">
        <f t="shared" si="46"/>
        <v>Twitter Web App</v>
      </c>
      <c r="L184" s="14">
        <v>363.0</v>
      </c>
      <c r="M184" s="14">
        <v>346.0</v>
      </c>
      <c r="N184" s="14">
        <v>9.0</v>
      </c>
      <c r="O184" s="19"/>
      <c r="P184" s="16">
        <v>40036.691458333335</v>
      </c>
      <c r="Q184" s="12"/>
      <c r="R184" s="10" t="s">
        <v>1792</v>
      </c>
      <c r="S184" s="12"/>
      <c r="T184" s="12"/>
      <c r="U184" s="17" t="str">
        <f>HYPERLINK("https://pbs.twimg.com/profile_images/1289447216986443776/1a4FmlLO.jpg","View")</f>
        <v>View</v>
      </c>
      <c r="V184" s="12"/>
      <c r="W184" s="12"/>
      <c r="X184" s="12"/>
      <c r="Y184" s="12"/>
      <c r="Z184" s="12"/>
    </row>
    <row r="185">
      <c r="A185" s="8">
        <v>44221.51836805556</v>
      </c>
      <c r="B185" s="9" t="str">
        <f>HYPERLINK("https://twitter.com/Ramza_online","@Ramza_online")</f>
        <v>@Ramza_online</v>
      </c>
      <c r="C185" s="10" t="s">
        <v>1793</v>
      </c>
      <c r="D185" s="10" t="s">
        <v>1794</v>
      </c>
      <c r="E185" s="9" t="str">
        <f>HYPERLINK("https://twitter.com/Ramza_online/status/1353771230604783616","1353771230604783616")</f>
        <v>1353771230604783616</v>
      </c>
      <c r="F185" s="11" t="s">
        <v>1795</v>
      </c>
      <c r="G185" s="12"/>
      <c r="H185" s="12"/>
      <c r="I185" s="13">
        <v>0.0</v>
      </c>
      <c r="J185" s="13">
        <v>1.0</v>
      </c>
      <c r="K185" s="9" t="str">
        <f t="shared" ref="K185:K186" si="47">HYPERLINK("http://twitter.com/download/android","Twitter for Android")</f>
        <v>Twitter for Android</v>
      </c>
      <c r="L185" s="14">
        <v>478.0</v>
      </c>
      <c r="M185" s="14">
        <v>433.0</v>
      </c>
      <c r="N185" s="14">
        <v>9.0</v>
      </c>
      <c r="O185" s="19"/>
      <c r="P185" s="16">
        <v>41092.538611111115</v>
      </c>
      <c r="Q185" s="10" t="s">
        <v>1796</v>
      </c>
      <c r="R185" s="10" t="s">
        <v>1797</v>
      </c>
      <c r="S185" s="12"/>
      <c r="T185" s="12"/>
      <c r="U185" s="17" t="str">
        <f>HYPERLINK("https://pbs.twimg.com/profile_images/1344420000019349504/1AzHux2S.jpg","View")</f>
        <v>View</v>
      </c>
      <c r="V185" s="12"/>
      <c r="W185" s="12"/>
      <c r="X185" s="12"/>
      <c r="Y185" s="12"/>
      <c r="Z185" s="12"/>
    </row>
    <row r="186">
      <c r="A186" s="8">
        <v>44221.51530092592</v>
      </c>
      <c r="B186" s="9" t="str">
        <f>HYPERLINK("https://twitter.com/Sombrerudo2","@Sombrerudo2")</f>
        <v>@Sombrerudo2</v>
      </c>
      <c r="C186" s="10" t="s">
        <v>1798</v>
      </c>
      <c r="D186" s="10" t="s">
        <v>1799</v>
      </c>
      <c r="E186" s="9" t="str">
        <f>HYPERLINK("https://twitter.com/Sombrerudo2/status/1353770118426341376","1353770118426341376")</f>
        <v>1353770118426341376</v>
      </c>
      <c r="F186" s="11" t="s">
        <v>1800</v>
      </c>
      <c r="G186" s="12"/>
      <c r="H186" s="12"/>
      <c r="I186" s="13">
        <v>0.0</v>
      </c>
      <c r="J186" s="13">
        <v>1.0</v>
      </c>
      <c r="K186" s="9" t="str">
        <f t="shared" si="47"/>
        <v>Twitter for Android</v>
      </c>
      <c r="L186" s="14">
        <v>85.0</v>
      </c>
      <c r="M186" s="14">
        <v>734.0</v>
      </c>
      <c r="N186" s="14">
        <v>0.0</v>
      </c>
      <c r="O186" s="19"/>
      <c r="P186" s="16">
        <v>43571.999756944446</v>
      </c>
      <c r="Q186" s="10" t="s">
        <v>520</v>
      </c>
      <c r="R186" s="10" t="s">
        <v>1801</v>
      </c>
      <c r="S186" s="12"/>
      <c r="T186" s="12"/>
      <c r="U186" s="17" t="str">
        <f>HYPERLINK("https://pbs.twimg.com/profile_images/1120890137141858305/QI-5RBcO.jpg","View")</f>
        <v>View</v>
      </c>
      <c r="V186" s="12"/>
      <c r="W186" s="12"/>
      <c r="X186" s="12"/>
      <c r="Y186" s="12"/>
      <c r="Z186" s="12"/>
    </row>
    <row r="187">
      <c r="A187" s="8">
        <v>44221.490532407406</v>
      </c>
      <c r="B187" s="9" t="str">
        <f>HYPERLINK("https://twitter.com/Rey_Fifi","@Rey_Fifi")</f>
        <v>@Rey_Fifi</v>
      </c>
      <c r="C187" s="10" t="s">
        <v>1802</v>
      </c>
      <c r="D187" s="10" t="s">
        <v>1803</v>
      </c>
      <c r="E187" s="9" t="str">
        <f>HYPERLINK("https://twitter.com/Rey_Fifi/status/1353761140627681280","1353761140627681280")</f>
        <v>1353761140627681280</v>
      </c>
      <c r="F187" s="12"/>
      <c r="G187" s="12"/>
      <c r="H187" s="12"/>
      <c r="I187" s="13">
        <v>64.0</v>
      </c>
      <c r="J187" s="13">
        <v>272.0</v>
      </c>
      <c r="K187" s="9" t="str">
        <f>HYPERLINK("http://twitter.com/download/iphone","Twitter for iPhone")</f>
        <v>Twitter for iPhone</v>
      </c>
      <c r="L187" s="14">
        <v>12079.0</v>
      </c>
      <c r="M187" s="14">
        <v>1477.0</v>
      </c>
      <c r="N187" s="14">
        <v>8.0</v>
      </c>
      <c r="O187" s="19"/>
      <c r="P187" s="16">
        <v>43652.55233796296</v>
      </c>
      <c r="Q187" s="10" t="s">
        <v>1804</v>
      </c>
      <c r="R187" s="10" t="s">
        <v>1805</v>
      </c>
      <c r="S187" s="12"/>
      <c r="T187" s="12"/>
      <c r="U187" s="17" t="str">
        <f>HYPERLINK("https://pbs.twimg.com/profile_images/1147655428630695937/TJu5VUCO.jpg","View")</f>
        <v>View</v>
      </c>
      <c r="V187" s="12"/>
      <c r="W187" s="12"/>
      <c r="X187" s="12"/>
      <c r="Y187" s="12"/>
      <c r="Z187" s="12"/>
    </row>
    <row r="188">
      <c r="A188" s="8">
        <v>44221.4890625</v>
      </c>
      <c r="B188" s="9" t="str">
        <f>HYPERLINK("https://twitter.com/Laguna_Obrador","@Laguna_Obrador")</f>
        <v>@Laguna_Obrador</v>
      </c>
      <c r="C188" s="10" t="s">
        <v>1806</v>
      </c>
      <c r="D188" s="10" t="s">
        <v>1807</v>
      </c>
      <c r="E188" s="9" t="str">
        <f>HYPERLINK("https://twitter.com/Laguna_Obrador/status/1353760608747831297","1353760608747831297")</f>
        <v>1353760608747831297</v>
      </c>
      <c r="F188" s="12"/>
      <c r="G188" s="11" t="s">
        <v>1808</v>
      </c>
      <c r="H188" s="12"/>
      <c r="I188" s="13">
        <v>0.0</v>
      </c>
      <c r="J188" s="13">
        <v>1.0</v>
      </c>
      <c r="K188" s="9" t="str">
        <f t="shared" ref="K188:K190" si="48">HYPERLINK("http://twitter.com/download/android","Twitter for Android")</f>
        <v>Twitter for Android</v>
      </c>
      <c r="L188" s="14">
        <v>855.0</v>
      </c>
      <c r="M188" s="14">
        <v>861.0</v>
      </c>
      <c r="N188" s="14">
        <v>6.0</v>
      </c>
      <c r="O188" s="19"/>
      <c r="P188" s="16">
        <v>41786.42015046296</v>
      </c>
      <c r="Q188" s="10" t="s">
        <v>1809</v>
      </c>
      <c r="R188" s="10" t="s">
        <v>1810</v>
      </c>
      <c r="S188" s="12"/>
      <c r="T188" s="12"/>
      <c r="U188" s="17" t="str">
        <f>HYPERLINK("https://pbs.twimg.com/profile_images/1301008526056267776/ghDdZNmk.jpg","View")</f>
        <v>View</v>
      </c>
      <c r="V188" s="12"/>
      <c r="W188" s="12"/>
      <c r="X188" s="12"/>
      <c r="Y188" s="12"/>
      <c r="Z188" s="12"/>
    </row>
    <row r="189">
      <c r="A189" s="8">
        <v>44221.47898148149</v>
      </c>
      <c r="B189" s="9" t="str">
        <f>HYPERLINK("https://twitter.com/MoszarM","@MoszarM")</f>
        <v>@MoszarM</v>
      </c>
      <c r="C189" s="10" t="s">
        <v>742</v>
      </c>
      <c r="D189" s="10" t="s">
        <v>1811</v>
      </c>
      <c r="E189" s="9" t="str">
        <f>HYPERLINK("https://twitter.com/MoszarM/status/1353756957073494016","1353756957073494016")</f>
        <v>1353756957073494016</v>
      </c>
      <c r="F189" s="12"/>
      <c r="G189" s="12"/>
      <c r="H189" s="12"/>
      <c r="I189" s="13">
        <v>0.0</v>
      </c>
      <c r="J189" s="13">
        <v>0.0</v>
      </c>
      <c r="K189" s="9" t="str">
        <f t="shared" si="48"/>
        <v>Twitter for Android</v>
      </c>
      <c r="L189" s="14">
        <v>1484.0</v>
      </c>
      <c r="M189" s="14">
        <v>4998.0</v>
      </c>
      <c r="N189" s="14">
        <v>14.0</v>
      </c>
      <c r="O189" s="19"/>
      <c r="P189" s="16">
        <v>40939.90361111111</v>
      </c>
      <c r="Q189" s="12"/>
      <c r="R189" s="10" t="s">
        <v>744</v>
      </c>
      <c r="S189" s="12"/>
      <c r="T189" s="12"/>
      <c r="U189" s="17" t="str">
        <f>HYPERLINK("https://pbs.twimg.com/profile_images/378800000711510805/1beb2b04a1c53728146edc43dda1444a.jpeg","View")</f>
        <v>View</v>
      </c>
      <c r="V189" s="12"/>
      <c r="W189" s="12"/>
      <c r="X189" s="12"/>
      <c r="Y189" s="12"/>
      <c r="Z189" s="12"/>
    </row>
    <row r="190">
      <c r="A190" s="8">
        <v>44221.473020833335</v>
      </c>
      <c r="B190" s="9" t="str">
        <f>HYPERLINK("https://twitter.com/Cristob53463942","@Cristob53463942")</f>
        <v>@Cristob53463942</v>
      </c>
      <c r="C190" s="10" t="s">
        <v>1812</v>
      </c>
      <c r="D190" s="10" t="s">
        <v>1813</v>
      </c>
      <c r="E190" s="9" t="str">
        <f>HYPERLINK("https://twitter.com/Cristob53463942/status/1353754795333578759","1353754795333578759")</f>
        <v>1353754795333578759</v>
      </c>
      <c r="F190" s="12"/>
      <c r="G190" s="12"/>
      <c r="H190" s="12"/>
      <c r="I190" s="13">
        <v>0.0</v>
      </c>
      <c r="J190" s="13">
        <v>0.0</v>
      </c>
      <c r="K190" s="9" t="str">
        <f t="shared" si="48"/>
        <v>Twitter for Android</v>
      </c>
      <c r="L190" s="14">
        <v>6.0</v>
      </c>
      <c r="M190" s="14">
        <v>148.0</v>
      </c>
      <c r="N190" s="14">
        <v>0.0</v>
      </c>
      <c r="O190" s="19"/>
      <c r="P190" s="16">
        <v>44179.70211805556</v>
      </c>
      <c r="Q190" s="10" t="s">
        <v>1814</v>
      </c>
      <c r="R190" s="10" t="s">
        <v>1815</v>
      </c>
      <c r="S190" s="12"/>
      <c r="T190" s="12"/>
      <c r="U190" s="17" t="str">
        <f>HYPERLINK("https://pbs.twimg.com/profile_images/1338618512391155715/ZGZ66pCd.jpg","View")</f>
        <v>View</v>
      </c>
      <c r="V190" s="12"/>
      <c r="W190" s="12"/>
      <c r="X190" s="12"/>
      <c r="Y190" s="12"/>
      <c r="Z190" s="12"/>
    </row>
    <row r="191">
      <c r="A191" s="8">
        <v>44221.47263888889</v>
      </c>
      <c r="B191" s="9" t="str">
        <f>HYPERLINK("https://twitter.com/AracelRomero1","@AracelRomero1")</f>
        <v>@AracelRomero1</v>
      </c>
      <c r="C191" s="10" t="s">
        <v>1816</v>
      </c>
      <c r="D191" s="10" t="s">
        <v>1817</v>
      </c>
      <c r="E191" s="9" t="str">
        <f>HYPERLINK("https://twitter.com/AracelRomero1/status/1353754658003628033","1353754658003628033")</f>
        <v>1353754658003628033</v>
      </c>
      <c r="F191" s="12"/>
      <c r="G191" s="12"/>
      <c r="H191" s="12"/>
      <c r="I191" s="13">
        <v>4.0</v>
      </c>
      <c r="J191" s="13">
        <v>6.0</v>
      </c>
      <c r="K191" s="9" t="str">
        <f>HYPERLINK("https://mobile.twitter.com","Twitter Web App")</f>
        <v>Twitter Web App</v>
      </c>
      <c r="L191" s="14">
        <v>2123.0</v>
      </c>
      <c r="M191" s="14">
        <v>1326.0</v>
      </c>
      <c r="N191" s="14">
        <v>1.0</v>
      </c>
      <c r="O191" s="19"/>
      <c r="P191" s="16">
        <v>43564.48957175926</v>
      </c>
      <c r="Q191" s="10" t="s">
        <v>1818</v>
      </c>
      <c r="R191" s="10" t="s">
        <v>1819</v>
      </c>
      <c r="S191" s="12"/>
      <c r="T191" s="12"/>
      <c r="U191" s="17" t="str">
        <f>HYPERLINK("https://pbs.twimg.com/profile_images/1138306475225493504/Um22kB8Y.jpg","View")</f>
        <v>View</v>
      </c>
      <c r="V191" s="12"/>
      <c r="W191" s="12"/>
      <c r="X191" s="12"/>
      <c r="Y191" s="12"/>
      <c r="Z191" s="12"/>
    </row>
    <row r="192">
      <c r="A192" s="8">
        <v>44221.46885416667</v>
      </c>
      <c r="B192" s="9" t="str">
        <f>HYPERLINK("https://twitter.com/_Gerardoo_","@_Gerardoo_")</f>
        <v>@_Gerardoo_</v>
      </c>
      <c r="C192" s="10" t="s">
        <v>1820</v>
      </c>
      <c r="D192" s="10" t="s">
        <v>1821</v>
      </c>
      <c r="E192" s="9" t="str">
        <f>HYPERLINK("https://twitter.com/_Gerardoo_/status/1353753286059425793","1353753286059425793")</f>
        <v>1353753286059425793</v>
      </c>
      <c r="F192" s="12"/>
      <c r="G192" s="12"/>
      <c r="H192" s="12"/>
      <c r="I192" s="13">
        <v>0.0</v>
      </c>
      <c r="J192" s="13">
        <v>1.0</v>
      </c>
      <c r="K192" s="9" t="str">
        <f t="shared" ref="K192:K193" si="49">HYPERLINK("http://twitter.com/download/android","Twitter for Android")</f>
        <v>Twitter for Android</v>
      </c>
      <c r="L192" s="14">
        <v>1179.0</v>
      </c>
      <c r="M192" s="14">
        <v>1024.0</v>
      </c>
      <c r="N192" s="14">
        <v>7.0</v>
      </c>
      <c r="O192" s="19"/>
      <c r="P192" s="16">
        <v>40409.67166666667</v>
      </c>
      <c r="Q192" s="10" t="s">
        <v>1822</v>
      </c>
      <c r="R192" s="10" t="s">
        <v>1823</v>
      </c>
      <c r="S192" s="12"/>
      <c r="T192" s="12"/>
      <c r="U192" s="17" t="str">
        <f>HYPERLINK("https://pbs.twimg.com/profile_images/704559845056229376/Xmud58Zi.jpg","View")</f>
        <v>View</v>
      </c>
      <c r="V192" s="12"/>
      <c r="W192" s="12"/>
      <c r="X192" s="12"/>
      <c r="Y192" s="12"/>
      <c r="Z192" s="12"/>
    </row>
    <row r="193">
      <c r="A193" s="8">
        <v>44221.46736111111</v>
      </c>
      <c r="B193" s="9" t="str">
        <f>HYPERLINK("https://twitter.com/Reinadee_izcali","@Reinadee_izcali")</f>
        <v>@Reinadee_izcali</v>
      </c>
      <c r="C193" s="10" t="s">
        <v>1824</v>
      </c>
      <c r="D193" s="10" t="s">
        <v>1825</v>
      </c>
      <c r="E193" s="9" t="str">
        <f>HYPERLINK("https://twitter.com/Reinadee_izcali/status/1353752742976696327","1353752742976696327")</f>
        <v>1353752742976696327</v>
      </c>
      <c r="F193" s="10" t="s">
        <v>1642</v>
      </c>
      <c r="G193" s="11" t="s">
        <v>1643</v>
      </c>
      <c r="H193" s="12"/>
      <c r="I193" s="13">
        <v>0.0</v>
      </c>
      <c r="J193" s="13">
        <v>2.0</v>
      </c>
      <c r="K193" s="9" t="str">
        <f t="shared" si="49"/>
        <v>Twitter for Android</v>
      </c>
      <c r="L193" s="14">
        <v>437.0</v>
      </c>
      <c r="M193" s="14">
        <v>622.0</v>
      </c>
      <c r="N193" s="14">
        <v>0.0</v>
      </c>
      <c r="O193" s="19"/>
      <c r="P193" s="16">
        <v>44196.63877314815</v>
      </c>
      <c r="Q193" s="10" t="s">
        <v>1826</v>
      </c>
      <c r="R193" s="10" t="s">
        <v>1827</v>
      </c>
      <c r="S193" s="12"/>
      <c r="T193" s="12"/>
      <c r="U193" s="17" t="str">
        <f>HYPERLINK("https://pbs.twimg.com/profile_images/1344755234653011970/NeSBgpxt.jpg","View")</f>
        <v>View</v>
      </c>
      <c r="V193" s="12"/>
      <c r="W193" s="12"/>
      <c r="X193" s="12"/>
      <c r="Y193" s="12"/>
      <c r="Z193" s="12"/>
    </row>
    <row r="194">
      <c r="A194" s="8">
        <v>44221.466875</v>
      </c>
      <c r="B194" s="9" t="str">
        <f>HYPERLINK("https://twitter.com/Carl0zHdz","@Carl0zHdz")</f>
        <v>@Carl0zHdz</v>
      </c>
      <c r="C194" s="10" t="s">
        <v>892</v>
      </c>
      <c r="D194" s="10" t="s">
        <v>893</v>
      </c>
      <c r="E194" s="9" t="str">
        <f>HYPERLINK("https://twitter.com/Carl0zHdz/status/1353752567763922948","1353752567763922948")</f>
        <v>1353752567763922948</v>
      </c>
      <c r="F194" s="12"/>
      <c r="G194" s="12"/>
      <c r="H194" s="12"/>
      <c r="I194" s="13">
        <v>0.0</v>
      </c>
      <c r="J194" s="13">
        <v>0.0</v>
      </c>
      <c r="K194" s="9" t="str">
        <f>HYPERLINK("https://mobile.twitter.com","Twitter Web App")</f>
        <v>Twitter Web App</v>
      </c>
      <c r="L194" s="14">
        <v>485.0</v>
      </c>
      <c r="M194" s="14">
        <v>3033.0</v>
      </c>
      <c r="N194" s="14">
        <v>0.0</v>
      </c>
      <c r="O194" s="19"/>
      <c r="P194" s="16">
        <v>40899.96271990741</v>
      </c>
      <c r="Q194" s="12"/>
      <c r="R194" s="10" t="s">
        <v>894</v>
      </c>
      <c r="S194" s="12"/>
      <c r="T194" s="12"/>
      <c r="U194" s="17" t="str">
        <f>HYPERLINK("https://pbs.twimg.com/profile_images/1353756079390412802/kbUVelD8.jpg","View")</f>
        <v>View</v>
      </c>
      <c r="V194" s="12"/>
      <c r="W194" s="12"/>
      <c r="X194" s="12"/>
      <c r="Y194" s="12"/>
      <c r="Z194" s="12"/>
    </row>
    <row r="195">
      <c r="A195" s="8">
        <v>44221.45983796296</v>
      </c>
      <c r="B195" s="9" t="str">
        <f>HYPERLINK("https://twitter.com/elorco21","@elorco21")</f>
        <v>@elorco21</v>
      </c>
      <c r="C195" s="10" t="s">
        <v>1828</v>
      </c>
      <c r="D195" s="10" t="s">
        <v>1829</v>
      </c>
      <c r="E195" s="9" t="str">
        <f>HYPERLINK("https://twitter.com/elorco21/status/1353750016742092801","1353750016742092801")</f>
        <v>1353750016742092801</v>
      </c>
      <c r="F195" s="10" t="s">
        <v>1830</v>
      </c>
      <c r="G195" s="11" t="s">
        <v>1767</v>
      </c>
      <c r="H195" s="12"/>
      <c r="I195" s="13">
        <v>0.0</v>
      </c>
      <c r="J195" s="13">
        <v>0.0</v>
      </c>
      <c r="K195" s="9" t="str">
        <f>HYPERLINK("http://twitter.com/download/iphone","Twitter for iPhone")</f>
        <v>Twitter for iPhone</v>
      </c>
      <c r="L195" s="14">
        <v>1223.0</v>
      </c>
      <c r="M195" s="14">
        <v>324.0</v>
      </c>
      <c r="N195" s="14">
        <v>18.0</v>
      </c>
      <c r="O195" s="19"/>
      <c r="P195" s="16">
        <v>40152.52668981481</v>
      </c>
      <c r="Q195" s="10" t="s">
        <v>1831</v>
      </c>
      <c r="R195" s="10" t="s">
        <v>1832</v>
      </c>
      <c r="S195" s="12"/>
      <c r="T195" s="12"/>
      <c r="U195" s="17" t="str">
        <f>HYPERLINK("https://pbs.twimg.com/profile_images/1344360907820953601/InuLfZrc.jpg","View")</f>
        <v>View</v>
      </c>
      <c r="V195" s="12"/>
      <c r="W195" s="12"/>
      <c r="X195" s="12"/>
      <c r="Y195" s="12"/>
      <c r="Z195" s="12"/>
    </row>
    <row r="196">
      <c r="A196" s="8">
        <v>44221.455937499995</v>
      </c>
      <c r="B196" s="9" t="str">
        <f>HYPERLINK("https://twitter.com/asulvanam","@asulvanam")</f>
        <v>@asulvanam</v>
      </c>
      <c r="C196" s="10" t="s">
        <v>1833</v>
      </c>
      <c r="D196" s="10" t="s">
        <v>1834</v>
      </c>
      <c r="E196" s="9" t="str">
        <f>HYPERLINK("https://twitter.com/asulvanam/status/1353748604687675393","1353748604687675393")</f>
        <v>1353748604687675393</v>
      </c>
      <c r="F196" s="12"/>
      <c r="G196" s="12"/>
      <c r="H196" s="12"/>
      <c r="I196" s="13">
        <v>1.0</v>
      </c>
      <c r="J196" s="13">
        <v>1.0</v>
      </c>
      <c r="K196" s="9" t="str">
        <f>HYPERLINK("http://twitter.com/download/android","Twitter for Android")</f>
        <v>Twitter for Android</v>
      </c>
      <c r="L196" s="14">
        <v>969.0</v>
      </c>
      <c r="M196" s="14">
        <v>4499.0</v>
      </c>
      <c r="N196" s="14">
        <v>2.0</v>
      </c>
      <c r="O196" s="19"/>
      <c r="P196" s="16">
        <v>42814.712905092594</v>
      </c>
      <c r="Q196" s="10" t="s">
        <v>1835</v>
      </c>
      <c r="R196" s="10" t="s">
        <v>1836</v>
      </c>
      <c r="S196" s="12"/>
      <c r="T196" s="12"/>
      <c r="U196" s="17" t="str">
        <f>HYPERLINK("https://pbs.twimg.com/profile_images/1351612643992330246/o7GQxmyg.jpg","View")</f>
        <v>View</v>
      </c>
      <c r="V196" s="12"/>
      <c r="W196" s="12"/>
      <c r="X196" s="12"/>
      <c r="Y196" s="12"/>
      <c r="Z196" s="12"/>
    </row>
    <row r="197">
      <c r="A197" s="8">
        <v>44221.45549768519</v>
      </c>
      <c r="B197" s="9" t="str">
        <f>HYPERLINK("https://twitter.com/BJConnor18","@BJConnor18")</f>
        <v>@BJConnor18</v>
      </c>
      <c r="C197" s="10" t="s">
        <v>1837</v>
      </c>
      <c r="D197" s="10" t="s">
        <v>1838</v>
      </c>
      <c r="E197" s="9" t="str">
        <f>HYPERLINK("https://twitter.com/BJConnor18/status/1353748446746873861","1353748446746873861")</f>
        <v>1353748446746873861</v>
      </c>
      <c r="F197" s="10" t="s">
        <v>1839</v>
      </c>
      <c r="G197" s="12"/>
      <c r="H197" s="12"/>
      <c r="I197" s="13">
        <v>2.0</v>
      </c>
      <c r="J197" s="13">
        <v>10.0</v>
      </c>
      <c r="K197" s="9" t="str">
        <f>HYPERLINK("http://tapbots.com/tweetbot","Tweetbot for iΟS")</f>
        <v>Tweetbot for iΟS</v>
      </c>
      <c r="L197" s="14">
        <v>1410.0</v>
      </c>
      <c r="M197" s="14">
        <v>470.0</v>
      </c>
      <c r="N197" s="14">
        <v>1.0</v>
      </c>
      <c r="O197" s="19"/>
      <c r="P197" s="16">
        <v>44216.731203703705</v>
      </c>
      <c r="Q197" s="12"/>
      <c r="R197" s="10" t="s">
        <v>1840</v>
      </c>
      <c r="S197" s="12"/>
      <c r="T197" s="12"/>
      <c r="U197" s="17" t="str">
        <f>HYPERLINK("https://pbs.twimg.com/profile_images/1354139683131944963/UDeciJeD.jpg","View")</f>
        <v>View</v>
      </c>
      <c r="V197" s="12"/>
      <c r="W197" s="12"/>
      <c r="X197" s="12"/>
      <c r="Y197" s="12"/>
      <c r="Z197" s="12"/>
    </row>
    <row r="198">
      <c r="A198" s="8">
        <v>44221.45284722222</v>
      </c>
      <c r="B198" s="9" t="str">
        <f>HYPERLINK("https://twitter.com/_ElRagna","@_ElRagna")</f>
        <v>@_ElRagna</v>
      </c>
      <c r="C198" s="10" t="s">
        <v>1764</v>
      </c>
      <c r="D198" s="10" t="s">
        <v>1841</v>
      </c>
      <c r="E198" s="9" t="str">
        <f>HYPERLINK("https://twitter.com/_ElRagna/status/1353747486649835520","1353747486649835520")</f>
        <v>1353747486649835520</v>
      </c>
      <c r="F198" s="12"/>
      <c r="G198" s="12"/>
      <c r="H198" s="12"/>
      <c r="I198" s="13">
        <v>0.0</v>
      </c>
      <c r="J198" s="13">
        <v>2.0</v>
      </c>
      <c r="K198" s="9" t="str">
        <f>HYPERLINK("https://mobile.twitter.com","Twitter Web App")</f>
        <v>Twitter Web App</v>
      </c>
      <c r="L198" s="14">
        <v>601.0</v>
      </c>
      <c r="M198" s="14">
        <v>557.0</v>
      </c>
      <c r="N198" s="14">
        <v>17.0</v>
      </c>
      <c r="O198" s="19"/>
      <c r="P198" s="16">
        <v>40448.66607638889</v>
      </c>
      <c r="Q198" s="10" t="s">
        <v>1768</v>
      </c>
      <c r="R198" s="10" t="s">
        <v>1769</v>
      </c>
      <c r="S198" s="12"/>
      <c r="T198" s="12"/>
      <c r="U198" s="17" t="str">
        <f>HYPERLINK("https://pbs.twimg.com/profile_images/1350720800400105479/oBnb0kvc.jpg","View")</f>
        <v>View</v>
      </c>
      <c r="V198" s="12"/>
      <c r="W198" s="12"/>
      <c r="X198" s="12"/>
      <c r="Y198" s="12"/>
      <c r="Z198" s="12"/>
    </row>
    <row r="199">
      <c r="A199" s="8">
        <v>44221.45207175926</v>
      </c>
      <c r="B199" s="9" t="str">
        <f>HYPERLINK("https://twitter.com/jrjrpm","@jrjrpm")</f>
        <v>@jrjrpm</v>
      </c>
      <c r="C199" s="10" t="s">
        <v>1842</v>
      </c>
      <c r="D199" s="10" t="s">
        <v>1843</v>
      </c>
      <c r="E199" s="9" t="str">
        <f>HYPERLINK("https://twitter.com/jrjrpm/status/1353747204490416128","1353747204490416128")</f>
        <v>1353747204490416128</v>
      </c>
      <c r="F199" s="12"/>
      <c r="G199" s="12"/>
      <c r="H199" s="12"/>
      <c r="I199" s="13">
        <v>2.0</v>
      </c>
      <c r="J199" s="13">
        <v>3.0</v>
      </c>
      <c r="K199" s="9" t="str">
        <f t="shared" ref="K199:K200" si="50">HYPERLINK("http://twitter.com/download/android","Twitter for Android")</f>
        <v>Twitter for Android</v>
      </c>
      <c r="L199" s="14">
        <v>1091.0</v>
      </c>
      <c r="M199" s="14">
        <v>641.0</v>
      </c>
      <c r="N199" s="14">
        <v>3.0</v>
      </c>
      <c r="O199" s="19"/>
      <c r="P199" s="16">
        <v>41014.86467592593</v>
      </c>
      <c r="Q199" s="12"/>
      <c r="R199" s="10" t="s">
        <v>1844</v>
      </c>
      <c r="S199" s="12"/>
      <c r="T199" s="12"/>
      <c r="U199" s="17" t="str">
        <f>HYPERLINK("https://pbs.twimg.com/profile_images/1172890572748554240/xGtwmNEY.jpg","View")</f>
        <v>View</v>
      </c>
      <c r="V199" s="12"/>
      <c r="W199" s="12"/>
      <c r="X199" s="12"/>
      <c r="Y199" s="12"/>
      <c r="Z199" s="12"/>
    </row>
    <row r="200">
      <c r="A200" s="8">
        <v>44221.45112268519</v>
      </c>
      <c r="B200" s="9" t="str">
        <f>HYPERLINK("https://twitter.com/jhmm61","@jhmm61")</f>
        <v>@jhmm61</v>
      </c>
      <c r="C200" s="10" t="s">
        <v>1468</v>
      </c>
      <c r="D200" s="10" t="s">
        <v>1845</v>
      </c>
      <c r="E200" s="9" t="str">
        <f>HYPERLINK("https://twitter.com/jhmm61/status/1353746860939366402","1353746860939366402")</f>
        <v>1353746860939366402</v>
      </c>
      <c r="F200" s="10" t="s">
        <v>1839</v>
      </c>
      <c r="G200" s="11" t="s">
        <v>1846</v>
      </c>
      <c r="H200" s="12"/>
      <c r="I200" s="13">
        <v>1.0</v>
      </c>
      <c r="J200" s="13">
        <v>0.0</v>
      </c>
      <c r="K200" s="9" t="str">
        <f t="shared" si="50"/>
        <v>Twitter for Android</v>
      </c>
      <c r="L200" s="14">
        <v>2154.0</v>
      </c>
      <c r="M200" s="14">
        <v>1767.0</v>
      </c>
      <c r="N200" s="14">
        <v>22.0</v>
      </c>
      <c r="O200" s="19"/>
      <c r="P200" s="16">
        <v>40651.88928240741</v>
      </c>
      <c r="Q200" s="10" t="s">
        <v>1472</v>
      </c>
      <c r="R200" s="10" t="s">
        <v>1473</v>
      </c>
      <c r="S200" s="12"/>
      <c r="T200" s="12"/>
      <c r="U200" s="17" t="str">
        <f>HYPERLINK("https://pbs.twimg.com/profile_images/1298409082530013189/wW105PGX.jpg","View")</f>
        <v>View</v>
      </c>
      <c r="V200" s="12"/>
      <c r="W200" s="12"/>
      <c r="X200" s="12"/>
      <c r="Y200" s="12"/>
      <c r="Z200" s="12"/>
    </row>
    <row r="201">
      <c r="A201" s="8">
        <v>44221.43863425926</v>
      </c>
      <c r="B201" s="9" t="str">
        <f>HYPERLINK("https://twitter.com/puratolvanera","@puratolvanera")</f>
        <v>@puratolvanera</v>
      </c>
      <c r="C201" s="10" t="s">
        <v>1847</v>
      </c>
      <c r="D201" s="10" t="s">
        <v>1848</v>
      </c>
      <c r="E201" s="9" t="str">
        <f>HYPERLINK("https://twitter.com/puratolvanera/status/1353742333569871874","1353742333569871874")</f>
        <v>1353742333569871874</v>
      </c>
      <c r="F201" s="12"/>
      <c r="G201" s="12"/>
      <c r="H201" s="12"/>
      <c r="I201" s="13">
        <v>2.0</v>
      </c>
      <c r="J201" s="13">
        <v>13.0</v>
      </c>
      <c r="K201" s="9" t="str">
        <f t="shared" ref="K201:K202" si="51">HYPERLINK("https://mobile.twitter.com","Twitter Web App")</f>
        <v>Twitter Web App</v>
      </c>
      <c r="L201" s="14">
        <v>6578.0</v>
      </c>
      <c r="M201" s="14">
        <v>1016.0</v>
      </c>
      <c r="N201" s="14">
        <v>77.0</v>
      </c>
      <c r="O201" s="15" t="s">
        <v>24</v>
      </c>
      <c r="P201" s="16">
        <v>40194.621145833335</v>
      </c>
      <c r="Q201" s="10" t="s">
        <v>1849</v>
      </c>
      <c r="R201" s="10" t="s">
        <v>1850</v>
      </c>
      <c r="S201" s="11" t="s">
        <v>1851</v>
      </c>
      <c r="T201" s="12"/>
      <c r="U201" s="17" t="str">
        <f>HYPERLINK("https://pbs.twimg.com/profile_images/1145914342669340672/chgEvemP.jpg","View")</f>
        <v>View</v>
      </c>
      <c r="V201" s="12"/>
      <c r="W201" s="12"/>
      <c r="X201" s="12"/>
      <c r="Y201" s="12"/>
      <c r="Z201" s="12"/>
    </row>
    <row r="202">
      <c r="A202" s="8">
        <v>44221.438425925924</v>
      </c>
      <c r="B202" s="9" t="str">
        <f>HYPERLINK("https://twitter.com/cesarqbucio","@cesarqbucio")</f>
        <v>@cesarqbucio</v>
      </c>
      <c r="C202" s="10" t="s">
        <v>1852</v>
      </c>
      <c r="D202" s="10" t="s">
        <v>1853</v>
      </c>
      <c r="E202" s="9" t="str">
        <f>HYPERLINK("https://twitter.com/cesarqbucio/status/1353742259339067392","1353742259339067392")</f>
        <v>1353742259339067392</v>
      </c>
      <c r="F202" s="12"/>
      <c r="G202" s="12"/>
      <c r="H202" s="12"/>
      <c r="I202" s="13">
        <v>0.0</v>
      </c>
      <c r="J202" s="13">
        <v>2.0</v>
      </c>
      <c r="K202" s="9" t="str">
        <f t="shared" si="51"/>
        <v>Twitter Web App</v>
      </c>
      <c r="L202" s="14">
        <v>1407.0</v>
      </c>
      <c r="M202" s="14">
        <v>1724.0</v>
      </c>
      <c r="N202" s="14">
        <v>12.0</v>
      </c>
      <c r="O202" s="19"/>
      <c r="P202" s="16">
        <v>40313.77929398148</v>
      </c>
      <c r="Q202" s="10" t="s">
        <v>1854</v>
      </c>
      <c r="R202" s="10" t="s">
        <v>1855</v>
      </c>
      <c r="S202" s="12"/>
      <c r="T202" s="12"/>
      <c r="U202" s="17" t="str">
        <f>HYPERLINK("https://pbs.twimg.com/profile_images/1352309691775332353/HkJK9WJ4.jpg","View")</f>
        <v>View</v>
      </c>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row r="1101">
      <c r="A1101" s="18"/>
      <c r="B1101" s="12"/>
      <c r="C1101" s="12"/>
      <c r="D1101" s="12"/>
      <c r="E1101" s="12"/>
      <c r="F1101" s="12"/>
      <c r="G1101" s="12"/>
      <c r="H1101" s="12"/>
      <c r="I1101" s="12"/>
      <c r="J1101" s="12"/>
      <c r="K1101" s="12"/>
      <c r="L1101" s="19"/>
      <c r="M1101" s="19"/>
      <c r="N1101" s="19"/>
      <c r="O1101" s="19"/>
      <c r="P1101" s="19"/>
      <c r="Q1101" s="12"/>
      <c r="R1101" s="12"/>
      <c r="S1101" s="12"/>
      <c r="T1101" s="12"/>
      <c r="U1101" s="19"/>
      <c r="V1101" s="12"/>
      <c r="W1101" s="12"/>
      <c r="X1101" s="12"/>
      <c r="Y1101" s="12"/>
      <c r="Z1101" s="12"/>
    </row>
    <row r="1102">
      <c r="A1102" s="18"/>
      <c r="B1102" s="12"/>
      <c r="C1102" s="12"/>
      <c r="D1102" s="12"/>
      <c r="E1102" s="12"/>
      <c r="F1102" s="12"/>
      <c r="G1102" s="12"/>
      <c r="H1102" s="12"/>
      <c r="I1102" s="12"/>
      <c r="J1102" s="12"/>
      <c r="K1102" s="12"/>
      <c r="L1102" s="19"/>
      <c r="M1102" s="19"/>
      <c r="N1102" s="19"/>
      <c r="O1102" s="19"/>
      <c r="P1102" s="19"/>
      <c r="Q1102" s="12"/>
      <c r="R1102" s="12"/>
      <c r="S1102" s="12"/>
      <c r="T1102" s="12"/>
      <c r="U1102" s="19"/>
      <c r="V1102" s="12"/>
      <c r="W1102" s="12"/>
      <c r="X1102" s="12"/>
      <c r="Y1102" s="12"/>
      <c r="Z1102" s="12"/>
    </row>
    <row r="1103">
      <c r="A1103" s="18"/>
      <c r="B1103" s="12"/>
      <c r="C1103" s="12"/>
      <c r="D1103" s="12"/>
      <c r="E1103" s="12"/>
      <c r="F1103" s="12"/>
      <c r="G1103" s="12"/>
      <c r="H1103" s="12"/>
      <c r="I1103" s="12"/>
      <c r="J1103" s="12"/>
      <c r="K1103" s="12"/>
      <c r="L1103" s="19"/>
      <c r="M1103" s="19"/>
      <c r="N1103" s="19"/>
      <c r="O1103" s="19"/>
      <c r="P1103" s="19"/>
      <c r="Q1103" s="12"/>
      <c r="R1103" s="12"/>
      <c r="S1103" s="12"/>
      <c r="T1103" s="12"/>
      <c r="U1103" s="19"/>
      <c r="V1103" s="12"/>
      <c r="W1103" s="12"/>
      <c r="X1103" s="12"/>
      <c r="Y1103" s="12"/>
      <c r="Z1103" s="12"/>
    </row>
    <row r="1104">
      <c r="A1104" s="18"/>
      <c r="B1104" s="12"/>
      <c r="C1104" s="12"/>
      <c r="D1104" s="12"/>
      <c r="E1104" s="12"/>
      <c r="F1104" s="12"/>
      <c r="G1104" s="12"/>
      <c r="H1104" s="12"/>
      <c r="I1104" s="12"/>
      <c r="J1104" s="12"/>
      <c r="K1104" s="12"/>
      <c r="L1104" s="19"/>
      <c r="M1104" s="19"/>
      <c r="N1104" s="19"/>
      <c r="O1104" s="19"/>
      <c r="P1104" s="19"/>
      <c r="Q1104" s="12"/>
      <c r="R1104" s="12"/>
      <c r="S1104" s="12"/>
      <c r="T1104" s="12"/>
      <c r="U1104" s="19"/>
      <c r="V1104" s="12"/>
      <c r="W1104" s="12"/>
      <c r="X1104" s="12"/>
      <c r="Y1104" s="12"/>
      <c r="Z1104" s="12"/>
    </row>
    <row r="1105">
      <c r="A1105" s="18"/>
      <c r="B1105" s="12"/>
      <c r="C1105" s="12"/>
      <c r="D1105" s="12"/>
      <c r="E1105" s="12"/>
      <c r="F1105" s="12"/>
      <c r="G1105" s="12"/>
      <c r="H1105" s="12"/>
      <c r="I1105" s="12"/>
      <c r="J1105" s="12"/>
      <c r="K1105" s="12"/>
      <c r="L1105" s="19"/>
      <c r="M1105" s="19"/>
      <c r="N1105" s="19"/>
      <c r="O1105" s="19"/>
      <c r="P1105" s="19"/>
      <c r="Q1105" s="12"/>
      <c r="R1105" s="12"/>
      <c r="S1105" s="12"/>
      <c r="T1105" s="12"/>
      <c r="U1105" s="19"/>
      <c r="V1105" s="12"/>
      <c r="W1105" s="12"/>
      <c r="X1105" s="12"/>
      <c r="Y1105" s="12"/>
      <c r="Z1105" s="12"/>
    </row>
    <row r="1106">
      <c r="A1106" s="18"/>
      <c r="B1106" s="12"/>
      <c r="C1106" s="12"/>
      <c r="D1106" s="12"/>
      <c r="E1106" s="12"/>
      <c r="F1106" s="12"/>
      <c r="G1106" s="12"/>
      <c r="H1106" s="12"/>
      <c r="I1106" s="12"/>
      <c r="J1106" s="12"/>
      <c r="K1106" s="12"/>
      <c r="L1106" s="19"/>
      <c r="M1106" s="19"/>
      <c r="N1106" s="19"/>
      <c r="O1106" s="19"/>
      <c r="P1106" s="19"/>
      <c r="Q1106" s="12"/>
      <c r="R1106" s="12"/>
      <c r="S1106" s="12"/>
      <c r="T1106" s="12"/>
      <c r="U1106" s="19"/>
      <c r="V1106" s="12"/>
      <c r="W1106" s="12"/>
      <c r="X1106" s="12"/>
      <c r="Y1106" s="12"/>
      <c r="Z1106" s="12"/>
    </row>
    <row r="1107">
      <c r="A1107" s="18"/>
      <c r="B1107" s="12"/>
      <c r="C1107" s="12"/>
      <c r="D1107" s="12"/>
      <c r="E1107" s="12"/>
      <c r="F1107" s="12"/>
      <c r="G1107" s="12"/>
      <c r="H1107" s="12"/>
      <c r="I1107" s="12"/>
      <c r="J1107" s="12"/>
      <c r="K1107" s="12"/>
      <c r="L1107" s="19"/>
      <c r="M1107" s="19"/>
      <c r="N1107" s="19"/>
      <c r="O1107" s="19"/>
      <c r="P1107" s="19"/>
      <c r="Q1107" s="12"/>
      <c r="R1107" s="12"/>
      <c r="S1107" s="12"/>
      <c r="T1107" s="12"/>
      <c r="U1107" s="19"/>
      <c r="V1107" s="12"/>
      <c r="W1107" s="12"/>
      <c r="X1107" s="12"/>
      <c r="Y1107" s="12"/>
      <c r="Z1107" s="12"/>
    </row>
    <row r="1108">
      <c r="A1108" s="18"/>
      <c r="B1108" s="12"/>
      <c r="C1108" s="12"/>
      <c r="D1108" s="12"/>
      <c r="E1108" s="12"/>
      <c r="F1108" s="12"/>
      <c r="G1108" s="12"/>
      <c r="H1108" s="12"/>
      <c r="I1108" s="12"/>
      <c r="J1108" s="12"/>
      <c r="K1108" s="12"/>
      <c r="L1108" s="19"/>
      <c r="M1108" s="19"/>
      <c r="N1108" s="19"/>
      <c r="O1108" s="19"/>
      <c r="P1108" s="19"/>
      <c r="Q1108" s="12"/>
      <c r="R1108" s="12"/>
      <c r="S1108" s="12"/>
      <c r="T1108" s="12"/>
      <c r="U1108" s="19"/>
      <c r="V1108" s="12"/>
      <c r="W1108" s="12"/>
      <c r="X1108" s="12"/>
      <c r="Y1108" s="12"/>
      <c r="Z1108" s="12"/>
    </row>
    <row r="1109">
      <c r="A1109" s="18"/>
      <c r="B1109" s="12"/>
      <c r="C1109" s="12"/>
      <c r="D1109" s="12"/>
      <c r="E1109" s="12"/>
      <c r="F1109" s="12"/>
      <c r="G1109" s="12"/>
      <c r="H1109" s="12"/>
      <c r="I1109" s="12"/>
      <c r="J1109" s="12"/>
      <c r="K1109" s="12"/>
      <c r="L1109" s="19"/>
      <c r="M1109" s="19"/>
      <c r="N1109" s="19"/>
      <c r="O1109" s="19"/>
      <c r="P1109" s="19"/>
      <c r="Q1109" s="12"/>
      <c r="R1109" s="12"/>
      <c r="S1109" s="12"/>
      <c r="T1109" s="12"/>
      <c r="U1109" s="19"/>
      <c r="V1109" s="12"/>
      <c r="W1109" s="12"/>
      <c r="X1109" s="12"/>
      <c r="Y1109" s="12"/>
      <c r="Z1109" s="12"/>
    </row>
    <row r="1110">
      <c r="A1110" s="18"/>
      <c r="B1110" s="12"/>
      <c r="C1110" s="12"/>
      <c r="D1110" s="12"/>
      <c r="E1110" s="12"/>
      <c r="F1110" s="12"/>
      <c r="G1110" s="12"/>
      <c r="H1110" s="12"/>
      <c r="I1110" s="12"/>
      <c r="J1110" s="12"/>
      <c r="K1110" s="12"/>
      <c r="L1110" s="19"/>
      <c r="M1110" s="19"/>
      <c r="N1110" s="19"/>
      <c r="O1110" s="19"/>
      <c r="P1110" s="19"/>
      <c r="Q1110" s="12"/>
      <c r="R1110" s="12"/>
      <c r="S1110" s="12"/>
      <c r="T1110" s="12"/>
      <c r="U1110" s="19"/>
      <c r="V1110" s="12"/>
      <c r="W1110" s="12"/>
      <c r="X1110" s="12"/>
      <c r="Y1110" s="12"/>
      <c r="Z1110" s="12"/>
    </row>
    <row r="1111">
      <c r="A1111" s="18"/>
      <c r="B1111" s="12"/>
      <c r="C1111" s="12"/>
      <c r="D1111" s="12"/>
      <c r="E1111" s="12"/>
      <c r="F1111" s="12"/>
      <c r="G1111" s="12"/>
      <c r="H1111" s="12"/>
      <c r="I1111" s="12"/>
      <c r="J1111" s="12"/>
      <c r="K1111" s="12"/>
      <c r="L1111" s="19"/>
      <c r="M1111" s="19"/>
      <c r="N1111" s="19"/>
      <c r="O1111" s="19"/>
      <c r="P1111" s="19"/>
      <c r="Q1111" s="12"/>
      <c r="R1111" s="12"/>
      <c r="S1111" s="12"/>
      <c r="T1111" s="12"/>
      <c r="U1111" s="19"/>
      <c r="V1111" s="12"/>
      <c r="W1111" s="12"/>
      <c r="X1111" s="12"/>
      <c r="Y1111" s="12"/>
      <c r="Z1111" s="12"/>
    </row>
    <row r="1112">
      <c r="A1112" s="18"/>
      <c r="B1112" s="12"/>
      <c r="C1112" s="12"/>
      <c r="D1112" s="12"/>
      <c r="E1112" s="12"/>
      <c r="F1112" s="12"/>
      <c r="G1112" s="12"/>
      <c r="H1112" s="12"/>
      <c r="I1112" s="12"/>
      <c r="J1112" s="12"/>
      <c r="K1112" s="12"/>
      <c r="L1112" s="19"/>
      <c r="M1112" s="19"/>
      <c r="N1112" s="19"/>
      <c r="O1112" s="19"/>
      <c r="P1112" s="19"/>
      <c r="Q1112" s="12"/>
      <c r="R1112" s="12"/>
      <c r="S1112" s="12"/>
      <c r="T1112" s="12"/>
      <c r="U1112" s="19"/>
      <c r="V1112" s="12"/>
      <c r="W1112" s="12"/>
      <c r="X1112" s="12"/>
      <c r="Y1112" s="12"/>
      <c r="Z1112" s="12"/>
    </row>
    <row r="1113">
      <c r="A1113" s="18"/>
      <c r="B1113" s="12"/>
      <c r="C1113" s="12"/>
      <c r="D1113" s="12"/>
      <c r="E1113" s="12"/>
      <c r="F1113" s="12"/>
      <c r="G1113" s="12"/>
      <c r="H1113" s="12"/>
      <c r="I1113" s="12"/>
      <c r="J1113" s="12"/>
      <c r="K1113" s="12"/>
      <c r="L1113" s="19"/>
      <c r="M1113" s="19"/>
      <c r="N1113" s="19"/>
      <c r="O1113" s="19"/>
      <c r="P1113" s="19"/>
      <c r="Q1113" s="12"/>
      <c r="R1113" s="12"/>
      <c r="S1113" s="12"/>
      <c r="T1113" s="12"/>
      <c r="U1113" s="19"/>
      <c r="V1113" s="12"/>
      <c r="W1113" s="12"/>
      <c r="X1113" s="12"/>
      <c r="Y1113" s="12"/>
      <c r="Z1113" s="12"/>
    </row>
    <row r="1114">
      <c r="A1114" s="18"/>
      <c r="B1114" s="12"/>
      <c r="C1114" s="12"/>
      <c r="D1114" s="12"/>
      <c r="E1114" s="12"/>
      <c r="F1114" s="12"/>
      <c r="G1114" s="12"/>
      <c r="H1114" s="12"/>
      <c r="I1114" s="12"/>
      <c r="J1114" s="12"/>
      <c r="K1114" s="12"/>
      <c r="L1114" s="19"/>
      <c r="M1114" s="19"/>
      <c r="N1114" s="19"/>
      <c r="O1114" s="19"/>
      <c r="P1114" s="19"/>
      <c r="Q1114" s="12"/>
      <c r="R1114" s="12"/>
      <c r="S1114" s="12"/>
      <c r="T1114" s="12"/>
      <c r="U1114" s="19"/>
      <c r="V1114" s="12"/>
      <c r="W1114" s="12"/>
      <c r="X1114" s="12"/>
      <c r="Y1114" s="12"/>
      <c r="Z1114" s="12"/>
    </row>
    <row r="1115">
      <c r="A1115" s="18"/>
      <c r="B1115" s="12"/>
      <c r="C1115" s="12"/>
      <c r="D1115" s="12"/>
      <c r="E1115" s="12"/>
      <c r="F1115" s="12"/>
      <c r="G1115" s="12"/>
      <c r="H1115" s="12"/>
      <c r="I1115" s="12"/>
      <c r="J1115" s="12"/>
      <c r="K1115" s="12"/>
      <c r="L1115" s="19"/>
      <c r="M1115" s="19"/>
      <c r="N1115" s="19"/>
      <c r="O1115" s="19"/>
      <c r="P1115" s="19"/>
      <c r="Q1115" s="12"/>
      <c r="R1115" s="12"/>
      <c r="S1115" s="12"/>
      <c r="T1115" s="12"/>
      <c r="U1115" s="19"/>
      <c r="V1115" s="12"/>
      <c r="W1115" s="12"/>
      <c r="X1115" s="12"/>
      <c r="Y1115" s="12"/>
      <c r="Z1115" s="12"/>
    </row>
    <row r="1116">
      <c r="A1116" s="18"/>
      <c r="B1116" s="12"/>
      <c r="C1116" s="12"/>
      <c r="D1116" s="12"/>
      <c r="E1116" s="12"/>
      <c r="F1116" s="12"/>
      <c r="G1116" s="12"/>
      <c r="H1116" s="12"/>
      <c r="I1116" s="12"/>
      <c r="J1116" s="12"/>
      <c r="K1116" s="12"/>
      <c r="L1116" s="19"/>
      <c r="M1116" s="19"/>
      <c r="N1116" s="19"/>
      <c r="O1116" s="19"/>
      <c r="P1116" s="19"/>
      <c r="Q1116" s="12"/>
      <c r="R1116" s="12"/>
      <c r="S1116" s="12"/>
      <c r="T1116" s="12"/>
      <c r="U1116" s="19"/>
      <c r="V1116" s="12"/>
      <c r="W1116" s="12"/>
      <c r="X1116" s="12"/>
      <c r="Y1116" s="12"/>
      <c r="Z1116" s="12"/>
    </row>
    <row r="1117">
      <c r="A1117" s="18"/>
      <c r="B1117" s="12"/>
      <c r="C1117" s="12"/>
      <c r="D1117" s="12"/>
      <c r="E1117" s="12"/>
      <c r="F1117" s="12"/>
      <c r="G1117" s="12"/>
      <c r="H1117" s="12"/>
      <c r="I1117" s="12"/>
      <c r="J1117" s="12"/>
      <c r="K1117" s="12"/>
      <c r="L1117" s="19"/>
      <c r="M1117" s="19"/>
      <c r="N1117" s="19"/>
      <c r="O1117" s="19"/>
      <c r="P1117" s="19"/>
      <c r="Q1117" s="12"/>
      <c r="R1117" s="12"/>
      <c r="S1117" s="12"/>
      <c r="T1117" s="12"/>
      <c r="U1117" s="19"/>
      <c r="V1117" s="12"/>
      <c r="W1117" s="12"/>
      <c r="X1117" s="12"/>
      <c r="Y1117" s="12"/>
      <c r="Z1117" s="12"/>
    </row>
    <row r="1118">
      <c r="A1118" s="18"/>
      <c r="B1118" s="12"/>
      <c r="C1118" s="12"/>
      <c r="D1118" s="12"/>
      <c r="E1118" s="12"/>
      <c r="F1118" s="12"/>
      <c r="G1118" s="12"/>
      <c r="H1118" s="12"/>
      <c r="I1118" s="12"/>
      <c r="J1118" s="12"/>
      <c r="K1118" s="12"/>
      <c r="L1118" s="19"/>
      <c r="M1118" s="19"/>
      <c r="N1118" s="19"/>
      <c r="O1118" s="19"/>
      <c r="P1118" s="19"/>
      <c r="Q1118" s="12"/>
      <c r="R1118" s="12"/>
      <c r="S1118" s="12"/>
      <c r="T1118" s="12"/>
      <c r="U1118" s="19"/>
      <c r="V1118" s="12"/>
      <c r="W1118" s="12"/>
      <c r="X1118" s="12"/>
      <c r="Y1118" s="12"/>
      <c r="Z1118" s="12"/>
    </row>
    <row r="1119">
      <c r="A1119" s="18"/>
      <c r="B1119" s="12"/>
      <c r="C1119" s="12"/>
      <c r="D1119" s="12"/>
      <c r="E1119" s="12"/>
      <c r="F1119" s="12"/>
      <c r="G1119" s="12"/>
      <c r="H1119" s="12"/>
      <c r="I1119" s="12"/>
      <c r="J1119" s="12"/>
      <c r="K1119" s="12"/>
      <c r="L1119" s="19"/>
      <c r="M1119" s="19"/>
      <c r="N1119" s="19"/>
      <c r="O1119" s="19"/>
      <c r="P1119" s="19"/>
      <c r="Q1119" s="12"/>
      <c r="R1119" s="12"/>
      <c r="S1119" s="12"/>
      <c r="T1119" s="12"/>
      <c r="U1119" s="19"/>
      <c r="V1119" s="12"/>
      <c r="W1119" s="12"/>
      <c r="X1119" s="12"/>
      <c r="Y1119" s="12"/>
      <c r="Z1119" s="12"/>
    </row>
    <row r="1120">
      <c r="A1120" s="18"/>
      <c r="B1120" s="12"/>
      <c r="C1120" s="12"/>
      <c r="D1120" s="12"/>
      <c r="E1120" s="12"/>
      <c r="F1120" s="12"/>
      <c r="G1120" s="12"/>
      <c r="H1120" s="12"/>
      <c r="I1120" s="12"/>
      <c r="J1120" s="12"/>
      <c r="K1120" s="12"/>
      <c r="L1120" s="19"/>
      <c r="M1120" s="19"/>
      <c r="N1120" s="19"/>
      <c r="O1120" s="19"/>
      <c r="P1120" s="19"/>
      <c r="Q1120" s="12"/>
      <c r="R1120" s="12"/>
      <c r="S1120" s="12"/>
      <c r="T1120" s="12"/>
      <c r="U1120" s="19"/>
      <c r="V1120" s="12"/>
      <c r="W1120" s="12"/>
      <c r="X1120" s="12"/>
      <c r="Y1120" s="12"/>
      <c r="Z1120" s="12"/>
    </row>
    <row r="1121">
      <c r="A1121" s="18"/>
      <c r="B1121" s="12"/>
      <c r="C1121" s="12"/>
      <c r="D1121" s="12"/>
      <c r="E1121" s="12"/>
      <c r="F1121" s="12"/>
      <c r="G1121" s="12"/>
      <c r="H1121" s="12"/>
      <c r="I1121" s="12"/>
      <c r="J1121" s="12"/>
      <c r="K1121" s="12"/>
      <c r="L1121" s="19"/>
      <c r="M1121" s="19"/>
      <c r="N1121" s="19"/>
      <c r="O1121" s="19"/>
      <c r="P1121" s="19"/>
      <c r="Q1121" s="12"/>
      <c r="R1121" s="12"/>
      <c r="S1121" s="12"/>
      <c r="T1121" s="12"/>
      <c r="U1121" s="19"/>
      <c r="V1121" s="12"/>
      <c r="W1121" s="12"/>
      <c r="X1121" s="12"/>
      <c r="Y1121" s="12"/>
      <c r="Z1121" s="12"/>
    </row>
    <row r="1122">
      <c r="A1122" s="18"/>
      <c r="B1122" s="12"/>
      <c r="C1122" s="12"/>
      <c r="D1122" s="12"/>
      <c r="E1122" s="12"/>
      <c r="F1122" s="12"/>
      <c r="G1122" s="12"/>
      <c r="H1122" s="12"/>
      <c r="I1122" s="12"/>
      <c r="J1122" s="12"/>
      <c r="K1122" s="12"/>
      <c r="L1122" s="19"/>
      <c r="M1122" s="19"/>
      <c r="N1122" s="19"/>
      <c r="O1122" s="19"/>
      <c r="P1122" s="19"/>
      <c r="Q1122" s="12"/>
      <c r="R1122" s="12"/>
      <c r="S1122" s="12"/>
      <c r="T1122" s="12"/>
      <c r="U1122" s="19"/>
      <c r="V1122" s="12"/>
      <c r="W1122" s="12"/>
      <c r="X1122" s="12"/>
      <c r="Y1122" s="12"/>
      <c r="Z1122" s="12"/>
    </row>
    <row r="1123">
      <c r="A1123" s="18"/>
      <c r="B1123" s="12"/>
      <c r="C1123" s="12"/>
      <c r="D1123" s="12"/>
      <c r="E1123" s="12"/>
      <c r="F1123" s="12"/>
      <c r="G1123" s="12"/>
      <c r="H1123" s="12"/>
      <c r="I1123" s="12"/>
      <c r="J1123" s="12"/>
      <c r="K1123" s="12"/>
      <c r="L1123" s="19"/>
      <c r="M1123" s="19"/>
      <c r="N1123" s="19"/>
      <c r="O1123" s="19"/>
      <c r="P1123" s="19"/>
      <c r="Q1123" s="12"/>
      <c r="R1123" s="12"/>
      <c r="S1123" s="12"/>
      <c r="T1123" s="12"/>
      <c r="U1123" s="19"/>
      <c r="V1123" s="12"/>
      <c r="W1123" s="12"/>
      <c r="X1123" s="12"/>
      <c r="Y1123" s="12"/>
      <c r="Z1123" s="12"/>
    </row>
    <row r="1124">
      <c r="A1124" s="18"/>
      <c r="B1124" s="12"/>
      <c r="C1124" s="12"/>
      <c r="D1124" s="12"/>
      <c r="E1124" s="12"/>
      <c r="F1124" s="12"/>
      <c r="G1124" s="12"/>
      <c r="H1124" s="12"/>
      <c r="I1124" s="12"/>
      <c r="J1124" s="12"/>
      <c r="K1124" s="12"/>
      <c r="L1124" s="19"/>
      <c r="M1124" s="19"/>
      <c r="N1124" s="19"/>
      <c r="O1124" s="19"/>
      <c r="P1124" s="19"/>
      <c r="Q1124" s="12"/>
      <c r="R1124" s="12"/>
      <c r="S1124" s="12"/>
      <c r="T1124" s="12"/>
      <c r="U1124" s="19"/>
      <c r="V1124" s="12"/>
      <c r="W1124" s="12"/>
      <c r="X1124" s="12"/>
      <c r="Y1124" s="12"/>
      <c r="Z1124" s="12"/>
    </row>
    <row r="1125">
      <c r="A1125" s="18"/>
      <c r="B1125" s="12"/>
      <c r="C1125" s="12"/>
      <c r="D1125" s="12"/>
      <c r="E1125" s="12"/>
      <c r="F1125" s="12"/>
      <c r="G1125" s="12"/>
      <c r="H1125" s="12"/>
      <c r="I1125" s="12"/>
      <c r="J1125" s="12"/>
      <c r="K1125" s="12"/>
      <c r="L1125" s="19"/>
      <c r="M1125" s="19"/>
      <c r="N1125" s="19"/>
      <c r="O1125" s="19"/>
      <c r="P1125" s="19"/>
      <c r="Q1125" s="12"/>
      <c r="R1125" s="12"/>
      <c r="S1125" s="12"/>
      <c r="T1125" s="12"/>
      <c r="U1125" s="19"/>
      <c r="V1125" s="12"/>
      <c r="W1125" s="12"/>
      <c r="X1125" s="12"/>
      <c r="Y1125" s="12"/>
      <c r="Z1125" s="12"/>
    </row>
    <row r="1126">
      <c r="A1126" s="18"/>
      <c r="B1126" s="12"/>
      <c r="C1126" s="12"/>
      <c r="D1126" s="12"/>
      <c r="E1126" s="12"/>
      <c r="F1126" s="12"/>
      <c r="G1126" s="12"/>
      <c r="H1126" s="12"/>
      <c r="I1126" s="12"/>
      <c r="J1126" s="12"/>
      <c r="K1126" s="12"/>
      <c r="L1126" s="19"/>
      <c r="M1126" s="19"/>
      <c r="N1126" s="19"/>
      <c r="O1126" s="19"/>
      <c r="P1126" s="19"/>
      <c r="Q1126" s="12"/>
      <c r="R1126" s="12"/>
      <c r="S1126" s="12"/>
      <c r="T1126" s="12"/>
      <c r="U1126" s="19"/>
      <c r="V1126" s="12"/>
      <c r="W1126" s="12"/>
      <c r="X1126" s="12"/>
      <c r="Y1126" s="12"/>
      <c r="Z1126" s="12"/>
    </row>
    <row r="1127">
      <c r="A1127" s="18"/>
      <c r="B1127" s="12"/>
      <c r="C1127" s="12"/>
      <c r="D1127" s="12"/>
      <c r="E1127" s="12"/>
      <c r="F1127" s="12"/>
      <c r="G1127" s="12"/>
      <c r="H1127" s="12"/>
      <c r="I1127" s="12"/>
      <c r="J1127" s="12"/>
      <c r="K1127" s="12"/>
      <c r="L1127" s="19"/>
      <c r="M1127" s="19"/>
      <c r="N1127" s="19"/>
      <c r="O1127" s="19"/>
      <c r="P1127" s="19"/>
      <c r="Q1127" s="12"/>
      <c r="R1127" s="12"/>
      <c r="S1127" s="12"/>
      <c r="T1127" s="12"/>
      <c r="U1127" s="19"/>
      <c r="V1127" s="12"/>
      <c r="W1127" s="12"/>
      <c r="X1127" s="12"/>
      <c r="Y1127" s="12"/>
      <c r="Z1127" s="12"/>
    </row>
    <row r="1128">
      <c r="A1128" s="18"/>
      <c r="B1128" s="12"/>
      <c r="C1128" s="12"/>
      <c r="D1128" s="12"/>
      <c r="E1128" s="12"/>
      <c r="F1128" s="12"/>
      <c r="G1128" s="12"/>
      <c r="H1128" s="12"/>
      <c r="I1128" s="12"/>
      <c r="J1128" s="12"/>
      <c r="K1128" s="12"/>
      <c r="L1128" s="19"/>
      <c r="M1128" s="19"/>
      <c r="N1128" s="19"/>
      <c r="O1128" s="19"/>
      <c r="P1128" s="19"/>
      <c r="Q1128" s="12"/>
      <c r="R1128" s="12"/>
      <c r="S1128" s="12"/>
      <c r="T1128" s="12"/>
      <c r="U1128" s="19"/>
      <c r="V1128" s="12"/>
      <c r="W1128" s="12"/>
      <c r="X1128" s="12"/>
      <c r="Y1128" s="12"/>
      <c r="Z1128" s="12"/>
    </row>
    <row r="1129">
      <c r="A1129" s="18"/>
      <c r="B1129" s="12"/>
      <c r="C1129" s="12"/>
      <c r="D1129" s="12"/>
      <c r="E1129" s="12"/>
      <c r="F1129" s="12"/>
      <c r="G1129" s="12"/>
      <c r="H1129" s="12"/>
      <c r="I1129" s="12"/>
      <c r="J1129" s="12"/>
      <c r="K1129" s="12"/>
      <c r="L1129" s="19"/>
      <c r="M1129" s="19"/>
      <c r="N1129" s="19"/>
      <c r="O1129" s="19"/>
      <c r="P1129" s="19"/>
      <c r="Q1129" s="12"/>
      <c r="R1129" s="12"/>
      <c r="S1129" s="12"/>
      <c r="T1129" s="12"/>
      <c r="U1129" s="19"/>
      <c r="V1129" s="12"/>
      <c r="W1129" s="12"/>
      <c r="X1129" s="12"/>
      <c r="Y1129" s="12"/>
      <c r="Z1129" s="12"/>
    </row>
    <row r="1130">
      <c r="A1130" s="18"/>
      <c r="B1130" s="12"/>
      <c r="C1130" s="12"/>
      <c r="D1130" s="12"/>
      <c r="E1130" s="12"/>
      <c r="F1130" s="12"/>
      <c r="G1130" s="12"/>
      <c r="H1130" s="12"/>
      <c r="I1130" s="12"/>
      <c r="J1130" s="12"/>
      <c r="K1130" s="12"/>
      <c r="L1130" s="19"/>
      <c r="M1130" s="19"/>
      <c r="N1130" s="19"/>
      <c r="O1130" s="19"/>
      <c r="P1130" s="19"/>
      <c r="Q1130" s="12"/>
      <c r="R1130" s="12"/>
      <c r="S1130" s="12"/>
      <c r="T1130" s="12"/>
      <c r="U1130" s="19"/>
      <c r="V1130" s="12"/>
      <c r="W1130" s="12"/>
      <c r="X1130" s="12"/>
      <c r="Y1130" s="12"/>
      <c r="Z1130" s="12"/>
    </row>
    <row r="1131">
      <c r="A1131" s="18"/>
      <c r="B1131" s="12"/>
      <c r="C1131" s="12"/>
      <c r="D1131" s="12"/>
      <c r="E1131" s="12"/>
      <c r="F1131" s="12"/>
      <c r="G1131" s="12"/>
      <c r="H1131" s="12"/>
      <c r="I1131" s="12"/>
      <c r="J1131" s="12"/>
      <c r="K1131" s="12"/>
      <c r="L1131" s="19"/>
      <c r="M1131" s="19"/>
      <c r="N1131" s="19"/>
      <c r="O1131" s="19"/>
      <c r="P1131" s="19"/>
      <c r="Q1131" s="12"/>
      <c r="R1131" s="12"/>
      <c r="S1131" s="12"/>
      <c r="T1131" s="12"/>
      <c r="U1131" s="19"/>
      <c r="V1131" s="12"/>
      <c r="W1131" s="12"/>
      <c r="X1131" s="12"/>
      <c r="Y1131" s="12"/>
      <c r="Z1131" s="12"/>
    </row>
    <row r="1132">
      <c r="A1132" s="18"/>
      <c r="B1132" s="12"/>
      <c r="C1132" s="12"/>
      <c r="D1132" s="12"/>
      <c r="E1132" s="12"/>
      <c r="F1132" s="12"/>
      <c r="G1132" s="12"/>
      <c r="H1132" s="12"/>
      <c r="I1132" s="12"/>
      <c r="J1132" s="12"/>
      <c r="K1132" s="12"/>
      <c r="L1132" s="19"/>
      <c r="M1132" s="19"/>
      <c r="N1132" s="19"/>
      <c r="O1132" s="19"/>
      <c r="P1132" s="19"/>
      <c r="Q1132" s="12"/>
      <c r="R1132" s="12"/>
      <c r="S1132" s="12"/>
      <c r="T1132" s="12"/>
      <c r="U1132" s="19"/>
      <c r="V1132" s="12"/>
      <c r="W1132" s="12"/>
      <c r="X1132" s="12"/>
      <c r="Y1132" s="12"/>
      <c r="Z1132" s="12"/>
    </row>
    <row r="1133">
      <c r="A1133" s="18"/>
      <c r="B1133" s="12"/>
      <c r="C1133" s="12"/>
      <c r="D1133" s="12"/>
      <c r="E1133" s="12"/>
      <c r="F1133" s="12"/>
      <c r="G1133" s="12"/>
      <c r="H1133" s="12"/>
      <c r="I1133" s="12"/>
      <c r="J1133" s="12"/>
      <c r="K1133" s="12"/>
      <c r="L1133" s="19"/>
      <c r="M1133" s="19"/>
      <c r="N1133" s="19"/>
      <c r="O1133" s="19"/>
      <c r="P1133" s="19"/>
      <c r="Q1133" s="12"/>
      <c r="R1133" s="12"/>
      <c r="S1133" s="12"/>
      <c r="T1133" s="12"/>
      <c r="U1133" s="19"/>
      <c r="V1133" s="12"/>
      <c r="W1133" s="12"/>
      <c r="X1133" s="12"/>
      <c r="Y1133" s="12"/>
      <c r="Z1133" s="12"/>
    </row>
    <row r="1134">
      <c r="A1134" s="18"/>
      <c r="B1134" s="12"/>
      <c r="C1134" s="12"/>
      <c r="D1134" s="12"/>
      <c r="E1134" s="12"/>
      <c r="F1134" s="12"/>
      <c r="G1134" s="12"/>
      <c r="H1134" s="12"/>
      <c r="I1134" s="12"/>
      <c r="J1134" s="12"/>
      <c r="K1134" s="12"/>
      <c r="L1134" s="19"/>
      <c r="M1134" s="19"/>
      <c r="N1134" s="19"/>
      <c r="O1134" s="19"/>
      <c r="P1134" s="19"/>
      <c r="Q1134" s="12"/>
      <c r="R1134" s="12"/>
      <c r="S1134" s="12"/>
      <c r="T1134" s="12"/>
      <c r="U1134" s="19"/>
      <c r="V1134" s="12"/>
      <c r="W1134" s="12"/>
      <c r="X1134" s="12"/>
      <c r="Y1134" s="12"/>
      <c r="Z1134" s="12"/>
    </row>
    <row r="1135">
      <c r="A1135" s="18"/>
      <c r="B1135" s="12"/>
      <c r="C1135" s="12"/>
      <c r="D1135" s="12"/>
      <c r="E1135" s="12"/>
      <c r="F1135" s="12"/>
      <c r="G1135" s="12"/>
      <c r="H1135" s="12"/>
      <c r="I1135" s="12"/>
      <c r="J1135" s="12"/>
      <c r="K1135" s="12"/>
      <c r="L1135" s="19"/>
      <c r="M1135" s="19"/>
      <c r="N1135" s="19"/>
      <c r="O1135" s="19"/>
      <c r="P1135" s="19"/>
      <c r="Q1135" s="12"/>
      <c r="R1135" s="12"/>
      <c r="S1135" s="12"/>
      <c r="T1135" s="12"/>
      <c r="U1135" s="19"/>
      <c r="V1135" s="12"/>
      <c r="W1135" s="12"/>
      <c r="X1135" s="12"/>
      <c r="Y1135" s="12"/>
      <c r="Z1135" s="12"/>
    </row>
    <row r="1136">
      <c r="A1136" s="18"/>
      <c r="B1136" s="12"/>
      <c r="C1136" s="12"/>
      <c r="D1136" s="12"/>
      <c r="E1136" s="12"/>
      <c r="F1136" s="12"/>
      <c r="G1136" s="12"/>
      <c r="H1136" s="12"/>
      <c r="I1136" s="12"/>
      <c r="J1136" s="12"/>
      <c r="K1136" s="12"/>
      <c r="L1136" s="19"/>
      <c r="M1136" s="19"/>
      <c r="N1136" s="19"/>
      <c r="O1136" s="19"/>
      <c r="P1136" s="19"/>
      <c r="Q1136" s="12"/>
      <c r="R1136" s="12"/>
      <c r="S1136" s="12"/>
      <c r="T1136" s="12"/>
      <c r="U1136" s="19"/>
      <c r="V1136" s="12"/>
      <c r="W1136" s="12"/>
      <c r="X1136" s="12"/>
      <c r="Y1136" s="12"/>
      <c r="Z1136" s="12"/>
    </row>
    <row r="1137">
      <c r="A1137" s="18"/>
      <c r="B1137" s="12"/>
      <c r="C1137" s="12"/>
      <c r="D1137" s="12"/>
      <c r="E1137" s="12"/>
      <c r="F1137" s="12"/>
      <c r="G1137" s="12"/>
      <c r="H1137" s="12"/>
      <c r="I1137" s="12"/>
      <c r="J1137" s="12"/>
      <c r="K1137" s="12"/>
      <c r="L1137" s="19"/>
      <c r="M1137" s="19"/>
      <c r="N1137" s="19"/>
      <c r="O1137" s="19"/>
      <c r="P1137" s="19"/>
      <c r="Q1137" s="12"/>
      <c r="R1137" s="12"/>
      <c r="S1137" s="12"/>
      <c r="T1137" s="12"/>
      <c r="U1137" s="19"/>
      <c r="V1137" s="12"/>
      <c r="W1137" s="12"/>
      <c r="X1137" s="12"/>
      <c r="Y1137" s="12"/>
      <c r="Z1137" s="12"/>
    </row>
    <row r="1138">
      <c r="A1138" s="18"/>
      <c r="B1138" s="12"/>
      <c r="C1138" s="12"/>
      <c r="D1138" s="12"/>
      <c r="E1138" s="12"/>
      <c r="F1138" s="12"/>
      <c r="G1138" s="12"/>
      <c r="H1138" s="12"/>
      <c r="I1138" s="12"/>
      <c r="J1138" s="12"/>
      <c r="K1138" s="12"/>
      <c r="L1138" s="19"/>
      <c r="M1138" s="19"/>
      <c r="N1138" s="19"/>
      <c r="O1138" s="19"/>
      <c r="P1138" s="19"/>
      <c r="Q1138" s="12"/>
      <c r="R1138" s="12"/>
      <c r="S1138" s="12"/>
      <c r="T1138" s="12"/>
      <c r="U1138" s="19"/>
      <c r="V1138" s="12"/>
      <c r="W1138" s="12"/>
      <c r="X1138" s="12"/>
      <c r="Y1138" s="12"/>
      <c r="Z1138" s="12"/>
    </row>
    <row r="1139">
      <c r="A1139" s="18"/>
      <c r="B1139" s="12"/>
      <c r="C1139" s="12"/>
      <c r="D1139" s="12"/>
      <c r="E1139" s="12"/>
      <c r="F1139" s="12"/>
      <c r="G1139" s="12"/>
      <c r="H1139" s="12"/>
      <c r="I1139" s="12"/>
      <c r="J1139" s="12"/>
      <c r="K1139" s="12"/>
      <c r="L1139" s="19"/>
      <c r="M1139" s="19"/>
      <c r="N1139" s="19"/>
      <c r="O1139" s="19"/>
      <c r="P1139" s="19"/>
      <c r="Q1139" s="12"/>
      <c r="R1139" s="12"/>
      <c r="S1139" s="12"/>
      <c r="T1139" s="12"/>
      <c r="U1139" s="19"/>
      <c r="V1139" s="12"/>
      <c r="W1139" s="12"/>
      <c r="X1139" s="12"/>
      <c r="Y1139" s="12"/>
      <c r="Z1139" s="12"/>
    </row>
    <row r="1140">
      <c r="A1140" s="18"/>
      <c r="B1140" s="12"/>
      <c r="C1140" s="12"/>
      <c r="D1140" s="12"/>
      <c r="E1140" s="12"/>
      <c r="F1140" s="12"/>
      <c r="G1140" s="12"/>
      <c r="H1140" s="12"/>
      <c r="I1140" s="12"/>
      <c r="J1140" s="12"/>
      <c r="K1140" s="12"/>
      <c r="L1140" s="19"/>
      <c r="M1140" s="19"/>
      <c r="N1140" s="19"/>
      <c r="O1140" s="19"/>
      <c r="P1140" s="19"/>
      <c r="Q1140" s="12"/>
      <c r="R1140" s="12"/>
      <c r="S1140" s="12"/>
      <c r="T1140" s="12"/>
      <c r="U1140" s="19"/>
      <c r="V1140" s="12"/>
      <c r="W1140" s="12"/>
      <c r="X1140" s="12"/>
      <c r="Y1140" s="12"/>
      <c r="Z1140" s="12"/>
    </row>
    <row r="1141">
      <c r="A1141" s="18"/>
      <c r="B1141" s="12"/>
      <c r="C1141" s="12"/>
      <c r="D1141" s="12"/>
      <c r="E1141" s="12"/>
      <c r="F1141" s="12"/>
      <c r="G1141" s="12"/>
      <c r="H1141" s="12"/>
      <c r="I1141" s="12"/>
      <c r="J1141" s="12"/>
      <c r="K1141" s="12"/>
      <c r="L1141" s="19"/>
      <c r="M1141" s="19"/>
      <c r="N1141" s="19"/>
      <c r="O1141" s="19"/>
      <c r="P1141" s="19"/>
      <c r="Q1141" s="12"/>
      <c r="R1141" s="12"/>
      <c r="S1141" s="12"/>
      <c r="T1141" s="12"/>
      <c r="U1141" s="19"/>
      <c r="V1141" s="12"/>
      <c r="W1141" s="12"/>
      <c r="X1141" s="12"/>
      <c r="Y1141" s="12"/>
      <c r="Z1141" s="12"/>
    </row>
    <row r="1142">
      <c r="A1142" s="18"/>
      <c r="B1142" s="12"/>
      <c r="C1142" s="12"/>
      <c r="D1142" s="12"/>
      <c r="E1142" s="12"/>
      <c r="F1142" s="12"/>
      <c r="G1142" s="12"/>
      <c r="H1142" s="12"/>
      <c r="I1142" s="12"/>
      <c r="J1142" s="12"/>
      <c r="K1142" s="12"/>
      <c r="L1142" s="19"/>
      <c r="M1142" s="19"/>
      <c r="N1142" s="19"/>
      <c r="O1142" s="19"/>
      <c r="P1142" s="19"/>
      <c r="Q1142" s="12"/>
      <c r="R1142" s="12"/>
      <c r="S1142" s="12"/>
      <c r="T1142" s="12"/>
      <c r="U1142" s="19"/>
      <c r="V1142" s="12"/>
      <c r="W1142" s="12"/>
      <c r="X1142" s="12"/>
      <c r="Y1142" s="12"/>
      <c r="Z1142" s="12"/>
    </row>
    <row r="1143">
      <c r="A1143" s="18"/>
      <c r="B1143" s="12"/>
      <c r="C1143" s="12"/>
      <c r="D1143" s="12"/>
      <c r="E1143" s="12"/>
      <c r="F1143" s="12"/>
      <c r="G1143" s="12"/>
      <c r="H1143" s="12"/>
      <c r="I1143" s="12"/>
      <c r="J1143" s="12"/>
      <c r="K1143" s="12"/>
      <c r="L1143" s="19"/>
      <c r="M1143" s="19"/>
      <c r="N1143" s="19"/>
      <c r="O1143" s="19"/>
      <c r="P1143" s="19"/>
      <c r="Q1143" s="12"/>
      <c r="R1143" s="12"/>
      <c r="S1143" s="12"/>
      <c r="T1143" s="12"/>
      <c r="U1143" s="19"/>
      <c r="V1143" s="12"/>
      <c r="W1143" s="12"/>
      <c r="X1143" s="12"/>
      <c r="Y1143" s="12"/>
      <c r="Z1143" s="12"/>
    </row>
    <row r="1144">
      <c r="A1144" s="18"/>
      <c r="B1144" s="12"/>
      <c r="C1144" s="12"/>
      <c r="D1144" s="12"/>
      <c r="E1144" s="12"/>
      <c r="F1144" s="12"/>
      <c r="G1144" s="12"/>
      <c r="H1144" s="12"/>
      <c r="I1144" s="12"/>
      <c r="J1144" s="12"/>
      <c r="K1144" s="12"/>
      <c r="L1144" s="19"/>
      <c r="M1144" s="19"/>
      <c r="N1144" s="19"/>
      <c r="O1144" s="19"/>
      <c r="P1144" s="19"/>
      <c r="Q1144" s="12"/>
      <c r="R1144" s="12"/>
      <c r="S1144" s="12"/>
      <c r="T1144" s="12"/>
      <c r="U1144" s="19"/>
      <c r="V1144" s="12"/>
      <c r="W1144" s="12"/>
      <c r="X1144" s="12"/>
      <c r="Y1144" s="12"/>
      <c r="Z1144" s="12"/>
    </row>
    <row r="1145">
      <c r="A1145" s="18"/>
      <c r="B1145" s="12"/>
      <c r="C1145" s="12"/>
      <c r="D1145" s="12"/>
      <c r="E1145" s="12"/>
      <c r="F1145" s="12"/>
      <c r="G1145" s="12"/>
      <c r="H1145" s="12"/>
      <c r="I1145" s="12"/>
      <c r="J1145" s="12"/>
      <c r="K1145" s="12"/>
      <c r="L1145" s="19"/>
      <c r="M1145" s="19"/>
      <c r="N1145" s="19"/>
      <c r="O1145" s="19"/>
      <c r="P1145" s="19"/>
      <c r="Q1145" s="12"/>
      <c r="R1145" s="12"/>
      <c r="S1145" s="12"/>
      <c r="T1145" s="12"/>
      <c r="U1145" s="19"/>
      <c r="V1145" s="12"/>
      <c r="W1145" s="12"/>
      <c r="X1145" s="12"/>
      <c r="Y1145" s="12"/>
      <c r="Z1145" s="12"/>
    </row>
    <row r="1146">
      <c r="A1146" s="18"/>
      <c r="B1146" s="12"/>
      <c r="C1146" s="12"/>
      <c r="D1146" s="12"/>
      <c r="E1146" s="12"/>
      <c r="F1146" s="12"/>
      <c r="G1146" s="12"/>
      <c r="H1146" s="12"/>
      <c r="I1146" s="12"/>
      <c r="J1146" s="12"/>
      <c r="K1146" s="12"/>
      <c r="L1146" s="19"/>
      <c r="M1146" s="19"/>
      <c r="N1146" s="19"/>
      <c r="O1146" s="19"/>
      <c r="P1146" s="19"/>
      <c r="Q1146" s="12"/>
      <c r="R1146" s="12"/>
      <c r="S1146" s="12"/>
      <c r="T1146" s="12"/>
      <c r="U1146" s="19"/>
      <c r="V1146" s="12"/>
      <c r="W1146" s="12"/>
      <c r="X1146" s="12"/>
      <c r="Y1146" s="12"/>
      <c r="Z1146" s="12"/>
    </row>
    <row r="1147">
      <c r="A1147" s="18"/>
      <c r="B1147" s="12"/>
      <c r="C1147" s="12"/>
      <c r="D1147" s="12"/>
      <c r="E1147" s="12"/>
      <c r="F1147" s="12"/>
      <c r="G1147" s="12"/>
      <c r="H1147" s="12"/>
      <c r="I1147" s="12"/>
      <c r="J1147" s="12"/>
      <c r="K1147" s="12"/>
      <c r="L1147" s="19"/>
      <c r="M1147" s="19"/>
      <c r="N1147" s="19"/>
      <c r="O1147" s="19"/>
      <c r="P1147" s="19"/>
      <c r="Q1147" s="12"/>
      <c r="R1147" s="12"/>
      <c r="S1147" s="12"/>
      <c r="T1147" s="12"/>
      <c r="U1147" s="19"/>
      <c r="V1147" s="12"/>
      <c r="W1147" s="12"/>
      <c r="X1147" s="12"/>
      <c r="Y1147" s="12"/>
      <c r="Z1147" s="12"/>
    </row>
    <row r="1148">
      <c r="A1148" s="18"/>
      <c r="B1148" s="12"/>
      <c r="C1148" s="12"/>
      <c r="D1148" s="12"/>
      <c r="E1148" s="12"/>
      <c r="F1148" s="12"/>
      <c r="G1148" s="12"/>
      <c r="H1148" s="12"/>
      <c r="I1148" s="12"/>
      <c r="J1148" s="12"/>
      <c r="K1148" s="12"/>
      <c r="L1148" s="19"/>
      <c r="M1148" s="19"/>
      <c r="N1148" s="19"/>
      <c r="O1148" s="19"/>
      <c r="P1148" s="19"/>
      <c r="Q1148" s="12"/>
      <c r="R1148" s="12"/>
      <c r="S1148" s="12"/>
      <c r="T1148" s="12"/>
      <c r="U1148" s="19"/>
      <c r="V1148" s="12"/>
      <c r="W1148" s="12"/>
      <c r="X1148" s="12"/>
      <c r="Y1148" s="12"/>
      <c r="Z1148" s="12"/>
    </row>
    <row r="1149">
      <c r="A1149" s="18"/>
      <c r="B1149" s="12"/>
      <c r="C1149" s="12"/>
      <c r="D1149" s="12"/>
      <c r="E1149" s="12"/>
      <c r="F1149" s="12"/>
      <c r="G1149" s="12"/>
      <c r="H1149" s="12"/>
      <c r="I1149" s="12"/>
      <c r="J1149" s="12"/>
      <c r="K1149" s="12"/>
      <c r="L1149" s="19"/>
      <c r="M1149" s="19"/>
      <c r="N1149" s="19"/>
      <c r="O1149" s="19"/>
      <c r="P1149" s="19"/>
      <c r="Q1149" s="12"/>
      <c r="R1149" s="12"/>
      <c r="S1149" s="12"/>
      <c r="T1149" s="12"/>
      <c r="U1149" s="19"/>
      <c r="V1149" s="12"/>
      <c r="W1149" s="12"/>
      <c r="X1149" s="12"/>
      <c r="Y1149" s="12"/>
      <c r="Z1149" s="12"/>
    </row>
    <row r="1150">
      <c r="A1150" s="18"/>
      <c r="B1150" s="12"/>
      <c r="C1150" s="12"/>
      <c r="D1150" s="12"/>
      <c r="E1150" s="12"/>
      <c r="F1150" s="12"/>
      <c r="G1150" s="12"/>
      <c r="H1150" s="12"/>
      <c r="I1150" s="12"/>
      <c r="J1150" s="12"/>
      <c r="K1150" s="12"/>
      <c r="L1150" s="19"/>
      <c r="M1150" s="19"/>
      <c r="N1150" s="19"/>
      <c r="O1150" s="19"/>
      <c r="P1150" s="19"/>
      <c r="Q1150" s="12"/>
      <c r="R1150" s="12"/>
      <c r="S1150" s="12"/>
      <c r="T1150" s="12"/>
      <c r="U1150" s="19"/>
      <c r="V1150" s="12"/>
      <c r="W1150" s="12"/>
      <c r="X1150" s="12"/>
      <c r="Y1150" s="12"/>
      <c r="Z1150" s="12"/>
    </row>
    <row r="1151">
      <c r="A1151" s="18"/>
      <c r="B1151" s="12"/>
      <c r="C1151" s="12"/>
      <c r="D1151" s="12"/>
      <c r="E1151" s="12"/>
      <c r="F1151" s="12"/>
      <c r="G1151" s="12"/>
      <c r="H1151" s="12"/>
      <c r="I1151" s="12"/>
      <c r="J1151" s="12"/>
      <c r="K1151" s="12"/>
      <c r="L1151" s="19"/>
      <c r="M1151" s="19"/>
      <c r="N1151" s="19"/>
      <c r="O1151" s="19"/>
      <c r="P1151" s="19"/>
      <c r="Q1151" s="12"/>
      <c r="R1151" s="12"/>
      <c r="S1151" s="12"/>
      <c r="T1151" s="12"/>
      <c r="U1151" s="19"/>
      <c r="V1151" s="12"/>
      <c r="W1151" s="12"/>
      <c r="X1151" s="12"/>
      <c r="Y1151" s="12"/>
      <c r="Z1151" s="12"/>
    </row>
    <row r="1152">
      <c r="A1152" s="18"/>
      <c r="B1152" s="12"/>
      <c r="C1152" s="12"/>
      <c r="D1152" s="12"/>
      <c r="E1152" s="12"/>
      <c r="F1152" s="12"/>
      <c r="G1152" s="12"/>
      <c r="H1152" s="12"/>
      <c r="I1152" s="12"/>
      <c r="J1152" s="12"/>
      <c r="K1152" s="12"/>
      <c r="L1152" s="19"/>
      <c r="M1152" s="19"/>
      <c r="N1152" s="19"/>
      <c r="O1152" s="19"/>
      <c r="P1152" s="19"/>
      <c r="Q1152" s="12"/>
      <c r="R1152" s="12"/>
      <c r="S1152" s="12"/>
      <c r="T1152" s="12"/>
      <c r="U1152" s="19"/>
      <c r="V1152" s="12"/>
      <c r="W1152" s="12"/>
      <c r="X1152" s="12"/>
      <c r="Y1152" s="12"/>
      <c r="Z1152" s="12"/>
    </row>
    <row r="1153">
      <c r="A1153" s="18"/>
      <c r="B1153" s="12"/>
      <c r="C1153" s="12"/>
      <c r="D1153" s="12"/>
      <c r="E1153" s="12"/>
      <c r="F1153" s="12"/>
      <c r="G1153" s="12"/>
      <c r="H1153" s="12"/>
      <c r="I1153" s="12"/>
      <c r="J1153" s="12"/>
      <c r="K1153" s="12"/>
      <c r="L1153" s="19"/>
      <c r="M1153" s="19"/>
      <c r="N1153" s="19"/>
      <c r="O1153" s="19"/>
      <c r="P1153" s="19"/>
      <c r="Q1153" s="12"/>
      <c r="R1153" s="12"/>
      <c r="S1153" s="12"/>
      <c r="T1153" s="12"/>
      <c r="U1153" s="19"/>
      <c r="V1153" s="12"/>
      <c r="W1153" s="12"/>
      <c r="X1153" s="12"/>
      <c r="Y1153" s="12"/>
      <c r="Z1153" s="12"/>
    </row>
    <row r="1154">
      <c r="A1154" s="18"/>
      <c r="B1154" s="12"/>
      <c r="C1154" s="12"/>
      <c r="D1154" s="12"/>
      <c r="E1154" s="12"/>
      <c r="F1154" s="12"/>
      <c r="G1154" s="12"/>
      <c r="H1154" s="12"/>
      <c r="I1154" s="12"/>
      <c r="J1154" s="12"/>
      <c r="K1154" s="12"/>
      <c r="L1154" s="19"/>
      <c r="M1154" s="19"/>
      <c r="N1154" s="19"/>
      <c r="O1154" s="19"/>
      <c r="P1154" s="19"/>
      <c r="Q1154" s="12"/>
      <c r="R1154" s="12"/>
      <c r="S1154" s="12"/>
      <c r="T1154" s="12"/>
      <c r="U1154" s="19"/>
      <c r="V1154" s="12"/>
      <c r="W1154" s="12"/>
      <c r="X1154" s="12"/>
      <c r="Y1154" s="12"/>
      <c r="Z1154" s="12"/>
    </row>
    <row r="1155">
      <c r="A1155" s="18"/>
      <c r="B1155" s="12"/>
      <c r="C1155" s="12"/>
      <c r="D1155" s="12"/>
      <c r="E1155" s="12"/>
      <c r="F1155" s="12"/>
      <c r="G1155" s="12"/>
      <c r="H1155" s="12"/>
      <c r="I1155" s="12"/>
      <c r="J1155" s="12"/>
      <c r="K1155" s="12"/>
      <c r="L1155" s="19"/>
      <c r="M1155" s="19"/>
      <c r="N1155" s="19"/>
      <c r="O1155" s="19"/>
      <c r="P1155" s="19"/>
      <c r="Q1155" s="12"/>
      <c r="R1155" s="12"/>
      <c r="S1155" s="12"/>
      <c r="T1155" s="12"/>
      <c r="U1155" s="19"/>
      <c r="V1155" s="12"/>
      <c r="W1155" s="12"/>
      <c r="X1155" s="12"/>
      <c r="Y1155" s="12"/>
      <c r="Z1155" s="12"/>
    </row>
    <row r="1156">
      <c r="A1156" s="18"/>
      <c r="B1156" s="12"/>
      <c r="C1156" s="12"/>
      <c r="D1156" s="12"/>
      <c r="E1156" s="12"/>
      <c r="F1156" s="12"/>
      <c r="G1156" s="12"/>
      <c r="H1156" s="12"/>
      <c r="I1156" s="12"/>
      <c r="J1156" s="12"/>
      <c r="K1156" s="12"/>
      <c r="L1156" s="19"/>
      <c r="M1156" s="19"/>
      <c r="N1156" s="19"/>
      <c r="O1156" s="19"/>
      <c r="P1156" s="19"/>
      <c r="Q1156" s="12"/>
      <c r="R1156" s="12"/>
      <c r="S1156" s="12"/>
      <c r="T1156" s="12"/>
      <c r="U1156" s="19"/>
      <c r="V1156" s="12"/>
      <c r="W1156" s="12"/>
      <c r="X1156" s="12"/>
      <c r="Y1156" s="12"/>
      <c r="Z1156" s="12"/>
    </row>
    <row r="1157">
      <c r="A1157" s="18"/>
      <c r="B1157" s="12"/>
      <c r="C1157" s="12"/>
      <c r="D1157" s="12"/>
      <c r="E1157" s="12"/>
      <c r="F1157" s="12"/>
      <c r="G1157" s="12"/>
      <c r="H1157" s="12"/>
      <c r="I1157" s="12"/>
      <c r="J1157" s="12"/>
      <c r="K1157" s="12"/>
      <c r="L1157" s="19"/>
      <c r="M1157" s="19"/>
      <c r="N1157" s="19"/>
      <c r="O1157" s="19"/>
      <c r="P1157" s="19"/>
      <c r="Q1157" s="12"/>
      <c r="R1157" s="12"/>
      <c r="S1157" s="12"/>
      <c r="T1157" s="12"/>
      <c r="U1157" s="19"/>
      <c r="V1157" s="12"/>
      <c r="W1157" s="12"/>
      <c r="X1157" s="12"/>
      <c r="Y1157" s="12"/>
      <c r="Z1157" s="12"/>
    </row>
    <row r="1158">
      <c r="A1158" s="18"/>
      <c r="B1158" s="12"/>
      <c r="C1158" s="12"/>
      <c r="D1158" s="12"/>
      <c r="E1158" s="12"/>
      <c r="F1158" s="12"/>
      <c r="G1158" s="12"/>
      <c r="H1158" s="12"/>
      <c r="I1158" s="12"/>
      <c r="J1158" s="12"/>
      <c r="K1158" s="12"/>
      <c r="L1158" s="19"/>
      <c r="M1158" s="19"/>
      <c r="N1158" s="19"/>
      <c r="O1158" s="19"/>
      <c r="P1158" s="19"/>
      <c r="Q1158" s="12"/>
      <c r="R1158" s="12"/>
      <c r="S1158" s="12"/>
      <c r="T1158" s="12"/>
      <c r="U1158" s="19"/>
      <c r="V1158" s="12"/>
      <c r="W1158" s="12"/>
      <c r="X1158" s="12"/>
      <c r="Y1158" s="12"/>
      <c r="Z1158" s="12"/>
    </row>
    <row r="1159">
      <c r="A1159" s="18"/>
      <c r="B1159" s="12"/>
      <c r="C1159" s="12"/>
      <c r="D1159" s="12"/>
      <c r="E1159" s="12"/>
      <c r="F1159" s="12"/>
      <c r="G1159" s="12"/>
      <c r="H1159" s="12"/>
      <c r="I1159" s="12"/>
      <c r="J1159" s="12"/>
      <c r="K1159" s="12"/>
      <c r="L1159" s="19"/>
      <c r="M1159" s="19"/>
      <c r="N1159" s="19"/>
      <c r="O1159" s="19"/>
      <c r="P1159" s="19"/>
      <c r="Q1159" s="12"/>
      <c r="R1159" s="12"/>
      <c r="S1159" s="12"/>
      <c r="T1159" s="12"/>
      <c r="U1159" s="19"/>
      <c r="V1159" s="12"/>
      <c r="W1159" s="12"/>
      <c r="X1159" s="12"/>
      <c r="Y1159" s="12"/>
      <c r="Z1159" s="12"/>
    </row>
    <row r="1160">
      <c r="A1160" s="18"/>
      <c r="B1160" s="12"/>
      <c r="C1160" s="12"/>
      <c r="D1160" s="12"/>
      <c r="E1160" s="12"/>
      <c r="F1160" s="12"/>
      <c r="G1160" s="12"/>
      <c r="H1160" s="12"/>
      <c r="I1160" s="12"/>
      <c r="J1160" s="12"/>
      <c r="K1160" s="12"/>
      <c r="L1160" s="19"/>
      <c r="M1160" s="19"/>
      <c r="N1160" s="19"/>
      <c r="O1160" s="19"/>
      <c r="P1160" s="19"/>
      <c r="Q1160" s="12"/>
      <c r="R1160" s="12"/>
      <c r="S1160" s="12"/>
      <c r="T1160" s="12"/>
      <c r="U1160" s="19"/>
      <c r="V1160" s="12"/>
      <c r="W1160" s="12"/>
      <c r="X1160" s="12"/>
      <c r="Y1160" s="12"/>
      <c r="Z1160" s="12"/>
    </row>
    <row r="1161">
      <c r="A1161" s="18"/>
      <c r="B1161" s="12"/>
      <c r="C1161" s="12"/>
      <c r="D1161" s="12"/>
      <c r="E1161" s="12"/>
      <c r="F1161" s="12"/>
      <c r="G1161" s="12"/>
      <c r="H1161" s="12"/>
      <c r="I1161" s="12"/>
      <c r="J1161" s="12"/>
      <c r="K1161" s="12"/>
      <c r="L1161" s="19"/>
      <c r="M1161" s="19"/>
      <c r="N1161" s="19"/>
      <c r="O1161" s="19"/>
      <c r="P1161" s="19"/>
      <c r="Q1161" s="12"/>
      <c r="R1161" s="12"/>
      <c r="S1161" s="12"/>
      <c r="T1161" s="12"/>
      <c r="U1161" s="19"/>
      <c r="V1161" s="12"/>
      <c r="W1161" s="12"/>
      <c r="X1161" s="12"/>
      <c r="Y1161" s="12"/>
      <c r="Z1161" s="12"/>
    </row>
    <row r="1162">
      <c r="A1162" s="18"/>
      <c r="B1162" s="12"/>
      <c r="C1162" s="12"/>
      <c r="D1162" s="12"/>
      <c r="E1162" s="12"/>
      <c r="F1162" s="12"/>
      <c r="G1162" s="12"/>
      <c r="H1162" s="12"/>
      <c r="I1162" s="12"/>
      <c r="J1162" s="12"/>
      <c r="K1162" s="12"/>
      <c r="L1162" s="19"/>
      <c r="M1162" s="19"/>
      <c r="N1162" s="19"/>
      <c r="O1162" s="19"/>
      <c r="P1162" s="19"/>
      <c r="Q1162" s="12"/>
      <c r="R1162" s="12"/>
      <c r="S1162" s="12"/>
      <c r="T1162" s="12"/>
      <c r="U1162" s="19"/>
      <c r="V1162" s="12"/>
      <c r="W1162" s="12"/>
      <c r="X1162" s="12"/>
      <c r="Y1162" s="12"/>
      <c r="Z1162" s="12"/>
    </row>
    <row r="1163">
      <c r="A1163" s="18"/>
      <c r="B1163" s="12"/>
      <c r="C1163" s="12"/>
      <c r="D1163" s="12"/>
      <c r="E1163" s="12"/>
      <c r="F1163" s="12"/>
      <c r="G1163" s="12"/>
      <c r="H1163" s="12"/>
      <c r="I1163" s="12"/>
      <c r="J1163" s="12"/>
      <c r="K1163" s="12"/>
      <c r="L1163" s="19"/>
      <c r="M1163" s="19"/>
      <c r="N1163" s="19"/>
      <c r="O1163" s="19"/>
      <c r="P1163" s="19"/>
      <c r="Q1163" s="12"/>
      <c r="R1163" s="12"/>
      <c r="S1163" s="12"/>
      <c r="T1163" s="12"/>
      <c r="U1163" s="19"/>
      <c r="V1163" s="12"/>
      <c r="W1163" s="12"/>
      <c r="X1163" s="12"/>
      <c r="Y1163" s="12"/>
      <c r="Z1163" s="12"/>
    </row>
    <row r="1164">
      <c r="A1164" s="18"/>
      <c r="B1164" s="12"/>
      <c r="C1164" s="12"/>
      <c r="D1164" s="12"/>
      <c r="E1164" s="12"/>
      <c r="F1164" s="12"/>
      <c r="G1164" s="12"/>
      <c r="H1164" s="12"/>
      <c r="I1164" s="12"/>
      <c r="J1164" s="12"/>
      <c r="K1164" s="12"/>
      <c r="L1164" s="19"/>
      <c r="M1164" s="19"/>
      <c r="N1164" s="19"/>
      <c r="O1164" s="19"/>
      <c r="P1164" s="19"/>
      <c r="Q1164" s="12"/>
      <c r="R1164" s="12"/>
      <c r="S1164" s="12"/>
      <c r="T1164" s="12"/>
      <c r="U1164" s="19"/>
      <c r="V1164" s="12"/>
      <c r="W1164" s="12"/>
      <c r="X1164" s="12"/>
      <c r="Y1164" s="12"/>
      <c r="Z1164" s="12"/>
    </row>
    <row r="1165">
      <c r="A1165" s="18"/>
      <c r="B1165" s="12"/>
      <c r="C1165" s="12"/>
      <c r="D1165" s="12"/>
      <c r="E1165" s="12"/>
      <c r="F1165" s="12"/>
      <c r="G1165" s="12"/>
      <c r="H1165" s="12"/>
      <c r="I1165" s="12"/>
      <c r="J1165" s="12"/>
      <c r="K1165" s="12"/>
      <c r="L1165" s="19"/>
      <c r="M1165" s="19"/>
      <c r="N1165" s="19"/>
      <c r="O1165" s="19"/>
      <c r="P1165" s="19"/>
      <c r="Q1165" s="12"/>
      <c r="R1165" s="12"/>
      <c r="S1165" s="12"/>
      <c r="T1165" s="12"/>
      <c r="U1165" s="19"/>
      <c r="V1165" s="12"/>
      <c r="W1165" s="12"/>
      <c r="X1165" s="12"/>
      <c r="Y1165" s="12"/>
      <c r="Z1165" s="12"/>
    </row>
    <row r="1166">
      <c r="A1166" s="18"/>
      <c r="B1166" s="12"/>
      <c r="C1166" s="12"/>
      <c r="D1166" s="12"/>
      <c r="E1166" s="12"/>
      <c r="F1166" s="12"/>
      <c r="G1166" s="12"/>
      <c r="H1166" s="12"/>
      <c r="I1166" s="12"/>
      <c r="J1166" s="12"/>
      <c r="K1166" s="12"/>
      <c r="L1166" s="19"/>
      <c r="M1166" s="19"/>
      <c r="N1166" s="19"/>
      <c r="O1166" s="19"/>
      <c r="P1166" s="19"/>
      <c r="Q1166" s="12"/>
      <c r="R1166" s="12"/>
      <c r="S1166" s="12"/>
      <c r="T1166" s="12"/>
      <c r="U1166" s="19"/>
      <c r="V1166" s="12"/>
      <c r="W1166" s="12"/>
      <c r="X1166" s="12"/>
      <c r="Y1166" s="12"/>
      <c r="Z1166" s="12"/>
    </row>
    <row r="1167">
      <c r="A1167" s="18"/>
      <c r="B1167" s="12"/>
      <c r="C1167" s="12"/>
      <c r="D1167" s="12"/>
      <c r="E1167" s="12"/>
      <c r="F1167" s="12"/>
      <c r="G1167" s="12"/>
      <c r="H1167" s="12"/>
      <c r="I1167" s="12"/>
      <c r="J1167" s="12"/>
      <c r="K1167" s="12"/>
      <c r="L1167" s="19"/>
      <c r="M1167" s="19"/>
      <c r="N1167" s="19"/>
      <c r="O1167" s="19"/>
      <c r="P1167" s="19"/>
      <c r="Q1167" s="12"/>
      <c r="R1167" s="12"/>
      <c r="S1167" s="12"/>
      <c r="T1167" s="12"/>
      <c r="U1167" s="19"/>
      <c r="V1167" s="12"/>
      <c r="W1167" s="12"/>
      <c r="X1167" s="12"/>
      <c r="Y1167" s="12"/>
      <c r="Z1167" s="12"/>
    </row>
    <row r="1168">
      <c r="A1168" s="18"/>
      <c r="B1168" s="12"/>
      <c r="C1168" s="12"/>
      <c r="D1168" s="12"/>
      <c r="E1168" s="12"/>
      <c r="F1168" s="12"/>
      <c r="G1168" s="12"/>
      <c r="H1168" s="12"/>
      <c r="I1168" s="12"/>
      <c r="J1168" s="12"/>
      <c r="K1168" s="12"/>
      <c r="L1168" s="19"/>
      <c r="M1168" s="19"/>
      <c r="N1168" s="19"/>
      <c r="O1168" s="19"/>
      <c r="P1168" s="19"/>
      <c r="Q1168" s="12"/>
      <c r="R1168" s="12"/>
      <c r="S1168" s="12"/>
      <c r="T1168" s="12"/>
      <c r="U1168" s="19"/>
      <c r="V1168" s="12"/>
      <c r="W1168" s="12"/>
      <c r="X1168" s="12"/>
      <c r="Y1168" s="12"/>
      <c r="Z1168" s="12"/>
    </row>
    <row r="1169">
      <c r="A1169" s="18"/>
      <c r="B1169" s="12"/>
      <c r="C1169" s="12"/>
      <c r="D1169" s="12"/>
      <c r="E1169" s="12"/>
      <c r="F1169" s="12"/>
      <c r="G1169" s="12"/>
      <c r="H1169" s="12"/>
      <c r="I1169" s="12"/>
      <c r="J1169" s="12"/>
      <c r="K1169" s="12"/>
      <c r="L1169" s="19"/>
      <c r="M1169" s="19"/>
      <c r="N1169" s="19"/>
      <c r="O1169" s="19"/>
      <c r="P1169" s="19"/>
      <c r="Q1169" s="12"/>
      <c r="R1169" s="12"/>
      <c r="S1169" s="12"/>
      <c r="T1169" s="12"/>
      <c r="U1169" s="19"/>
      <c r="V1169" s="12"/>
      <c r="W1169" s="12"/>
      <c r="X1169" s="12"/>
      <c r="Y1169" s="12"/>
      <c r="Z1169" s="12"/>
    </row>
    <row r="1170">
      <c r="A1170" s="18"/>
      <c r="B1170" s="12"/>
      <c r="C1170" s="12"/>
      <c r="D1170" s="12"/>
      <c r="E1170" s="12"/>
      <c r="F1170" s="12"/>
      <c r="G1170" s="12"/>
      <c r="H1170" s="12"/>
      <c r="I1170" s="12"/>
      <c r="J1170" s="12"/>
      <c r="K1170" s="12"/>
      <c r="L1170" s="19"/>
      <c r="M1170" s="19"/>
      <c r="N1170" s="19"/>
      <c r="O1170" s="19"/>
      <c r="P1170" s="19"/>
      <c r="Q1170" s="12"/>
      <c r="R1170" s="12"/>
      <c r="S1170" s="12"/>
      <c r="T1170" s="12"/>
      <c r="U1170" s="19"/>
      <c r="V1170" s="12"/>
      <c r="W1170" s="12"/>
      <c r="X1170" s="12"/>
      <c r="Y1170" s="12"/>
      <c r="Z1170" s="12"/>
    </row>
    <row r="1171">
      <c r="A1171" s="18"/>
      <c r="B1171" s="12"/>
      <c r="C1171" s="12"/>
      <c r="D1171" s="12"/>
      <c r="E1171" s="12"/>
      <c r="F1171" s="12"/>
      <c r="G1171" s="12"/>
      <c r="H1171" s="12"/>
      <c r="I1171" s="12"/>
      <c r="J1171" s="12"/>
      <c r="K1171" s="12"/>
      <c r="L1171" s="19"/>
      <c r="M1171" s="19"/>
      <c r="N1171" s="19"/>
      <c r="O1171" s="19"/>
      <c r="P1171" s="19"/>
      <c r="Q1171" s="12"/>
      <c r="R1171" s="12"/>
      <c r="S1171" s="12"/>
      <c r="T1171" s="12"/>
      <c r="U1171" s="19"/>
      <c r="V1171" s="12"/>
      <c r="W1171" s="12"/>
      <c r="X1171" s="12"/>
      <c r="Y1171" s="12"/>
      <c r="Z1171" s="12"/>
    </row>
    <row r="1172">
      <c r="A1172" s="18"/>
      <c r="B1172" s="12"/>
      <c r="C1172" s="12"/>
      <c r="D1172" s="12"/>
      <c r="E1172" s="12"/>
      <c r="F1172" s="12"/>
      <c r="G1172" s="12"/>
      <c r="H1172" s="12"/>
      <c r="I1172" s="12"/>
      <c r="J1172" s="12"/>
      <c r="K1172" s="12"/>
      <c r="L1172" s="19"/>
      <c r="M1172" s="19"/>
      <c r="N1172" s="19"/>
      <c r="O1172" s="19"/>
      <c r="P1172" s="19"/>
      <c r="Q1172" s="12"/>
      <c r="R1172" s="12"/>
      <c r="S1172" s="12"/>
      <c r="T1172" s="12"/>
      <c r="U1172" s="19"/>
      <c r="V1172" s="12"/>
      <c r="W1172" s="12"/>
      <c r="X1172" s="12"/>
      <c r="Y1172" s="12"/>
      <c r="Z1172" s="12"/>
    </row>
    <row r="1173">
      <c r="A1173" s="18"/>
      <c r="B1173" s="12"/>
      <c r="C1173" s="12"/>
      <c r="D1173" s="12"/>
      <c r="E1173" s="12"/>
      <c r="F1173" s="12"/>
      <c r="G1173" s="12"/>
      <c r="H1173" s="12"/>
      <c r="I1173" s="12"/>
      <c r="J1173" s="12"/>
      <c r="K1173" s="12"/>
      <c r="L1173" s="19"/>
      <c r="M1173" s="19"/>
      <c r="N1173" s="19"/>
      <c r="O1173" s="19"/>
      <c r="P1173" s="19"/>
      <c r="Q1173" s="12"/>
      <c r="R1173" s="12"/>
      <c r="S1173" s="12"/>
      <c r="T1173" s="12"/>
      <c r="U1173" s="19"/>
      <c r="V1173" s="12"/>
      <c r="W1173" s="12"/>
      <c r="X1173" s="12"/>
      <c r="Y1173" s="12"/>
      <c r="Z1173" s="12"/>
    </row>
    <row r="1174">
      <c r="A1174" s="18"/>
      <c r="B1174" s="12"/>
      <c r="C1174" s="12"/>
      <c r="D1174" s="12"/>
      <c r="E1174" s="12"/>
      <c r="F1174" s="12"/>
      <c r="G1174" s="12"/>
      <c r="H1174" s="12"/>
      <c r="I1174" s="12"/>
      <c r="J1174" s="12"/>
      <c r="K1174" s="12"/>
      <c r="L1174" s="19"/>
      <c r="M1174" s="19"/>
      <c r="N1174" s="19"/>
      <c r="O1174" s="19"/>
      <c r="P1174" s="19"/>
      <c r="Q1174" s="12"/>
      <c r="R1174" s="12"/>
      <c r="S1174" s="12"/>
      <c r="T1174" s="12"/>
      <c r="U1174" s="19"/>
      <c r="V1174" s="12"/>
      <c r="W1174" s="12"/>
      <c r="X1174" s="12"/>
      <c r="Y1174" s="12"/>
      <c r="Z1174" s="12"/>
    </row>
    <row r="1175">
      <c r="A1175" s="18"/>
      <c r="B1175" s="12"/>
      <c r="C1175" s="12"/>
      <c r="D1175" s="12"/>
      <c r="E1175" s="12"/>
      <c r="F1175" s="12"/>
      <c r="G1175" s="12"/>
      <c r="H1175" s="12"/>
      <c r="I1175" s="12"/>
      <c r="J1175" s="12"/>
      <c r="K1175" s="12"/>
      <c r="L1175" s="19"/>
      <c r="M1175" s="19"/>
      <c r="N1175" s="19"/>
      <c r="O1175" s="19"/>
      <c r="P1175" s="19"/>
      <c r="Q1175" s="12"/>
      <c r="R1175" s="12"/>
      <c r="S1175" s="12"/>
      <c r="T1175" s="12"/>
      <c r="U1175" s="19"/>
      <c r="V1175" s="12"/>
      <c r="W1175" s="12"/>
      <c r="X1175" s="12"/>
      <c r="Y1175" s="12"/>
      <c r="Z1175" s="12"/>
    </row>
    <row r="1176">
      <c r="A1176" s="18"/>
      <c r="B1176" s="12"/>
      <c r="C1176" s="12"/>
      <c r="D1176" s="12"/>
      <c r="E1176" s="12"/>
      <c r="F1176" s="12"/>
      <c r="G1176" s="12"/>
      <c r="H1176" s="12"/>
      <c r="I1176" s="12"/>
      <c r="J1176" s="12"/>
      <c r="K1176" s="12"/>
      <c r="L1176" s="19"/>
      <c r="M1176" s="19"/>
      <c r="N1176" s="19"/>
      <c r="O1176" s="19"/>
      <c r="P1176" s="19"/>
      <c r="Q1176" s="12"/>
      <c r="R1176" s="12"/>
      <c r="S1176" s="12"/>
      <c r="T1176" s="12"/>
      <c r="U1176" s="19"/>
      <c r="V1176" s="12"/>
      <c r="W1176" s="12"/>
      <c r="X1176" s="12"/>
      <c r="Y1176" s="12"/>
      <c r="Z1176" s="12"/>
    </row>
    <row r="1177">
      <c r="A1177" s="18"/>
      <c r="B1177" s="12"/>
      <c r="C1177" s="12"/>
      <c r="D1177" s="12"/>
      <c r="E1177" s="12"/>
      <c r="F1177" s="12"/>
      <c r="G1177" s="12"/>
      <c r="H1177" s="12"/>
      <c r="I1177" s="12"/>
      <c r="J1177" s="12"/>
      <c r="K1177" s="12"/>
      <c r="L1177" s="19"/>
      <c r="M1177" s="19"/>
      <c r="N1177" s="19"/>
      <c r="O1177" s="19"/>
      <c r="P1177" s="19"/>
      <c r="Q1177" s="12"/>
      <c r="R1177" s="12"/>
      <c r="S1177" s="12"/>
      <c r="T1177" s="12"/>
      <c r="U1177" s="19"/>
      <c r="V1177" s="12"/>
      <c r="W1177" s="12"/>
      <c r="X1177" s="12"/>
      <c r="Y1177" s="12"/>
      <c r="Z1177" s="12"/>
    </row>
    <row r="1178">
      <c r="A1178" s="18"/>
      <c r="B1178" s="12"/>
      <c r="C1178" s="12"/>
      <c r="D1178" s="12"/>
      <c r="E1178" s="12"/>
      <c r="F1178" s="12"/>
      <c r="G1178" s="12"/>
      <c r="H1178" s="12"/>
      <c r="I1178" s="12"/>
      <c r="J1178" s="12"/>
      <c r="K1178" s="12"/>
      <c r="L1178" s="19"/>
      <c r="M1178" s="19"/>
      <c r="N1178" s="19"/>
      <c r="O1178" s="19"/>
      <c r="P1178" s="19"/>
      <c r="Q1178" s="12"/>
      <c r="R1178" s="12"/>
      <c r="S1178" s="12"/>
      <c r="T1178" s="12"/>
      <c r="U1178" s="19"/>
      <c r="V1178" s="12"/>
      <c r="W1178" s="12"/>
      <c r="X1178" s="12"/>
      <c r="Y1178" s="12"/>
      <c r="Z1178" s="12"/>
    </row>
    <row r="1179">
      <c r="A1179" s="18"/>
      <c r="B1179" s="12"/>
      <c r="C1179" s="12"/>
      <c r="D1179" s="12"/>
      <c r="E1179" s="12"/>
      <c r="F1179" s="12"/>
      <c r="G1179" s="12"/>
      <c r="H1179" s="12"/>
      <c r="I1179" s="12"/>
      <c r="J1179" s="12"/>
      <c r="K1179" s="12"/>
      <c r="L1179" s="19"/>
      <c r="M1179" s="19"/>
      <c r="N1179" s="19"/>
      <c r="O1179" s="19"/>
      <c r="P1179" s="19"/>
      <c r="Q1179" s="12"/>
      <c r="R1179" s="12"/>
      <c r="S1179" s="12"/>
      <c r="T1179" s="12"/>
      <c r="U1179" s="19"/>
      <c r="V1179" s="12"/>
      <c r="W1179" s="12"/>
      <c r="X1179" s="12"/>
      <c r="Y1179" s="12"/>
      <c r="Z1179" s="12"/>
    </row>
    <row r="1180">
      <c r="A1180" s="18"/>
      <c r="B1180" s="12"/>
      <c r="C1180" s="12"/>
      <c r="D1180" s="12"/>
      <c r="E1180" s="12"/>
      <c r="F1180" s="12"/>
      <c r="G1180" s="12"/>
      <c r="H1180" s="12"/>
      <c r="I1180" s="12"/>
      <c r="J1180" s="12"/>
      <c r="K1180" s="12"/>
      <c r="L1180" s="19"/>
      <c r="M1180" s="19"/>
      <c r="N1180" s="19"/>
      <c r="O1180" s="19"/>
      <c r="P1180" s="19"/>
      <c r="Q1180" s="12"/>
      <c r="R1180" s="12"/>
      <c r="S1180" s="12"/>
      <c r="T1180" s="12"/>
      <c r="U1180" s="19"/>
      <c r="V1180" s="12"/>
      <c r="W1180" s="12"/>
      <c r="X1180" s="12"/>
      <c r="Y1180" s="12"/>
      <c r="Z1180" s="12"/>
    </row>
    <row r="1181">
      <c r="A1181" s="18"/>
      <c r="B1181" s="12"/>
      <c r="C1181" s="12"/>
      <c r="D1181" s="12"/>
      <c r="E1181" s="12"/>
      <c r="F1181" s="12"/>
      <c r="G1181" s="12"/>
      <c r="H1181" s="12"/>
      <c r="I1181" s="12"/>
      <c r="J1181" s="12"/>
      <c r="K1181" s="12"/>
      <c r="L1181" s="19"/>
      <c r="M1181" s="19"/>
      <c r="N1181" s="19"/>
      <c r="O1181" s="19"/>
      <c r="P1181" s="19"/>
      <c r="Q1181" s="12"/>
      <c r="R1181" s="12"/>
      <c r="S1181" s="12"/>
      <c r="T1181" s="12"/>
      <c r="U1181" s="19"/>
      <c r="V1181" s="12"/>
      <c r="W1181" s="12"/>
      <c r="X1181" s="12"/>
      <c r="Y1181" s="12"/>
      <c r="Z1181" s="12"/>
    </row>
    <row r="1182">
      <c r="A1182" s="18"/>
      <c r="B1182" s="12"/>
      <c r="C1182" s="12"/>
      <c r="D1182" s="12"/>
      <c r="E1182" s="12"/>
      <c r="F1182" s="12"/>
      <c r="G1182" s="12"/>
      <c r="H1182" s="12"/>
      <c r="I1182" s="12"/>
      <c r="J1182" s="12"/>
      <c r="K1182" s="12"/>
      <c r="L1182" s="19"/>
      <c r="M1182" s="19"/>
      <c r="N1182" s="19"/>
      <c r="O1182" s="19"/>
      <c r="P1182" s="19"/>
      <c r="Q1182" s="12"/>
      <c r="R1182" s="12"/>
      <c r="S1182" s="12"/>
      <c r="T1182" s="12"/>
      <c r="U1182" s="19"/>
      <c r="V1182" s="12"/>
      <c r="W1182" s="12"/>
      <c r="X1182" s="12"/>
      <c r="Y1182" s="12"/>
      <c r="Z1182" s="12"/>
    </row>
    <row r="1183">
      <c r="A1183" s="18"/>
      <c r="B1183" s="12"/>
      <c r="C1183" s="12"/>
      <c r="D1183" s="12"/>
      <c r="E1183" s="12"/>
      <c r="F1183" s="12"/>
      <c r="G1183" s="12"/>
      <c r="H1183" s="12"/>
      <c r="I1183" s="12"/>
      <c r="J1183" s="12"/>
      <c r="K1183" s="12"/>
      <c r="L1183" s="19"/>
      <c r="M1183" s="19"/>
      <c r="N1183" s="19"/>
      <c r="O1183" s="19"/>
      <c r="P1183" s="19"/>
      <c r="Q1183" s="12"/>
      <c r="R1183" s="12"/>
      <c r="S1183" s="12"/>
      <c r="T1183" s="12"/>
      <c r="U1183" s="19"/>
      <c r="V1183" s="12"/>
      <c r="W1183" s="12"/>
      <c r="X1183" s="12"/>
      <c r="Y1183" s="12"/>
      <c r="Z1183" s="12"/>
    </row>
    <row r="1184">
      <c r="A1184" s="18"/>
      <c r="B1184" s="12"/>
      <c r="C1184" s="12"/>
      <c r="D1184" s="12"/>
      <c r="E1184" s="12"/>
      <c r="F1184" s="12"/>
      <c r="G1184" s="12"/>
      <c r="H1184" s="12"/>
      <c r="I1184" s="12"/>
      <c r="J1184" s="12"/>
      <c r="K1184" s="12"/>
      <c r="L1184" s="19"/>
      <c r="M1184" s="19"/>
      <c r="N1184" s="19"/>
      <c r="O1184" s="19"/>
      <c r="P1184" s="19"/>
      <c r="Q1184" s="12"/>
      <c r="R1184" s="12"/>
      <c r="S1184" s="12"/>
      <c r="T1184" s="12"/>
      <c r="U1184" s="19"/>
      <c r="V1184" s="12"/>
      <c r="W1184" s="12"/>
      <c r="X1184" s="12"/>
      <c r="Y1184" s="12"/>
      <c r="Z1184" s="12"/>
    </row>
    <row r="1185">
      <c r="A1185" s="18"/>
      <c r="B1185" s="12"/>
      <c r="C1185" s="12"/>
      <c r="D1185" s="12"/>
      <c r="E1185" s="12"/>
      <c r="F1185" s="12"/>
      <c r="G1185" s="12"/>
      <c r="H1185" s="12"/>
      <c r="I1185" s="12"/>
      <c r="J1185" s="12"/>
      <c r="K1185" s="12"/>
      <c r="L1185" s="19"/>
      <c r="M1185" s="19"/>
      <c r="N1185" s="19"/>
      <c r="O1185" s="19"/>
      <c r="P1185" s="19"/>
      <c r="Q1185" s="12"/>
      <c r="R1185" s="12"/>
      <c r="S1185" s="12"/>
      <c r="T1185" s="12"/>
      <c r="U1185" s="19"/>
      <c r="V1185" s="12"/>
      <c r="W1185" s="12"/>
      <c r="X1185" s="12"/>
      <c r="Y1185" s="12"/>
      <c r="Z1185" s="12"/>
    </row>
    <row r="1186">
      <c r="A1186" s="18"/>
      <c r="B1186" s="12"/>
      <c r="C1186" s="12"/>
      <c r="D1186" s="12"/>
      <c r="E1186" s="12"/>
      <c r="F1186" s="12"/>
      <c r="G1186" s="12"/>
      <c r="H1186" s="12"/>
      <c r="I1186" s="12"/>
      <c r="J1186" s="12"/>
      <c r="K1186" s="12"/>
      <c r="L1186" s="19"/>
      <c r="M1186" s="19"/>
      <c r="N1186" s="19"/>
      <c r="O1186" s="19"/>
      <c r="P1186" s="19"/>
      <c r="Q1186" s="12"/>
      <c r="R1186" s="12"/>
      <c r="S1186" s="12"/>
      <c r="T1186" s="12"/>
      <c r="U1186" s="19"/>
      <c r="V1186" s="12"/>
      <c r="W1186" s="12"/>
      <c r="X1186" s="12"/>
      <c r="Y1186" s="12"/>
      <c r="Z1186" s="12"/>
    </row>
    <row r="1187">
      <c r="A1187" s="18"/>
      <c r="B1187" s="12"/>
      <c r="C1187" s="12"/>
      <c r="D1187" s="12"/>
      <c r="E1187" s="12"/>
      <c r="F1187" s="12"/>
      <c r="G1187" s="12"/>
      <c r="H1187" s="12"/>
      <c r="I1187" s="12"/>
      <c r="J1187" s="12"/>
      <c r="K1187" s="12"/>
      <c r="L1187" s="19"/>
      <c r="M1187" s="19"/>
      <c r="N1187" s="19"/>
      <c r="O1187" s="19"/>
      <c r="P1187" s="19"/>
      <c r="Q1187" s="12"/>
      <c r="R1187" s="12"/>
      <c r="S1187" s="12"/>
      <c r="T1187" s="12"/>
      <c r="U1187" s="19"/>
      <c r="V1187" s="12"/>
      <c r="W1187" s="12"/>
      <c r="X1187" s="12"/>
      <c r="Y1187" s="12"/>
      <c r="Z1187" s="12"/>
    </row>
    <row r="1188">
      <c r="A1188" s="18"/>
      <c r="B1188" s="12"/>
      <c r="C1188" s="12"/>
      <c r="D1188" s="12"/>
      <c r="E1188" s="12"/>
      <c r="F1188" s="12"/>
      <c r="G1188" s="12"/>
      <c r="H1188" s="12"/>
      <c r="I1188" s="12"/>
      <c r="J1188" s="12"/>
      <c r="K1188" s="12"/>
      <c r="L1188" s="19"/>
      <c r="M1188" s="19"/>
      <c r="N1188" s="19"/>
      <c r="O1188" s="19"/>
      <c r="P1188" s="19"/>
      <c r="Q1188" s="12"/>
      <c r="R1188" s="12"/>
      <c r="S1188" s="12"/>
      <c r="T1188" s="12"/>
      <c r="U1188" s="19"/>
      <c r="V1188" s="12"/>
      <c r="W1188" s="12"/>
      <c r="X1188" s="12"/>
      <c r="Y1188" s="12"/>
      <c r="Z1188" s="12"/>
    </row>
    <row r="1189">
      <c r="A1189" s="18"/>
      <c r="B1189" s="12"/>
      <c r="C1189" s="12"/>
      <c r="D1189" s="12"/>
      <c r="E1189" s="12"/>
      <c r="F1189" s="12"/>
      <c r="G1189" s="12"/>
      <c r="H1189" s="12"/>
      <c r="I1189" s="12"/>
      <c r="J1189" s="12"/>
      <c r="K1189" s="12"/>
      <c r="L1189" s="19"/>
      <c r="M1189" s="19"/>
      <c r="N1189" s="19"/>
      <c r="O1189" s="19"/>
      <c r="P1189" s="19"/>
      <c r="Q1189" s="12"/>
      <c r="R1189" s="12"/>
      <c r="S1189" s="12"/>
      <c r="T1189" s="12"/>
      <c r="U1189" s="19"/>
      <c r="V1189" s="12"/>
      <c r="W1189" s="12"/>
      <c r="X1189" s="12"/>
      <c r="Y1189" s="12"/>
      <c r="Z1189" s="12"/>
    </row>
    <row r="1190">
      <c r="A1190" s="18"/>
      <c r="B1190" s="12"/>
      <c r="C1190" s="12"/>
      <c r="D1190" s="12"/>
      <c r="E1190" s="12"/>
      <c r="F1190" s="12"/>
      <c r="G1190" s="12"/>
      <c r="H1190" s="12"/>
      <c r="I1190" s="12"/>
      <c r="J1190" s="12"/>
      <c r="K1190" s="12"/>
      <c r="L1190" s="19"/>
      <c r="M1190" s="19"/>
      <c r="N1190" s="19"/>
      <c r="O1190" s="19"/>
      <c r="P1190" s="19"/>
      <c r="Q1190" s="12"/>
      <c r="R1190" s="12"/>
      <c r="S1190" s="12"/>
      <c r="T1190" s="12"/>
      <c r="U1190" s="19"/>
      <c r="V1190" s="12"/>
      <c r="W1190" s="12"/>
      <c r="X1190" s="12"/>
      <c r="Y1190" s="12"/>
      <c r="Z1190" s="12"/>
    </row>
    <row r="1191">
      <c r="A1191" s="18"/>
      <c r="B1191" s="12"/>
      <c r="C1191" s="12"/>
      <c r="D1191" s="12"/>
      <c r="E1191" s="12"/>
      <c r="F1191" s="12"/>
      <c r="G1191" s="12"/>
      <c r="H1191" s="12"/>
      <c r="I1191" s="12"/>
      <c r="J1191" s="12"/>
      <c r="K1191" s="12"/>
      <c r="L1191" s="19"/>
      <c r="M1191" s="19"/>
      <c r="N1191" s="19"/>
      <c r="O1191" s="19"/>
      <c r="P1191" s="19"/>
      <c r="Q1191" s="12"/>
      <c r="R1191" s="12"/>
      <c r="S1191" s="12"/>
      <c r="T1191" s="12"/>
      <c r="U1191" s="19"/>
      <c r="V1191" s="12"/>
      <c r="W1191" s="12"/>
      <c r="X1191" s="12"/>
      <c r="Y1191" s="12"/>
      <c r="Z1191" s="12"/>
    </row>
    <row r="1192">
      <c r="A1192" s="18"/>
      <c r="B1192" s="12"/>
      <c r="C1192" s="12"/>
      <c r="D1192" s="12"/>
      <c r="E1192" s="12"/>
      <c r="F1192" s="12"/>
      <c r="G1192" s="12"/>
      <c r="H1192" s="12"/>
      <c r="I1192" s="12"/>
      <c r="J1192" s="12"/>
      <c r="K1192" s="12"/>
      <c r="L1192" s="19"/>
      <c r="M1192" s="19"/>
      <c r="N1192" s="19"/>
      <c r="O1192" s="19"/>
      <c r="P1192" s="19"/>
      <c r="Q1192" s="12"/>
      <c r="R1192" s="12"/>
      <c r="S1192" s="12"/>
      <c r="T1192" s="12"/>
      <c r="U1192" s="19"/>
      <c r="V1192" s="12"/>
      <c r="W1192" s="12"/>
      <c r="X1192" s="12"/>
      <c r="Y1192" s="12"/>
      <c r="Z1192" s="12"/>
    </row>
    <row r="1193">
      <c r="A1193" s="18"/>
      <c r="B1193" s="12"/>
      <c r="C1193" s="12"/>
      <c r="D1193" s="12"/>
      <c r="E1193" s="12"/>
      <c r="F1193" s="12"/>
      <c r="G1193" s="12"/>
      <c r="H1193" s="12"/>
      <c r="I1193" s="12"/>
      <c r="J1193" s="12"/>
      <c r="K1193" s="12"/>
      <c r="L1193" s="19"/>
      <c r="M1193" s="19"/>
      <c r="N1193" s="19"/>
      <c r="O1193" s="19"/>
      <c r="P1193" s="19"/>
      <c r="Q1193" s="12"/>
      <c r="R1193" s="12"/>
      <c r="S1193" s="12"/>
      <c r="T1193" s="12"/>
      <c r="U1193" s="19"/>
      <c r="V1193" s="12"/>
      <c r="W1193" s="12"/>
      <c r="X1193" s="12"/>
      <c r="Y1193" s="12"/>
      <c r="Z1193" s="12"/>
    </row>
    <row r="1194">
      <c r="A1194" s="18"/>
      <c r="B1194" s="12"/>
      <c r="C1194" s="12"/>
      <c r="D1194" s="12"/>
      <c r="E1194" s="12"/>
      <c r="F1194" s="12"/>
      <c r="G1194" s="12"/>
      <c r="H1194" s="12"/>
      <c r="I1194" s="12"/>
      <c r="J1194" s="12"/>
      <c r="K1194" s="12"/>
      <c r="L1194" s="19"/>
      <c r="M1194" s="19"/>
      <c r="N1194" s="19"/>
      <c r="O1194" s="19"/>
      <c r="P1194" s="19"/>
      <c r="Q1194" s="12"/>
      <c r="R1194" s="12"/>
      <c r="S1194" s="12"/>
      <c r="T1194" s="12"/>
      <c r="U1194" s="19"/>
      <c r="V1194" s="12"/>
      <c r="W1194" s="12"/>
      <c r="X1194" s="12"/>
      <c r="Y1194" s="12"/>
      <c r="Z1194" s="12"/>
    </row>
    <row r="1195">
      <c r="A1195" s="18"/>
      <c r="B1195" s="12"/>
      <c r="C1195" s="12"/>
      <c r="D1195" s="12"/>
      <c r="E1195" s="12"/>
      <c r="F1195" s="12"/>
      <c r="G1195" s="12"/>
      <c r="H1195" s="12"/>
      <c r="I1195" s="12"/>
      <c r="J1195" s="12"/>
      <c r="K1195" s="12"/>
      <c r="L1195" s="19"/>
      <c r="M1195" s="19"/>
      <c r="N1195" s="19"/>
      <c r="O1195" s="19"/>
      <c r="P1195" s="19"/>
      <c r="Q1195" s="12"/>
      <c r="R1195" s="12"/>
      <c r="S1195" s="12"/>
      <c r="T1195" s="12"/>
      <c r="U1195" s="19"/>
      <c r="V1195" s="12"/>
      <c r="W1195" s="12"/>
      <c r="X1195" s="12"/>
      <c r="Y1195" s="12"/>
      <c r="Z1195" s="12"/>
    </row>
    <row r="1196">
      <c r="A1196" s="18"/>
      <c r="B1196" s="12"/>
      <c r="C1196" s="12"/>
      <c r="D1196" s="12"/>
      <c r="E1196" s="12"/>
      <c r="F1196" s="12"/>
      <c r="G1196" s="12"/>
      <c r="H1196" s="12"/>
      <c r="I1196" s="12"/>
      <c r="J1196" s="12"/>
      <c r="K1196" s="12"/>
      <c r="L1196" s="19"/>
      <c r="M1196" s="19"/>
      <c r="N1196" s="19"/>
      <c r="O1196" s="19"/>
      <c r="P1196" s="19"/>
      <c r="Q1196" s="12"/>
      <c r="R1196" s="12"/>
      <c r="S1196" s="12"/>
      <c r="T1196" s="12"/>
      <c r="U1196" s="19"/>
      <c r="V1196" s="12"/>
      <c r="W1196" s="12"/>
      <c r="X1196" s="12"/>
      <c r="Y1196" s="12"/>
      <c r="Z1196" s="12"/>
    </row>
    <row r="1197">
      <c r="A1197" s="18"/>
      <c r="B1197" s="12"/>
      <c r="C1197" s="12"/>
      <c r="D1197" s="12"/>
      <c r="E1197" s="12"/>
      <c r="F1197" s="12"/>
      <c r="G1197" s="12"/>
      <c r="H1197" s="12"/>
      <c r="I1197" s="12"/>
      <c r="J1197" s="12"/>
      <c r="K1197" s="12"/>
      <c r="L1197" s="19"/>
      <c r="M1197" s="19"/>
      <c r="N1197" s="19"/>
      <c r="O1197" s="19"/>
      <c r="P1197" s="19"/>
      <c r="Q1197" s="12"/>
      <c r="R1197" s="12"/>
      <c r="S1197" s="12"/>
      <c r="T1197" s="12"/>
      <c r="U1197" s="19"/>
      <c r="V1197" s="12"/>
      <c r="W1197" s="12"/>
      <c r="X1197" s="12"/>
      <c r="Y1197" s="12"/>
      <c r="Z1197" s="12"/>
    </row>
    <row r="1198">
      <c r="A1198" s="18"/>
      <c r="B1198" s="12"/>
      <c r="C1198" s="12"/>
      <c r="D1198" s="12"/>
      <c r="E1198" s="12"/>
      <c r="F1198" s="12"/>
      <c r="G1198" s="12"/>
      <c r="H1198" s="12"/>
      <c r="I1198" s="12"/>
      <c r="J1198" s="12"/>
      <c r="K1198" s="12"/>
      <c r="L1198" s="19"/>
      <c r="M1198" s="19"/>
      <c r="N1198" s="19"/>
      <c r="O1198" s="19"/>
      <c r="P1198" s="19"/>
      <c r="Q1198" s="12"/>
      <c r="R1198" s="12"/>
      <c r="S1198" s="12"/>
      <c r="T1198" s="12"/>
      <c r="U1198" s="19"/>
      <c r="V1198" s="12"/>
      <c r="W1198" s="12"/>
      <c r="X1198" s="12"/>
      <c r="Y1198" s="12"/>
      <c r="Z1198" s="12"/>
    </row>
    <row r="1199">
      <c r="A1199" s="18"/>
      <c r="B1199" s="12"/>
      <c r="C1199" s="12"/>
      <c r="D1199" s="12"/>
      <c r="E1199" s="12"/>
      <c r="F1199" s="12"/>
      <c r="G1199" s="12"/>
      <c r="H1199" s="12"/>
      <c r="I1199" s="12"/>
      <c r="J1199" s="12"/>
      <c r="K1199" s="12"/>
      <c r="L1199" s="19"/>
      <c r="M1199" s="19"/>
      <c r="N1199" s="19"/>
      <c r="O1199" s="19"/>
      <c r="P1199" s="19"/>
      <c r="Q1199" s="12"/>
      <c r="R1199" s="12"/>
      <c r="S1199" s="12"/>
      <c r="T1199" s="12"/>
      <c r="U1199" s="19"/>
      <c r="V1199" s="12"/>
      <c r="W1199" s="12"/>
      <c r="X1199" s="12"/>
      <c r="Y1199" s="12"/>
      <c r="Z1199" s="12"/>
    </row>
    <row r="1200">
      <c r="A1200" s="18"/>
      <c r="B1200" s="12"/>
      <c r="C1200" s="12"/>
      <c r="D1200" s="12"/>
      <c r="E1200" s="12"/>
      <c r="F1200" s="12"/>
      <c r="G1200" s="12"/>
      <c r="H1200" s="12"/>
      <c r="I1200" s="12"/>
      <c r="J1200" s="12"/>
      <c r="K1200" s="12"/>
      <c r="L1200" s="19"/>
      <c r="M1200" s="19"/>
      <c r="N1200" s="19"/>
      <c r="O1200" s="19"/>
      <c r="P1200" s="19"/>
      <c r="Q1200" s="12"/>
      <c r="R1200" s="12"/>
      <c r="S1200" s="12"/>
      <c r="T1200" s="12"/>
      <c r="U1200" s="19"/>
      <c r="V1200" s="12"/>
      <c r="W1200" s="12"/>
      <c r="X1200" s="12"/>
      <c r="Y1200" s="12"/>
      <c r="Z1200" s="12"/>
    </row>
  </sheetData>
  <hyperlinks>
    <hyperlink r:id="rId1" ref="F3"/>
    <hyperlink r:id="rId2" ref="G4"/>
    <hyperlink r:id="rId3" ref="F5"/>
    <hyperlink r:id="rId4" ref="G5"/>
    <hyperlink r:id="rId5" ref="G6"/>
    <hyperlink r:id="rId6" ref="G7"/>
    <hyperlink r:id="rId7" ref="G8"/>
    <hyperlink r:id="rId8" ref="F9"/>
    <hyperlink r:id="rId9" ref="G9"/>
    <hyperlink r:id="rId10" ref="S9"/>
    <hyperlink r:id="rId11" ref="F10"/>
    <hyperlink r:id="rId12" ref="G10"/>
    <hyperlink r:id="rId13" ref="G11"/>
    <hyperlink r:id="rId14" ref="G12"/>
    <hyperlink r:id="rId15" ref="G13"/>
    <hyperlink r:id="rId16" ref="F14"/>
    <hyperlink r:id="rId17" ref="G14"/>
    <hyperlink r:id="rId18" ref="G15"/>
    <hyperlink r:id="rId19" ref="G17"/>
    <hyperlink r:id="rId20" ref="F19"/>
    <hyperlink r:id="rId21" ref="F20"/>
    <hyperlink r:id="rId22" ref="S21"/>
    <hyperlink r:id="rId23" ref="S23"/>
    <hyperlink r:id="rId24" ref="F24"/>
    <hyperlink r:id="rId25" ref="S24"/>
    <hyperlink r:id="rId26" ref="F25"/>
    <hyperlink r:id="rId27" ref="S25"/>
    <hyperlink r:id="rId28" ref="F28"/>
    <hyperlink r:id="rId29" ref="G29"/>
    <hyperlink r:id="rId30" ref="G33"/>
    <hyperlink r:id="rId31" ref="G37"/>
    <hyperlink r:id="rId32" ref="F39"/>
    <hyperlink r:id="rId33" ref="G39"/>
    <hyperlink r:id="rId34" ref="S39"/>
    <hyperlink r:id="rId35" ref="G40"/>
    <hyperlink r:id="rId36" ref="G42"/>
    <hyperlink r:id="rId37" ref="F43"/>
    <hyperlink r:id="rId38" ref="F44"/>
    <hyperlink r:id="rId39" ref="S44"/>
    <hyperlink r:id="rId40" ref="G45"/>
    <hyperlink r:id="rId41" ref="G47"/>
    <hyperlink r:id="rId42" ref="F48"/>
    <hyperlink r:id="rId43" ref="G49"/>
    <hyperlink r:id="rId44" ref="F50"/>
    <hyperlink r:id="rId45" ref="G50"/>
    <hyperlink r:id="rId46" ref="G51"/>
    <hyperlink r:id="rId47" ref="G52"/>
    <hyperlink r:id="rId48" ref="S52"/>
    <hyperlink r:id="rId49" ref="G53"/>
    <hyperlink r:id="rId50" ref="S53"/>
    <hyperlink r:id="rId51" ref="F57"/>
    <hyperlink r:id="rId52" ref="S57"/>
    <hyperlink r:id="rId53" ref="F58"/>
    <hyperlink r:id="rId54" ref="G59"/>
    <hyperlink r:id="rId55" ref="G60"/>
    <hyperlink r:id="rId56" ref="F62"/>
    <hyperlink r:id="rId57" ref="G63"/>
    <hyperlink r:id="rId58" ref="G64"/>
    <hyperlink r:id="rId59" ref="F65"/>
    <hyperlink r:id="rId60" ref="S65"/>
    <hyperlink r:id="rId61" ref="G66"/>
    <hyperlink r:id="rId62" ref="F67"/>
    <hyperlink r:id="rId63" ref="G67"/>
    <hyperlink r:id="rId64" ref="S67"/>
    <hyperlink r:id="rId65" ref="F70"/>
    <hyperlink r:id="rId66" ref="G71"/>
    <hyperlink r:id="rId67" ref="S73"/>
    <hyperlink r:id="rId68" ref="G75"/>
    <hyperlink r:id="rId69" ref="G77"/>
    <hyperlink r:id="rId70" ref="G78"/>
    <hyperlink r:id="rId71" ref="G79"/>
    <hyperlink r:id="rId72" ref="S83"/>
    <hyperlink r:id="rId73" ref="G85"/>
    <hyperlink r:id="rId74" ref="F86"/>
    <hyperlink r:id="rId75" ref="F87"/>
    <hyperlink r:id="rId76" ref="G89"/>
    <hyperlink r:id="rId77" ref="G94"/>
    <hyperlink r:id="rId78" ref="G96"/>
    <hyperlink r:id="rId79" ref="G101"/>
    <hyperlink r:id="rId80" ref="S102"/>
    <hyperlink r:id="rId81" ref="G103"/>
    <hyperlink r:id="rId82" ref="F104"/>
    <hyperlink r:id="rId83" ref="G104"/>
    <hyperlink r:id="rId84" ref="G105"/>
    <hyperlink r:id="rId85" ref="G106"/>
    <hyperlink r:id="rId86" ref="G107"/>
    <hyperlink r:id="rId87" ref="F108"/>
    <hyperlink r:id="rId88" ref="G108"/>
    <hyperlink r:id="rId89" ref="S108"/>
    <hyperlink r:id="rId90" ref="F109"/>
    <hyperlink r:id="rId91" ref="G109"/>
    <hyperlink r:id="rId92" ref="G110"/>
    <hyperlink r:id="rId93" ref="G111"/>
    <hyperlink r:id="rId94" ref="G112"/>
    <hyperlink r:id="rId95" ref="F113"/>
    <hyperlink r:id="rId96" ref="G113"/>
    <hyperlink r:id="rId97" ref="G114"/>
    <hyperlink r:id="rId98" ref="G116"/>
    <hyperlink r:id="rId99" ref="F118"/>
    <hyperlink r:id="rId100" ref="F119"/>
    <hyperlink r:id="rId101" ref="S120"/>
    <hyperlink r:id="rId102" ref="S122"/>
    <hyperlink r:id="rId103" ref="F123"/>
    <hyperlink r:id="rId104" ref="S123"/>
    <hyperlink r:id="rId105" ref="F124"/>
    <hyperlink r:id="rId106" ref="S124"/>
    <hyperlink r:id="rId107" ref="F127"/>
    <hyperlink r:id="rId108" ref="G128"/>
    <hyperlink r:id="rId109" ref="G132"/>
    <hyperlink r:id="rId110" ref="G136"/>
    <hyperlink r:id="rId111" ref="F138"/>
    <hyperlink r:id="rId112" ref="G138"/>
    <hyperlink r:id="rId113" ref="S138"/>
    <hyperlink r:id="rId114" ref="G139"/>
    <hyperlink r:id="rId115" ref="G141"/>
    <hyperlink r:id="rId116" ref="F142"/>
    <hyperlink r:id="rId117" ref="F143"/>
    <hyperlink r:id="rId118" ref="S143"/>
    <hyperlink r:id="rId119" ref="G144"/>
    <hyperlink r:id="rId120" ref="G146"/>
    <hyperlink r:id="rId121" ref="F147"/>
    <hyperlink r:id="rId122" ref="G148"/>
    <hyperlink r:id="rId123" ref="F149"/>
    <hyperlink r:id="rId124" ref="G149"/>
    <hyperlink r:id="rId125" ref="G150"/>
    <hyperlink r:id="rId126" ref="G151"/>
    <hyperlink r:id="rId127" ref="S151"/>
    <hyperlink r:id="rId128" ref="G152"/>
    <hyperlink r:id="rId129" ref="S152"/>
    <hyperlink r:id="rId130" ref="F156"/>
    <hyperlink r:id="rId131" ref="S156"/>
    <hyperlink r:id="rId132" ref="F157"/>
    <hyperlink r:id="rId133" ref="G158"/>
    <hyperlink r:id="rId134" ref="G159"/>
    <hyperlink r:id="rId135" ref="F161"/>
    <hyperlink r:id="rId136" ref="G162"/>
    <hyperlink r:id="rId137" ref="G163"/>
    <hyperlink r:id="rId138" ref="F164"/>
    <hyperlink r:id="rId139" ref="S164"/>
    <hyperlink r:id="rId140" ref="G165"/>
    <hyperlink r:id="rId141" ref="F166"/>
    <hyperlink r:id="rId142" ref="G166"/>
    <hyperlink r:id="rId143" ref="S166"/>
    <hyperlink r:id="rId144" ref="F169"/>
    <hyperlink r:id="rId145" ref="G170"/>
    <hyperlink r:id="rId146" ref="S172"/>
    <hyperlink r:id="rId147" ref="G174"/>
    <hyperlink r:id="rId148" ref="G176"/>
    <hyperlink r:id="rId149" ref="G177"/>
    <hyperlink r:id="rId150" ref="G178"/>
    <hyperlink r:id="rId151" ref="S182"/>
    <hyperlink r:id="rId152" ref="G184"/>
    <hyperlink r:id="rId153" ref="F185"/>
    <hyperlink r:id="rId154" ref="F186"/>
    <hyperlink r:id="rId155" ref="G188"/>
    <hyperlink r:id="rId156" ref="G193"/>
    <hyperlink r:id="rId157" ref="G195"/>
    <hyperlink r:id="rId158" ref="G200"/>
    <hyperlink r:id="rId159" ref="S201"/>
  </hyperlinks>
  <drawing r:id="rId160"/>
  <tableParts count="1">
    <tablePart r:id="rId162"/>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1856</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44222.40689814815</v>
      </c>
      <c r="B3" s="9" t="str">
        <f t="shared" ref="B3:B20" si="1">HYPERLINK("https://twitter.com/CitlaHM","@CitlaHM")</f>
        <v>@CitlaHM</v>
      </c>
      <c r="C3" s="10" t="s">
        <v>1857</v>
      </c>
      <c r="D3" s="10" t="s">
        <v>1858</v>
      </c>
      <c r="E3" s="9" t="str">
        <f>HYPERLINK("https://twitter.com/CitlaHM/status/1354093222788644869","1354093222788644869")</f>
        <v>1354093222788644869</v>
      </c>
      <c r="F3" s="11" t="s">
        <v>1859</v>
      </c>
      <c r="G3" s="12"/>
      <c r="H3" s="12"/>
      <c r="I3" s="13">
        <v>56.0</v>
      </c>
      <c r="J3" s="13">
        <v>248.0</v>
      </c>
      <c r="K3" s="9" t="str">
        <f t="shared" ref="K3:K13" si="2">HYPERLINK("http://twitter.com/download/iphone","Twitter for iPhone")</f>
        <v>Twitter for iPhone</v>
      </c>
      <c r="L3" s="14">
        <v>106334.0</v>
      </c>
      <c r="M3" s="14">
        <v>7223.0</v>
      </c>
      <c r="N3" s="14">
        <v>432.0</v>
      </c>
      <c r="O3" s="15" t="s">
        <v>24</v>
      </c>
      <c r="P3" s="16">
        <v>40056.872210648144</v>
      </c>
      <c r="Q3" s="12"/>
      <c r="R3" s="10" t="s">
        <v>1860</v>
      </c>
      <c r="S3" s="11" t="s">
        <v>1861</v>
      </c>
      <c r="T3" s="12"/>
      <c r="U3" s="17" t="str">
        <f t="shared" ref="U3:U20" si="3">HYPERLINK("https://pbs.twimg.com/profile_images/1080208855366336514/C4_d8dX-.jpg","View")</f>
        <v>View</v>
      </c>
      <c r="V3" s="12"/>
      <c r="W3" s="12"/>
      <c r="X3" s="12"/>
      <c r="Y3" s="12"/>
      <c r="Z3" s="12"/>
    </row>
    <row r="4">
      <c r="A4" s="8">
        <v>44222.012974537036</v>
      </c>
      <c r="B4" s="9" t="str">
        <f t="shared" si="1"/>
        <v>@CitlaHM</v>
      </c>
      <c r="C4" s="10" t="s">
        <v>1857</v>
      </c>
      <c r="D4" s="10" t="s">
        <v>1862</v>
      </c>
      <c r="E4" s="9" t="str">
        <f>HYPERLINK("https://twitter.com/CitlaHM/status/1353950468074917888","1353950468074917888")</f>
        <v>1353950468074917888</v>
      </c>
      <c r="F4" s="10" t="s">
        <v>1863</v>
      </c>
      <c r="G4" s="12"/>
      <c r="H4" s="12"/>
      <c r="I4" s="13">
        <v>45.0</v>
      </c>
      <c r="J4" s="13">
        <v>145.0</v>
      </c>
      <c r="K4" s="9" t="str">
        <f t="shared" si="2"/>
        <v>Twitter for iPhone</v>
      </c>
      <c r="L4" s="14">
        <v>106334.0</v>
      </c>
      <c r="M4" s="14">
        <v>7223.0</v>
      </c>
      <c r="N4" s="14">
        <v>432.0</v>
      </c>
      <c r="O4" s="15" t="s">
        <v>24</v>
      </c>
      <c r="P4" s="16">
        <v>40056.872210648144</v>
      </c>
      <c r="Q4" s="12"/>
      <c r="R4" s="10" t="s">
        <v>1860</v>
      </c>
      <c r="S4" s="11" t="s">
        <v>1861</v>
      </c>
      <c r="T4" s="12"/>
      <c r="U4" s="17" t="str">
        <f t="shared" si="3"/>
        <v>View</v>
      </c>
      <c r="V4" s="12"/>
      <c r="W4" s="12"/>
      <c r="X4" s="12"/>
      <c r="Y4" s="12"/>
      <c r="Z4" s="12"/>
    </row>
    <row r="5">
      <c r="A5" s="8">
        <v>44221.75619212963</v>
      </c>
      <c r="B5" s="9" t="str">
        <f t="shared" si="1"/>
        <v>@CitlaHM</v>
      </c>
      <c r="C5" s="10" t="s">
        <v>1857</v>
      </c>
      <c r="D5" s="10" t="s">
        <v>1864</v>
      </c>
      <c r="E5" s="9" t="str">
        <f>HYPERLINK("https://twitter.com/CitlaHM/status/1353857414899015681","1353857414899015681")</f>
        <v>1353857414899015681</v>
      </c>
      <c r="F5" s="12"/>
      <c r="G5" s="12"/>
      <c r="H5" s="12"/>
      <c r="I5" s="13">
        <v>365.0</v>
      </c>
      <c r="J5" s="13">
        <v>1217.0</v>
      </c>
      <c r="K5" s="9" t="str">
        <f t="shared" si="2"/>
        <v>Twitter for iPhone</v>
      </c>
      <c r="L5" s="14">
        <v>106334.0</v>
      </c>
      <c r="M5" s="14">
        <v>7223.0</v>
      </c>
      <c r="N5" s="14">
        <v>432.0</v>
      </c>
      <c r="O5" s="15" t="s">
        <v>24</v>
      </c>
      <c r="P5" s="16">
        <v>40056.872210648144</v>
      </c>
      <c r="Q5" s="12"/>
      <c r="R5" s="10" t="s">
        <v>1860</v>
      </c>
      <c r="S5" s="11" t="s">
        <v>1861</v>
      </c>
      <c r="T5" s="12"/>
      <c r="U5" s="17" t="str">
        <f t="shared" si="3"/>
        <v>View</v>
      </c>
      <c r="V5" s="12"/>
      <c r="W5" s="12"/>
      <c r="X5" s="12"/>
      <c r="Y5" s="12"/>
      <c r="Z5" s="12"/>
    </row>
    <row r="6">
      <c r="A6" s="8">
        <v>44221.66928240741</v>
      </c>
      <c r="B6" s="9" t="str">
        <f t="shared" si="1"/>
        <v>@CitlaHM</v>
      </c>
      <c r="C6" s="10" t="s">
        <v>1857</v>
      </c>
      <c r="D6" s="10" t="s">
        <v>1865</v>
      </c>
      <c r="E6" s="9" t="str">
        <f>HYPERLINK("https://twitter.com/CitlaHM/status/1353825919358676993","1353825919358676993")</f>
        <v>1353825919358676993</v>
      </c>
      <c r="F6" s="11" t="s">
        <v>1866</v>
      </c>
      <c r="G6" s="11" t="s">
        <v>1867</v>
      </c>
      <c r="H6" s="12"/>
      <c r="I6" s="13">
        <v>1991.0</v>
      </c>
      <c r="J6" s="13">
        <v>3254.0</v>
      </c>
      <c r="K6" s="9" t="str">
        <f t="shared" si="2"/>
        <v>Twitter for iPhone</v>
      </c>
      <c r="L6" s="14">
        <v>106334.0</v>
      </c>
      <c r="M6" s="14">
        <v>7223.0</v>
      </c>
      <c r="N6" s="14">
        <v>432.0</v>
      </c>
      <c r="O6" s="15" t="s">
        <v>24</v>
      </c>
      <c r="P6" s="16">
        <v>40056.872210648144</v>
      </c>
      <c r="Q6" s="12"/>
      <c r="R6" s="10" t="s">
        <v>1860</v>
      </c>
      <c r="S6" s="11" t="s">
        <v>1861</v>
      </c>
      <c r="T6" s="12"/>
      <c r="U6" s="17" t="str">
        <f t="shared" si="3"/>
        <v>View</v>
      </c>
      <c r="V6" s="12"/>
      <c r="W6" s="12"/>
      <c r="X6" s="12"/>
      <c r="Y6" s="12"/>
      <c r="Z6" s="12"/>
    </row>
    <row r="7">
      <c r="A7" s="8">
        <v>44221.4122337963</v>
      </c>
      <c r="B7" s="9" t="str">
        <f t="shared" si="1"/>
        <v>@CitlaHM</v>
      </c>
      <c r="C7" s="10" t="s">
        <v>1857</v>
      </c>
      <c r="D7" s="10" t="s">
        <v>1868</v>
      </c>
      <c r="E7" s="9" t="str">
        <f>HYPERLINK("https://twitter.com/CitlaHM/status/1353732768455225345","1353732768455225345")</f>
        <v>1353732768455225345</v>
      </c>
      <c r="F7" s="11" t="s">
        <v>1869</v>
      </c>
      <c r="G7" s="12"/>
      <c r="H7" s="12"/>
      <c r="I7" s="13">
        <v>440.0</v>
      </c>
      <c r="J7" s="13">
        <v>935.0</v>
      </c>
      <c r="K7" s="9" t="str">
        <f t="shared" si="2"/>
        <v>Twitter for iPhone</v>
      </c>
      <c r="L7" s="14">
        <v>106334.0</v>
      </c>
      <c r="M7" s="14">
        <v>7223.0</v>
      </c>
      <c r="N7" s="14">
        <v>432.0</v>
      </c>
      <c r="O7" s="15" t="s">
        <v>24</v>
      </c>
      <c r="P7" s="16">
        <v>40056.872210648144</v>
      </c>
      <c r="Q7" s="12"/>
      <c r="R7" s="10" t="s">
        <v>1860</v>
      </c>
      <c r="S7" s="11" t="s">
        <v>1861</v>
      </c>
      <c r="T7" s="12"/>
      <c r="U7" s="17" t="str">
        <f t="shared" si="3"/>
        <v>View</v>
      </c>
      <c r="V7" s="12"/>
      <c r="W7" s="12"/>
      <c r="X7" s="12"/>
      <c r="Y7" s="12"/>
      <c r="Z7" s="12"/>
    </row>
    <row r="8">
      <c r="A8" s="8">
        <v>44221.39847222222</v>
      </c>
      <c r="B8" s="9" t="str">
        <f t="shared" si="1"/>
        <v>@CitlaHM</v>
      </c>
      <c r="C8" s="10" t="s">
        <v>1857</v>
      </c>
      <c r="D8" s="10" t="s">
        <v>1870</v>
      </c>
      <c r="E8" s="9" t="str">
        <f>HYPERLINK("https://twitter.com/CitlaHM/status/1353727780710563845","1353727780710563845")</f>
        <v>1353727780710563845</v>
      </c>
      <c r="F8" s="11" t="s">
        <v>1871</v>
      </c>
      <c r="G8" s="11" t="s">
        <v>1872</v>
      </c>
      <c r="H8" s="12"/>
      <c r="I8" s="13">
        <v>26.0</v>
      </c>
      <c r="J8" s="13">
        <v>116.0</v>
      </c>
      <c r="K8" s="9" t="str">
        <f t="shared" si="2"/>
        <v>Twitter for iPhone</v>
      </c>
      <c r="L8" s="14">
        <v>106334.0</v>
      </c>
      <c r="M8" s="14">
        <v>7223.0</v>
      </c>
      <c r="N8" s="14">
        <v>432.0</v>
      </c>
      <c r="O8" s="15" t="s">
        <v>24</v>
      </c>
      <c r="P8" s="16">
        <v>40056.872210648144</v>
      </c>
      <c r="Q8" s="12"/>
      <c r="R8" s="10" t="s">
        <v>1860</v>
      </c>
      <c r="S8" s="11" t="s">
        <v>1861</v>
      </c>
      <c r="T8" s="12"/>
      <c r="U8" s="17" t="str">
        <f t="shared" si="3"/>
        <v>View</v>
      </c>
      <c r="V8" s="12"/>
      <c r="W8" s="12"/>
      <c r="X8" s="12"/>
      <c r="Y8" s="12"/>
      <c r="Z8" s="12"/>
    </row>
    <row r="9">
      <c r="A9" s="8">
        <v>44220.840729166666</v>
      </c>
      <c r="B9" s="9" t="str">
        <f t="shared" si="1"/>
        <v>@CitlaHM</v>
      </c>
      <c r="C9" s="10" t="s">
        <v>1857</v>
      </c>
      <c r="D9" s="10" t="s">
        <v>1873</v>
      </c>
      <c r="E9" s="9" t="str">
        <f>HYPERLINK("https://twitter.com/CitlaHM/status/1353525660539523074","1353525660539523074")</f>
        <v>1353525660539523074</v>
      </c>
      <c r="F9" s="11" t="s">
        <v>1874</v>
      </c>
      <c r="G9" s="12"/>
      <c r="H9" s="12"/>
      <c r="I9" s="13">
        <v>176.0</v>
      </c>
      <c r="J9" s="13">
        <v>538.0</v>
      </c>
      <c r="K9" s="9" t="str">
        <f t="shared" si="2"/>
        <v>Twitter for iPhone</v>
      </c>
      <c r="L9" s="14">
        <v>106334.0</v>
      </c>
      <c r="M9" s="14">
        <v>7223.0</v>
      </c>
      <c r="N9" s="14">
        <v>432.0</v>
      </c>
      <c r="O9" s="15" t="s">
        <v>24</v>
      </c>
      <c r="P9" s="16">
        <v>40056.872210648144</v>
      </c>
      <c r="Q9" s="12"/>
      <c r="R9" s="10" t="s">
        <v>1860</v>
      </c>
      <c r="S9" s="11" t="s">
        <v>1861</v>
      </c>
      <c r="T9" s="12"/>
      <c r="U9" s="17" t="str">
        <f t="shared" si="3"/>
        <v>View</v>
      </c>
      <c r="V9" s="12"/>
      <c r="W9" s="12"/>
      <c r="X9" s="12"/>
      <c r="Y9" s="12"/>
      <c r="Z9" s="12"/>
    </row>
    <row r="10">
      <c r="A10" s="8">
        <v>44220.828831018516</v>
      </c>
      <c r="B10" s="9" t="str">
        <f t="shared" si="1"/>
        <v>@CitlaHM</v>
      </c>
      <c r="C10" s="10" t="s">
        <v>1857</v>
      </c>
      <c r="D10" s="10" t="s">
        <v>1875</v>
      </c>
      <c r="E10" s="9" t="str">
        <f>HYPERLINK("https://twitter.com/CitlaHM/status/1353521348501356545","1353521348501356545")</f>
        <v>1353521348501356545</v>
      </c>
      <c r="F10" s="12"/>
      <c r="G10" s="12"/>
      <c r="H10" s="12"/>
      <c r="I10" s="13">
        <v>1830.0</v>
      </c>
      <c r="J10" s="13">
        <v>4498.0</v>
      </c>
      <c r="K10" s="9" t="str">
        <f t="shared" si="2"/>
        <v>Twitter for iPhone</v>
      </c>
      <c r="L10" s="14">
        <v>106334.0</v>
      </c>
      <c r="M10" s="14">
        <v>7223.0</v>
      </c>
      <c r="N10" s="14">
        <v>432.0</v>
      </c>
      <c r="O10" s="15" t="s">
        <v>24</v>
      </c>
      <c r="P10" s="16">
        <v>40056.872210648144</v>
      </c>
      <c r="Q10" s="12"/>
      <c r="R10" s="10" t="s">
        <v>1860</v>
      </c>
      <c r="S10" s="11" t="s">
        <v>1861</v>
      </c>
      <c r="T10" s="12"/>
      <c r="U10" s="17" t="str">
        <f t="shared" si="3"/>
        <v>View</v>
      </c>
      <c r="V10" s="12"/>
      <c r="W10" s="12"/>
      <c r="X10" s="12"/>
      <c r="Y10" s="12"/>
      <c r="Z10" s="12"/>
    </row>
    <row r="11">
      <c r="A11" s="8">
        <v>44220.81398148148</v>
      </c>
      <c r="B11" s="9" t="str">
        <f t="shared" si="1"/>
        <v>@CitlaHM</v>
      </c>
      <c r="C11" s="10" t="s">
        <v>1857</v>
      </c>
      <c r="D11" s="10" t="s">
        <v>1876</v>
      </c>
      <c r="E11" s="9" t="str">
        <f>HYPERLINK("https://twitter.com/CitlaHM/status/1353515968194994176","1353515968194994176")</f>
        <v>1353515968194994176</v>
      </c>
      <c r="F11" s="12"/>
      <c r="G11" s="12"/>
      <c r="H11" s="12"/>
      <c r="I11" s="13">
        <v>880.0</v>
      </c>
      <c r="J11" s="13">
        <v>3194.0</v>
      </c>
      <c r="K11" s="9" t="str">
        <f t="shared" si="2"/>
        <v>Twitter for iPhone</v>
      </c>
      <c r="L11" s="14">
        <v>106334.0</v>
      </c>
      <c r="M11" s="14">
        <v>7223.0</v>
      </c>
      <c r="N11" s="14">
        <v>432.0</v>
      </c>
      <c r="O11" s="15" t="s">
        <v>24</v>
      </c>
      <c r="P11" s="16">
        <v>40056.872210648144</v>
      </c>
      <c r="Q11" s="12"/>
      <c r="R11" s="10" t="s">
        <v>1860</v>
      </c>
      <c r="S11" s="11" t="s">
        <v>1861</v>
      </c>
      <c r="T11" s="12"/>
      <c r="U11" s="17" t="str">
        <f t="shared" si="3"/>
        <v>View</v>
      </c>
      <c r="V11" s="12"/>
      <c r="W11" s="12"/>
      <c r="X11" s="12"/>
      <c r="Y11" s="12"/>
      <c r="Z11" s="12"/>
    </row>
    <row r="12">
      <c r="A12" s="8">
        <v>44220.77607638889</v>
      </c>
      <c r="B12" s="9" t="str">
        <f t="shared" si="1"/>
        <v>@CitlaHM</v>
      </c>
      <c r="C12" s="10" t="s">
        <v>1857</v>
      </c>
      <c r="D12" s="10" t="s">
        <v>1877</v>
      </c>
      <c r="E12" s="9" t="str">
        <f>HYPERLINK("https://twitter.com/CitlaHM/status/1353502232038187008","1353502232038187008")</f>
        <v>1353502232038187008</v>
      </c>
      <c r="F12" s="11" t="s">
        <v>116</v>
      </c>
      <c r="G12" s="12"/>
      <c r="H12" s="12"/>
      <c r="I12" s="13">
        <v>173.0</v>
      </c>
      <c r="J12" s="13">
        <v>681.0</v>
      </c>
      <c r="K12" s="9" t="str">
        <f t="shared" si="2"/>
        <v>Twitter for iPhone</v>
      </c>
      <c r="L12" s="14">
        <v>106334.0</v>
      </c>
      <c r="M12" s="14">
        <v>7223.0</v>
      </c>
      <c r="N12" s="14">
        <v>432.0</v>
      </c>
      <c r="O12" s="15" t="s">
        <v>24</v>
      </c>
      <c r="P12" s="16">
        <v>40056.872210648144</v>
      </c>
      <c r="Q12" s="12"/>
      <c r="R12" s="10" t="s">
        <v>1860</v>
      </c>
      <c r="S12" s="11" t="s">
        <v>1861</v>
      </c>
      <c r="T12" s="12"/>
      <c r="U12" s="17" t="str">
        <f t="shared" si="3"/>
        <v>View</v>
      </c>
      <c r="V12" s="12"/>
      <c r="W12" s="12"/>
      <c r="X12" s="12"/>
      <c r="Y12" s="12"/>
      <c r="Z12" s="12"/>
    </row>
    <row r="13">
      <c r="A13" s="8">
        <v>44219.82168981481</v>
      </c>
      <c r="B13" s="9" t="str">
        <f t="shared" si="1"/>
        <v>@CitlaHM</v>
      </c>
      <c r="C13" s="10" t="s">
        <v>1857</v>
      </c>
      <c r="D13" s="10" t="s">
        <v>1878</v>
      </c>
      <c r="E13" s="9" t="str">
        <f>HYPERLINK("https://twitter.com/CitlaHM/status/1353156371416408064","1353156371416408064")</f>
        <v>1353156371416408064</v>
      </c>
      <c r="F13" s="11" t="s">
        <v>1879</v>
      </c>
      <c r="G13" s="11" t="s">
        <v>1880</v>
      </c>
      <c r="H13" s="12"/>
      <c r="I13" s="13">
        <v>23.0</v>
      </c>
      <c r="J13" s="13">
        <v>82.0</v>
      </c>
      <c r="K13" s="9" t="str">
        <f t="shared" si="2"/>
        <v>Twitter for iPhone</v>
      </c>
      <c r="L13" s="14">
        <v>106334.0</v>
      </c>
      <c r="M13" s="14">
        <v>7223.0</v>
      </c>
      <c r="N13" s="14">
        <v>432.0</v>
      </c>
      <c r="O13" s="15" t="s">
        <v>24</v>
      </c>
      <c r="P13" s="16">
        <v>40056.872210648144</v>
      </c>
      <c r="Q13" s="12"/>
      <c r="R13" s="10" t="s">
        <v>1860</v>
      </c>
      <c r="S13" s="11" t="s">
        <v>1861</v>
      </c>
      <c r="T13" s="12"/>
      <c r="U13" s="17" t="str">
        <f t="shared" si="3"/>
        <v>View</v>
      </c>
      <c r="V13" s="12"/>
      <c r="W13" s="12"/>
      <c r="X13" s="12"/>
      <c r="Y13" s="12"/>
      <c r="Z13" s="12"/>
    </row>
    <row r="14">
      <c r="A14" s="8">
        <v>44218.6736574074</v>
      </c>
      <c r="B14" s="9" t="str">
        <f t="shared" si="1"/>
        <v>@CitlaHM</v>
      </c>
      <c r="C14" s="10" t="s">
        <v>1857</v>
      </c>
      <c r="D14" s="10" t="s">
        <v>1881</v>
      </c>
      <c r="E14" s="9" t="str">
        <f>HYPERLINK("https://twitter.com/CitlaHM/status/1352740341036707841","1352740341036707841")</f>
        <v>1352740341036707841</v>
      </c>
      <c r="F14" s="12"/>
      <c r="G14" s="11" t="s">
        <v>1882</v>
      </c>
      <c r="H14" s="12"/>
      <c r="I14" s="13">
        <v>875.0</v>
      </c>
      <c r="J14" s="13">
        <v>1628.0</v>
      </c>
      <c r="K14" s="9" t="str">
        <f>HYPERLINK("https://studio.twitter.com","Twitter Media Studio")</f>
        <v>Twitter Media Studio</v>
      </c>
      <c r="L14" s="14">
        <v>106334.0</v>
      </c>
      <c r="M14" s="14">
        <v>7223.0</v>
      </c>
      <c r="N14" s="14">
        <v>432.0</v>
      </c>
      <c r="O14" s="15" t="s">
        <v>24</v>
      </c>
      <c r="P14" s="16">
        <v>40056.872210648144</v>
      </c>
      <c r="Q14" s="12"/>
      <c r="R14" s="10" t="s">
        <v>1860</v>
      </c>
      <c r="S14" s="11" t="s">
        <v>1861</v>
      </c>
      <c r="T14" s="12"/>
      <c r="U14" s="17" t="str">
        <f t="shared" si="3"/>
        <v>View</v>
      </c>
      <c r="V14" s="12"/>
      <c r="W14" s="12"/>
      <c r="X14" s="12"/>
      <c r="Y14" s="12"/>
      <c r="Z14" s="12"/>
    </row>
    <row r="15">
      <c r="A15" s="8">
        <v>44217.815833333334</v>
      </c>
      <c r="B15" s="9" t="str">
        <f t="shared" si="1"/>
        <v>@CitlaHM</v>
      </c>
      <c r="C15" s="10" t="s">
        <v>1857</v>
      </c>
      <c r="D15" s="10" t="s">
        <v>1883</v>
      </c>
      <c r="E15" s="9" t="str">
        <f>HYPERLINK("https://twitter.com/CitlaHM/status/1352429475711963138","1352429475711963138")</f>
        <v>1352429475711963138</v>
      </c>
      <c r="F15" s="12"/>
      <c r="G15" s="12"/>
      <c r="H15" s="12"/>
      <c r="I15" s="13">
        <v>3436.0</v>
      </c>
      <c r="J15" s="13">
        <v>7925.0</v>
      </c>
      <c r="K15" s="9" t="str">
        <f t="shared" ref="K15:K20" si="4">HYPERLINK("http://twitter.com/download/iphone","Twitter for iPhone")</f>
        <v>Twitter for iPhone</v>
      </c>
      <c r="L15" s="14">
        <v>106334.0</v>
      </c>
      <c r="M15" s="14">
        <v>7223.0</v>
      </c>
      <c r="N15" s="14">
        <v>432.0</v>
      </c>
      <c r="O15" s="15" t="s">
        <v>24</v>
      </c>
      <c r="P15" s="16">
        <v>40056.872210648144</v>
      </c>
      <c r="Q15" s="12"/>
      <c r="R15" s="10" t="s">
        <v>1860</v>
      </c>
      <c r="S15" s="11" t="s">
        <v>1861</v>
      </c>
      <c r="T15" s="12"/>
      <c r="U15" s="17" t="str">
        <f t="shared" si="3"/>
        <v>View</v>
      </c>
      <c r="V15" s="12"/>
      <c r="W15" s="12"/>
      <c r="X15" s="12"/>
      <c r="Y15" s="12"/>
      <c r="Z15" s="12"/>
    </row>
    <row r="16">
      <c r="A16" s="8">
        <v>44216.776712962965</v>
      </c>
      <c r="B16" s="9" t="str">
        <f t="shared" si="1"/>
        <v>@CitlaHM</v>
      </c>
      <c r="C16" s="10" t="s">
        <v>1857</v>
      </c>
      <c r="D16" s="10" t="s">
        <v>1884</v>
      </c>
      <c r="E16" s="9" t="str">
        <f>HYPERLINK("https://twitter.com/CitlaHM/status/1352052911149355010","1352052911149355010")</f>
        <v>1352052911149355010</v>
      </c>
      <c r="F16" s="12"/>
      <c r="G16" s="11" t="s">
        <v>1885</v>
      </c>
      <c r="H16" s="12"/>
      <c r="I16" s="13">
        <v>76.0</v>
      </c>
      <c r="J16" s="13">
        <v>156.0</v>
      </c>
      <c r="K16" s="9" t="str">
        <f t="shared" si="4"/>
        <v>Twitter for iPhone</v>
      </c>
      <c r="L16" s="14">
        <v>106334.0</v>
      </c>
      <c r="M16" s="14">
        <v>7223.0</v>
      </c>
      <c r="N16" s="14">
        <v>432.0</v>
      </c>
      <c r="O16" s="15" t="s">
        <v>24</v>
      </c>
      <c r="P16" s="16">
        <v>40056.872210648144</v>
      </c>
      <c r="Q16" s="12"/>
      <c r="R16" s="10" t="s">
        <v>1860</v>
      </c>
      <c r="S16" s="11" t="s">
        <v>1861</v>
      </c>
      <c r="T16" s="12"/>
      <c r="U16" s="17" t="str">
        <f t="shared" si="3"/>
        <v>View</v>
      </c>
      <c r="V16" s="12"/>
      <c r="W16" s="12"/>
      <c r="X16" s="12"/>
      <c r="Y16" s="12"/>
      <c r="Z16" s="12"/>
    </row>
    <row r="17">
      <c r="A17" s="8">
        <v>44216.66989583333</v>
      </c>
      <c r="B17" s="9" t="str">
        <f t="shared" si="1"/>
        <v>@CitlaHM</v>
      </c>
      <c r="C17" s="10" t="s">
        <v>1857</v>
      </c>
      <c r="D17" s="10" t="s">
        <v>1886</v>
      </c>
      <c r="E17" s="9" t="str">
        <f>HYPERLINK("https://twitter.com/CitlaHM/status/1352014199497531393","1352014199497531393")</f>
        <v>1352014199497531393</v>
      </c>
      <c r="F17" s="11" t="s">
        <v>1887</v>
      </c>
      <c r="G17" s="11" t="s">
        <v>1888</v>
      </c>
      <c r="H17" s="12"/>
      <c r="I17" s="13">
        <v>152.0</v>
      </c>
      <c r="J17" s="13">
        <v>449.0</v>
      </c>
      <c r="K17" s="9" t="str">
        <f t="shared" si="4"/>
        <v>Twitter for iPhone</v>
      </c>
      <c r="L17" s="14">
        <v>106334.0</v>
      </c>
      <c r="M17" s="14">
        <v>7223.0</v>
      </c>
      <c r="N17" s="14">
        <v>432.0</v>
      </c>
      <c r="O17" s="15" t="s">
        <v>24</v>
      </c>
      <c r="P17" s="16">
        <v>40056.872210648144</v>
      </c>
      <c r="Q17" s="12"/>
      <c r="R17" s="10" t="s">
        <v>1860</v>
      </c>
      <c r="S17" s="11" t="s">
        <v>1861</v>
      </c>
      <c r="T17" s="12"/>
      <c r="U17" s="17" t="str">
        <f t="shared" si="3"/>
        <v>View</v>
      </c>
      <c r="V17" s="12"/>
      <c r="W17" s="12"/>
      <c r="X17" s="12"/>
      <c r="Y17" s="12"/>
      <c r="Z17" s="12"/>
    </row>
    <row r="18">
      <c r="A18" s="8">
        <v>44216.51804398149</v>
      </c>
      <c r="B18" s="9" t="str">
        <f t="shared" si="1"/>
        <v>@CitlaHM</v>
      </c>
      <c r="C18" s="10" t="s">
        <v>1857</v>
      </c>
      <c r="D18" s="10" t="s">
        <v>1889</v>
      </c>
      <c r="E18" s="9" t="str">
        <f>HYPERLINK("https://twitter.com/CitlaHM/status/1351959171533443072","1351959171533443072")</f>
        <v>1351959171533443072</v>
      </c>
      <c r="F18" s="10" t="s">
        <v>1890</v>
      </c>
      <c r="G18" s="12"/>
      <c r="H18" s="12"/>
      <c r="I18" s="13">
        <v>34.0</v>
      </c>
      <c r="J18" s="13">
        <v>120.0</v>
      </c>
      <c r="K18" s="9" t="str">
        <f t="shared" si="4"/>
        <v>Twitter for iPhone</v>
      </c>
      <c r="L18" s="14">
        <v>106334.0</v>
      </c>
      <c r="M18" s="14">
        <v>7223.0</v>
      </c>
      <c r="N18" s="14">
        <v>432.0</v>
      </c>
      <c r="O18" s="15" t="s">
        <v>24</v>
      </c>
      <c r="P18" s="16">
        <v>40056.872210648144</v>
      </c>
      <c r="Q18" s="12"/>
      <c r="R18" s="10" t="s">
        <v>1860</v>
      </c>
      <c r="S18" s="11" t="s">
        <v>1861</v>
      </c>
      <c r="T18" s="12"/>
      <c r="U18" s="17" t="str">
        <f t="shared" si="3"/>
        <v>View</v>
      </c>
      <c r="V18" s="12"/>
      <c r="W18" s="12"/>
      <c r="X18" s="12"/>
      <c r="Y18" s="12"/>
      <c r="Z18" s="12"/>
    </row>
    <row r="19">
      <c r="A19" s="8">
        <v>44216.2730787037</v>
      </c>
      <c r="B19" s="9" t="str">
        <f t="shared" si="1"/>
        <v>@CitlaHM</v>
      </c>
      <c r="C19" s="10" t="s">
        <v>1857</v>
      </c>
      <c r="D19" s="10" t="s">
        <v>1891</v>
      </c>
      <c r="E19" s="9" t="str">
        <f>HYPERLINK("https://twitter.com/CitlaHM/status/1351870399353557000","1351870399353557000")</f>
        <v>1351870399353557000</v>
      </c>
      <c r="F19" s="11" t="s">
        <v>1892</v>
      </c>
      <c r="G19" s="11" t="s">
        <v>1893</v>
      </c>
      <c r="H19" s="12"/>
      <c r="I19" s="13">
        <v>26.0</v>
      </c>
      <c r="J19" s="13">
        <v>63.0</v>
      </c>
      <c r="K19" s="9" t="str">
        <f t="shared" si="4"/>
        <v>Twitter for iPhone</v>
      </c>
      <c r="L19" s="14">
        <v>106334.0</v>
      </c>
      <c r="M19" s="14">
        <v>7223.0</v>
      </c>
      <c r="N19" s="14">
        <v>432.0</v>
      </c>
      <c r="O19" s="15" t="s">
        <v>24</v>
      </c>
      <c r="P19" s="16">
        <v>40056.872210648144</v>
      </c>
      <c r="Q19" s="12"/>
      <c r="R19" s="10" t="s">
        <v>1860</v>
      </c>
      <c r="S19" s="11" t="s">
        <v>1861</v>
      </c>
      <c r="T19" s="12"/>
      <c r="U19" s="17" t="str">
        <f t="shared" si="3"/>
        <v>View</v>
      </c>
      <c r="V19" s="12"/>
      <c r="W19" s="12"/>
      <c r="X19" s="12"/>
      <c r="Y19" s="12"/>
      <c r="Z19" s="12"/>
    </row>
    <row r="20">
      <c r="A20" s="8">
        <v>44215.718043981484</v>
      </c>
      <c r="B20" s="9" t="str">
        <f t="shared" si="1"/>
        <v>@CitlaHM</v>
      </c>
      <c r="C20" s="10" t="s">
        <v>1857</v>
      </c>
      <c r="D20" s="10" t="s">
        <v>1894</v>
      </c>
      <c r="E20" s="9" t="str">
        <f>HYPERLINK("https://twitter.com/CitlaHM/status/1351669262612500482","1351669262612500482")</f>
        <v>1351669262612500482</v>
      </c>
      <c r="F20" s="11" t="s">
        <v>1895</v>
      </c>
      <c r="G20" s="12"/>
      <c r="H20" s="12"/>
      <c r="I20" s="13">
        <v>24.0</v>
      </c>
      <c r="J20" s="13">
        <v>58.0</v>
      </c>
      <c r="K20" s="9" t="str">
        <f t="shared" si="4"/>
        <v>Twitter for iPhone</v>
      </c>
      <c r="L20" s="14">
        <v>106334.0</v>
      </c>
      <c r="M20" s="14">
        <v>7223.0</v>
      </c>
      <c r="N20" s="14">
        <v>432.0</v>
      </c>
      <c r="O20" s="15" t="s">
        <v>24</v>
      </c>
      <c r="P20" s="16">
        <v>40056.872210648144</v>
      </c>
      <c r="Q20" s="12"/>
      <c r="R20" s="10" t="s">
        <v>1860</v>
      </c>
      <c r="S20" s="11" t="s">
        <v>1861</v>
      </c>
      <c r="T20" s="12"/>
      <c r="U20" s="17" t="str">
        <f t="shared" si="3"/>
        <v>View</v>
      </c>
      <c r="V20" s="12"/>
      <c r="W20" s="12"/>
      <c r="X20" s="12"/>
      <c r="Y20" s="12"/>
      <c r="Z20" s="12"/>
    </row>
    <row r="21">
      <c r="A21" s="18"/>
      <c r="B21" s="12"/>
      <c r="C21" s="12"/>
      <c r="D21" s="12"/>
      <c r="E21" s="12"/>
      <c r="F21" s="12"/>
      <c r="G21" s="12"/>
      <c r="H21" s="12"/>
      <c r="I21" s="12"/>
      <c r="J21" s="12"/>
      <c r="K21" s="12"/>
      <c r="L21" s="19"/>
      <c r="M21" s="19"/>
      <c r="N21" s="19"/>
      <c r="O21" s="19"/>
      <c r="P21" s="19"/>
      <c r="Q21" s="12"/>
      <c r="R21" s="12"/>
      <c r="S21" s="12"/>
      <c r="T21" s="12"/>
      <c r="U21" s="19"/>
      <c r="V21" s="12"/>
      <c r="W21" s="12"/>
      <c r="X21" s="12"/>
      <c r="Y21" s="12"/>
      <c r="Z21" s="12"/>
    </row>
    <row r="22">
      <c r="A22" s="18"/>
      <c r="B22" s="12"/>
      <c r="C22" s="12"/>
      <c r="D22" s="12"/>
      <c r="E22" s="12"/>
      <c r="F22" s="12"/>
      <c r="G22" s="12"/>
      <c r="H22" s="12"/>
      <c r="I22" s="12"/>
      <c r="J22" s="12"/>
      <c r="K22" s="12"/>
      <c r="L22" s="19"/>
      <c r="M22" s="19"/>
      <c r="N22" s="19"/>
      <c r="O22" s="19"/>
      <c r="P22" s="19"/>
      <c r="Q22" s="12"/>
      <c r="R22" s="12"/>
      <c r="S22" s="12"/>
      <c r="T22" s="12"/>
      <c r="U22" s="19"/>
      <c r="V22" s="12"/>
      <c r="W22" s="12"/>
      <c r="X22" s="12"/>
      <c r="Y22" s="12"/>
      <c r="Z22" s="12"/>
    </row>
    <row r="23">
      <c r="A23" s="18"/>
      <c r="B23" s="12"/>
      <c r="C23" s="12"/>
      <c r="D23" s="12"/>
      <c r="E23" s="12"/>
      <c r="F23" s="12"/>
      <c r="G23" s="12"/>
      <c r="H23" s="12"/>
      <c r="I23" s="12"/>
      <c r="J23" s="12"/>
      <c r="K23" s="12"/>
      <c r="L23" s="19"/>
      <c r="M23" s="19"/>
      <c r="N23" s="19"/>
      <c r="O23" s="19"/>
      <c r="P23" s="19"/>
      <c r="Q23" s="12"/>
      <c r="R23" s="12"/>
      <c r="S23" s="12"/>
      <c r="T23" s="12"/>
      <c r="U23" s="19"/>
      <c r="V23" s="12"/>
      <c r="W23" s="12"/>
      <c r="X23" s="12"/>
      <c r="Y23" s="12"/>
      <c r="Z23" s="12"/>
    </row>
    <row r="24">
      <c r="A24" s="18"/>
      <c r="B24" s="12"/>
      <c r="C24" s="12"/>
      <c r="D24" s="12"/>
      <c r="E24" s="12"/>
      <c r="F24" s="12"/>
      <c r="G24" s="12"/>
      <c r="H24" s="12"/>
      <c r="I24" s="12"/>
      <c r="J24" s="12"/>
      <c r="K24" s="12"/>
      <c r="L24" s="19"/>
      <c r="M24" s="19"/>
      <c r="N24" s="19"/>
      <c r="O24" s="19"/>
      <c r="P24" s="19"/>
      <c r="Q24" s="12"/>
      <c r="R24" s="12"/>
      <c r="S24" s="12"/>
      <c r="T24" s="12"/>
      <c r="U24" s="19"/>
      <c r="V24" s="12"/>
      <c r="W24" s="12"/>
      <c r="X24" s="12"/>
      <c r="Y24" s="12"/>
      <c r="Z24" s="12"/>
    </row>
    <row r="25">
      <c r="A25" s="18"/>
      <c r="B25" s="12"/>
      <c r="C25" s="12"/>
      <c r="D25" s="12"/>
      <c r="E25" s="12"/>
      <c r="F25" s="12"/>
      <c r="G25" s="12"/>
      <c r="H25" s="12"/>
      <c r="I25" s="12"/>
      <c r="J25" s="12"/>
      <c r="K25" s="12"/>
      <c r="L25" s="19"/>
      <c r="M25" s="19"/>
      <c r="N25" s="19"/>
      <c r="O25" s="19"/>
      <c r="P25" s="19"/>
      <c r="Q25" s="12"/>
      <c r="R25" s="12"/>
      <c r="S25" s="12"/>
      <c r="T25" s="12"/>
      <c r="U25" s="19"/>
      <c r="V25" s="12"/>
      <c r="W25" s="12"/>
      <c r="X25" s="12"/>
      <c r="Y25" s="12"/>
      <c r="Z25" s="12"/>
    </row>
    <row r="26">
      <c r="A26" s="18"/>
      <c r="B26" s="12"/>
      <c r="C26" s="12"/>
      <c r="D26" s="12"/>
      <c r="E26" s="12"/>
      <c r="F26" s="12"/>
      <c r="G26" s="12"/>
      <c r="H26" s="12"/>
      <c r="I26" s="12"/>
      <c r="J26" s="12"/>
      <c r="K26" s="12"/>
      <c r="L26" s="19"/>
      <c r="M26" s="19"/>
      <c r="N26" s="19"/>
      <c r="O26" s="19"/>
      <c r="P26" s="19"/>
      <c r="Q26" s="12"/>
      <c r="R26" s="12"/>
      <c r="S26" s="12"/>
      <c r="T26" s="12"/>
      <c r="U26" s="19"/>
      <c r="V26" s="12"/>
      <c r="W26" s="12"/>
      <c r="X26" s="12"/>
      <c r="Y26" s="12"/>
      <c r="Z26" s="12"/>
    </row>
    <row r="27">
      <c r="A27" s="18"/>
      <c r="B27" s="12"/>
      <c r="C27" s="12"/>
      <c r="D27" s="12"/>
      <c r="E27" s="12"/>
      <c r="F27" s="12"/>
      <c r="G27" s="12"/>
      <c r="H27" s="12"/>
      <c r="I27" s="12"/>
      <c r="J27" s="12"/>
      <c r="K27" s="12"/>
      <c r="L27" s="19"/>
      <c r="M27" s="19"/>
      <c r="N27" s="19"/>
      <c r="O27" s="19"/>
      <c r="P27" s="19"/>
      <c r="Q27" s="12"/>
      <c r="R27" s="12"/>
      <c r="S27" s="12"/>
      <c r="T27" s="12"/>
      <c r="U27" s="19"/>
      <c r="V27" s="12"/>
      <c r="W27" s="12"/>
      <c r="X27" s="12"/>
      <c r="Y27" s="12"/>
      <c r="Z27" s="12"/>
    </row>
    <row r="28">
      <c r="A28" s="18"/>
      <c r="B28" s="12"/>
      <c r="C28" s="12"/>
      <c r="D28" s="12"/>
      <c r="E28" s="12"/>
      <c r="F28" s="12"/>
      <c r="G28" s="12"/>
      <c r="H28" s="12"/>
      <c r="I28" s="12"/>
      <c r="J28" s="12"/>
      <c r="K28" s="12"/>
      <c r="L28" s="19"/>
      <c r="M28" s="19"/>
      <c r="N28" s="19"/>
      <c r="O28" s="19"/>
      <c r="P28" s="19"/>
      <c r="Q28" s="12"/>
      <c r="R28" s="12"/>
      <c r="S28" s="12"/>
      <c r="T28" s="12"/>
      <c r="U28" s="19"/>
      <c r="V28" s="12"/>
      <c r="W28" s="12"/>
      <c r="X28" s="12"/>
      <c r="Y28" s="12"/>
      <c r="Z28" s="12"/>
    </row>
    <row r="29">
      <c r="A29" s="18"/>
      <c r="B29" s="12"/>
      <c r="C29" s="12"/>
      <c r="D29" s="12"/>
      <c r="E29" s="12"/>
      <c r="F29" s="12"/>
      <c r="G29" s="12"/>
      <c r="H29" s="12"/>
      <c r="I29" s="12"/>
      <c r="J29" s="12"/>
      <c r="K29" s="12"/>
      <c r="L29" s="19"/>
      <c r="M29" s="19"/>
      <c r="N29" s="19"/>
      <c r="O29" s="19"/>
      <c r="P29" s="19"/>
      <c r="Q29" s="12"/>
      <c r="R29" s="12"/>
      <c r="S29" s="12"/>
      <c r="T29" s="12"/>
      <c r="U29" s="19"/>
      <c r="V29" s="12"/>
      <c r="W29" s="12"/>
      <c r="X29" s="12"/>
      <c r="Y29" s="12"/>
      <c r="Z29" s="12"/>
    </row>
    <row r="30">
      <c r="A30" s="18"/>
      <c r="B30" s="12"/>
      <c r="C30" s="12"/>
      <c r="D30" s="12"/>
      <c r="E30" s="12"/>
      <c r="F30" s="12"/>
      <c r="G30" s="12"/>
      <c r="H30" s="12"/>
      <c r="I30" s="12"/>
      <c r="J30" s="12"/>
      <c r="K30" s="12"/>
      <c r="L30" s="19"/>
      <c r="M30" s="19"/>
      <c r="N30" s="19"/>
      <c r="O30" s="19"/>
      <c r="P30" s="19"/>
      <c r="Q30" s="12"/>
      <c r="R30" s="12"/>
      <c r="S30" s="12"/>
      <c r="T30" s="12"/>
      <c r="U30" s="19"/>
      <c r="V30" s="12"/>
      <c r="W30" s="12"/>
      <c r="X30" s="12"/>
      <c r="Y30" s="12"/>
      <c r="Z30" s="12"/>
    </row>
    <row r="31">
      <c r="A31" s="18"/>
      <c r="B31" s="12"/>
      <c r="C31" s="12"/>
      <c r="D31" s="12"/>
      <c r="E31" s="12"/>
      <c r="F31" s="12"/>
      <c r="G31" s="12"/>
      <c r="H31" s="12"/>
      <c r="I31" s="12"/>
      <c r="J31" s="12"/>
      <c r="K31" s="12"/>
      <c r="L31" s="19"/>
      <c r="M31" s="19"/>
      <c r="N31" s="19"/>
      <c r="O31" s="19"/>
      <c r="P31" s="19"/>
      <c r="Q31" s="12"/>
      <c r="R31" s="12"/>
      <c r="S31" s="12"/>
      <c r="T31" s="12"/>
      <c r="U31" s="19"/>
      <c r="V31" s="12"/>
      <c r="W31" s="12"/>
      <c r="X31" s="12"/>
      <c r="Y31" s="12"/>
      <c r="Z31" s="12"/>
    </row>
    <row r="32">
      <c r="A32" s="18"/>
      <c r="B32" s="12"/>
      <c r="C32" s="12"/>
      <c r="D32" s="12"/>
      <c r="E32" s="12"/>
      <c r="F32" s="12"/>
      <c r="G32" s="12"/>
      <c r="H32" s="12"/>
      <c r="I32" s="12"/>
      <c r="J32" s="12"/>
      <c r="K32" s="12"/>
      <c r="L32" s="19"/>
      <c r="M32" s="19"/>
      <c r="N32" s="19"/>
      <c r="O32" s="19"/>
      <c r="P32" s="19"/>
      <c r="Q32" s="12"/>
      <c r="R32" s="12"/>
      <c r="S32" s="12"/>
      <c r="T32" s="12"/>
      <c r="U32" s="19"/>
      <c r="V32" s="12"/>
      <c r="W32" s="12"/>
      <c r="X32" s="12"/>
      <c r="Y32" s="12"/>
      <c r="Z32" s="12"/>
    </row>
    <row r="33">
      <c r="A33" s="18"/>
      <c r="B33" s="12"/>
      <c r="C33" s="12"/>
      <c r="D33" s="12"/>
      <c r="E33" s="12"/>
      <c r="F33" s="12"/>
      <c r="G33" s="12"/>
      <c r="H33" s="12"/>
      <c r="I33" s="12"/>
      <c r="J33" s="12"/>
      <c r="K33" s="12"/>
      <c r="L33" s="19"/>
      <c r="M33" s="19"/>
      <c r="N33" s="19"/>
      <c r="O33" s="19"/>
      <c r="P33" s="19"/>
      <c r="Q33" s="12"/>
      <c r="R33" s="12"/>
      <c r="S33" s="12"/>
      <c r="T33" s="12"/>
      <c r="U33" s="19"/>
      <c r="V33" s="12"/>
      <c r="W33" s="12"/>
      <c r="X33" s="12"/>
      <c r="Y33" s="12"/>
      <c r="Z33" s="12"/>
    </row>
    <row r="34">
      <c r="A34" s="18"/>
      <c r="B34" s="12"/>
      <c r="C34" s="12"/>
      <c r="D34" s="12"/>
      <c r="E34" s="12"/>
      <c r="F34" s="12"/>
      <c r="G34" s="12"/>
      <c r="H34" s="12"/>
      <c r="I34" s="12"/>
      <c r="J34" s="12"/>
      <c r="K34" s="12"/>
      <c r="L34" s="19"/>
      <c r="M34" s="19"/>
      <c r="N34" s="19"/>
      <c r="O34" s="19"/>
      <c r="P34" s="19"/>
      <c r="Q34" s="12"/>
      <c r="R34" s="12"/>
      <c r="S34" s="12"/>
      <c r="T34" s="12"/>
      <c r="U34" s="19"/>
      <c r="V34" s="12"/>
      <c r="W34" s="12"/>
      <c r="X34" s="12"/>
      <c r="Y34" s="12"/>
      <c r="Z34" s="12"/>
    </row>
    <row r="35">
      <c r="A35" s="18"/>
      <c r="B35" s="12"/>
      <c r="C35" s="12"/>
      <c r="D35" s="12"/>
      <c r="E35" s="12"/>
      <c r="F35" s="12"/>
      <c r="G35" s="12"/>
      <c r="H35" s="12"/>
      <c r="I35" s="12"/>
      <c r="J35" s="12"/>
      <c r="K35" s="12"/>
      <c r="L35" s="19"/>
      <c r="M35" s="19"/>
      <c r="N35" s="19"/>
      <c r="O35" s="19"/>
      <c r="P35" s="19"/>
      <c r="Q35" s="12"/>
      <c r="R35" s="12"/>
      <c r="S35" s="12"/>
      <c r="T35" s="12"/>
      <c r="U35" s="19"/>
      <c r="V35" s="12"/>
      <c r="W35" s="12"/>
      <c r="X35" s="12"/>
      <c r="Y35" s="12"/>
      <c r="Z35" s="12"/>
    </row>
    <row r="36">
      <c r="A36" s="18"/>
      <c r="B36" s="12"/>
      <c r="C36" s="12"/>
      <c r="D36" s="12"/>
      <c r="E36" s="12"/>
      <c r="F36" s="12"/>
      <c r="G36" s="12"/>
      <c r="H36" s="12"/>
      <c r="I36" s="12"/>
      <c r="J36" s="12"/>
      <c r="K36" s="12"/>
      <c r="L36" s="19"/>
      <c r="M36" s="19"/>
      <c r="N36" s="19"/>
      <c r="O36" s="19"/>
      <c r="P36" s="19"/>
      <c r="Q36" s="12"/>
      <c r="R36" s="12"/>
      <c r="S36" s="12"/>
      <c r="T36" s="12"/>
      <c r="U36" s="19"/>
      <c r="V36" s="12"/>
      <c r="W36" s="12"/>
      <c r="X36" s="12"/>
      <c r="Y36" s="12"/>
      <c r="Z36" s="12"/>
    </row>
    <row r="37">
      <c r="A37" s="18"/>
      <c r="B37" s="12"/>
      <c r="C37" s="12"/>
      <c r="D37" s="12"/>
      <c r="E37" s="12"/>
      <c r="F37" s="12"/>
      <c r="G37" s="12"/>
      <c r="H37" s="12"/>
      <c r="I37" s="12"/>
      <c r="J37" s="12"/>
      <c r="K37" s="12"/>
      <c r="L37" s="19"/>
      <c r="M37" s="19"/>
      <c r="N37" s="19"/>
      <c r="O37" s="19"/>
      <c r="P37" s="19"/>
      <c r="Q37" s="12"/>
      <c r="R37" s="12"/>
      <c r="S37" s="12"/>
      <c r="T37" s="12"/>
      <c r="U37" s="19"/>
      <c r="V37" s="12"/>
      <c r="W37" s="12"/>
      <c r="X37" s="12"/>
      <c r="Y37" s="12"/>
      <c r="Z37" s="12"/>
    </row>
    <row r="38">
      <c r="A38" s="18"/>
      <c r="B38" s="12"/>
      <c r="C38" s="12"/>
      <c r="D38" s="12"/>
      <c r="E38" s="12"/>
      <c r="F38" s="12"/>
      <c r="G38" s="12"/>
      <c r="H38" s="12"/>
      <c r="I38" s="12"/>
      <c r="J38" s="12"/>
      <c r="K38" s="12"/>
      <c r="L38" s="19"/>
      <c r="M38" s="19"/>
      <c r="N38" s="19"/>
      <c r="O38" s="19"/>
      <c r="P38" s="19"/>
      <c r="Q38" s="12"/>
      <c r="R38" s="12"/>
      <c r="S38" s="12"/>
      <c r="T38" s="12"/>
      <c r="U38" s="19"/>
      <c r="V38" s="12"/>
      <c r="W38" s="12"/>
      <c r="X38" s="12"/>
      <c r="Y38" s="12"/>
      <c r="Z38" s="12"/>
    </row>
    <row r="39">
      <c r="A39" s="18"/>
      <c r="B39" s="12"/>
      <c r="C39" s="12"/>
      <c r="D39" s="12"/>
      <c r="E39" s="12"/>
      <c r="F39" s="12"/>
      <c r="G39" s="12"/>
      <c r="H39" s="12"/>
      <c r="I39" s="12"/>
      <c r="J39" s="12"/>
      <c r="K39" s="12"/>
      <c r="L39" s="19"/>
      <c r="M39" s="19"/>
      <c r="N39" s="19"/>
      <c r="O39" s="19"/>
      <c r="P39" s="19"/>
      <c r="Q39" s="12"/>
      <c r="R39" s="12"/>
      <c r="S39" s="12"/>
      <c r="T39" s="12"/>
      <c r="U39" s="19"/>
      <c r="V39" s="12"/>
      <c r="W39" s="12"/>
      <c r="X39" s="12"/>
      <c r="Y39" s="12"/>
      <c r="Z39" s="12"/>
    </row>
    <row r="40">
      <c r="A40" s="18"/>
      <c r="B40" s="12"/>
      <c r="C40" s="12"/>
      <c r="D40" s="12"/>
      <c r="E40" s="12"/>
      <c r="F40" s="12"/>
      <c r="G40" s="12"/>
      <c r="H40" s="12"/>
      <c r="I40" s="12"/>
      <c r="J40" s="12"/>
      <c r="K40" s="12"/>
      <c r="L40" s="19"/>
      <c r="M40" s="19"/>
      <c r="N40" s="19"/>
      <c r="O40" s="19"/>
      <c r="P40" s="19"/>
      <c r="Q40" s="12"/>
      <c r="R40" s="12"/>
      <c r="S40" s="12"/>
      <c r="T40" s="12"/>
      <c r="U40" s="19"/>
      <c r="V40" s="12"/>
      <c r="W40" s="12"/>
      <c r="X40" s="12"/>
      <c r="Y40" s="12"/>
      <c r="Z40" s="12"/>
    </row>
    <row r="41">
      <c r="A41" s="18"/>
      <c r="B41" s="12"/>
      <c r="C41" s="12"/>
      <c r="D41" s="12"/>
      <c r="E41" s="12"/>
      <c r="F41" s="12"/>
      <c r="G41" s="12"/>
      <c r="H41" s="12"/>
      <c r="I41" s="12"/>
      <c r="J41" s="12"/>
      <c r="K41" s="12"/>
      <c r="L41" s="19"/>
      <c r="M41" s="19"/>
      <c r="N41" s="19"/>
      <c r="O41" s="19"/>
      <c r="P41" s="19"/>
      <c r="Q41" s="12"/>
      <c r="R41" s="12"/>
      <c r="S41" s="12"/>
      <c r="T41" s="12"/>
      <c r="U41" s="19"/>
      <c r="V41" s="12"/>
      <c r="W41" s="12"/>
      <c r="X41" s="12"/>
      <c r="Y41" s="12"/>
      <c r="Z41" s="12"/>
    </row>
    <row r="42">
      <c r="A42" s="18"/>
      <c r="B42" s="12"/>
      <c r="C42" s="12"/>
      <c r="D42" s="12"/>
      <c r="E42" s="12"/>
      <c r="F42" s="12"/>
      <c r="G42" s="12"/>
      <c r="H42" s="12"/>
      <c r="I42" s="12"/>
      <c r="J42" s="12"/>
      <c r="K42" s="12"/>
      <c r="L42" s="19"/>
      <c r="M42" s="19"/>
      <c r="N42" s="19"/>
      <c r="O42" s="19"/>
      <c r="P42" s="19"/>
      <c r="Q42" s="12"/>
      <c r="R42" s="12"/>
      <c r="S42" s="12"/>
      <c r="T42" s="12"/>
      <c r="U42" s="19"/>
      <c r="V42" s="12"/>
      <c r="W42" s="12"/>
      <c r="X42" s="12"/>
      <c r="Y42" s="12"/>
      <c r="Z42" s="12"/>
    </row>
    <row r="43">
      <c r="A43" s="18"/>
      <c r="B43" s="12"/>
      <c r="C43" s="12"/>
      <c r="D43" s="12"/>
      <c r="E43" s="12"/>
      <c r="F43" s="12"/>
      <c r="G43" s="12"/>
      <c r="H43" s="12"/>
      <c r="I43" s="12"/>
      <c r="J43" s="12"/>
      <c r="K43" s="12"/>
      <c r="L43" s="19"/>
      <c r="M43" s="19"/>
      <c r="N43" s="19"/>
      <c r="O43" s="19"/>
      <c r="P43" s="19"/>
      <c r="Q43" s="12"/>
      <c r="R43" s="12"/>
      <c r="S43" s="12"/>
      <c r="T43" s="12"/>
      <c r="U43" s="19"/>
      <c r="V43" s="12"/>
      <c r="W43" s="12"/>
      <c r="X43" s="12"/>
      <c r="Y43" s="12"/>
      <c r="Z43" s="12"/>
    </row>
    <row r="44">
      <c r="A44" s="18"/>
      <c r="B44" s="12"/>
      <c r="C44" s="12"/>
      <c r="D44" s="12"/>
      <c r="E44" s="12"/>
      <c r="F44" s="12"/>
      <c r="G44" s="12"/>
      <c r="H44" s="12"/>
      <c r="I44" s="12"/>
      <c r="J44" s="12"/>
      <c r="K44" s="12"/>
      <c r="L44" s="19"/>
      <c r="M44" s="19"/>
      <c r="N44" s="19"/>
      <c r="O44" s="19"/>
      <c r="P44" s="19"/>
      <c r="Q44" s="12"/>
      <c r="R44" s="12"/>
      <c r="S44" s="12"/>
      <c r="T44" s="12"/>
      <c r="U44" s="19"/>
      <c r="V44" s="12"/>
      <c r="W44" s="12"/>
      <c r="X44" s="12"/>
      <c r="Y44" s="12"/>
      <c r="Z44" s="12"/>
    </row>
    <row r="45">
      <c r="A45" s="18"/>
      <c r="B45" s="12"/>
      <c r="C45" s="12"/>
      <c r="D45" s="12"/>
      <c r="E45" s="12"/>
      <c r="F45" s="12"/>
      <c r="G45" s="12"/>
      <c r="H45" s="12"/>
      <c r="I45" s="12"/>
      <c r="J45" s="12"/>
      <c r="K45" s="12"/>
      <c r="L45" s="19"/>
      <c r="M45" s="19"/>
      <c r="N45" s="19"/>
      <c r="O45" s="19"/>
      <c r="P45" s="19"/>
      <c r="Q45" s="12"/>
      <c r="R45" s="12"/>
      <c r="S45" s="12"/>
      <c r="T45" s="12"/>
      <c r="U45" s="19"/>
      <c r="V45" s="12"/>
      <c r="W45" s="12"/>
      <c r="X45" s="12"/>
      <c r="Y45" s="12"/>
      <c r="Z45" s="12"/>
    </row>
    <row r="46">
      <c r="A46" s="18"/>
      <c r="B46" s="12"/>
      <c r="C46" s="12"/>
      <c r="D46" s="12"/>
      <c r="E46" s="12"/>
      <c r="F46" s="12"/>
      <c r="G46" s="12"/>
      <c r="H46" s="12"/>
      <c r="I46" s="12"/>
      <c r="J46" s="12"/>
      <c r="K46" s="12"/>
      <c r="L46" s="19"/>
      <c r="M46" s="19"/>
      <c r="N46" s="19"/>
      <c r="O46" s="19"/>
      <c r="P46" s="19"/>
      <c r="Q46" s="12"/>
      <c r="R46" s="12"/>
      <c r="S46" s="12"/>
      <c r="T46" s="12"/>
      <c r="U46" s="19"/>
      <c r="V46" s="12"/>
      <c r="W46" s="12"/>
      <c r="X46" s="12"/>
      <c r="Y46" s="12"/>
      <c r="Z46" s="12"/>
    </row>
    <row r="47">
      <c r="A47" s="18"/>
      <c r="B47" s="12"/>
      <c r="C47" s="12"/>
      <c r="D47" s="12"/>
      <c r="E47" s="12"/>
      <c r="F47" s="12"/>
      <c r="G47" s="12"/>
      <c r="H47" s="12"/>
      <c r="I47" s="12"/>
      <c r="J47" s="12"/>
      <c r="K47" s="12"/>
      <c r="L47" s="19"/>
      <c r="M47" s="19"/>
      <c r="N47" s="19"/>
      <c r="O47" s="19"/>
      <c r="P47" s="19"/>
      <c r="Q47" s="12"/>
      <c r="R47" s="12"/>
      <c r="S47" s="12"/>
      <c r="T47" s="12"/>
      <c r="U47" s="19"/>
      <c r="V47" s="12"/>
      <c r="W47" s="12"/>
      <c r="X47" s="12"/>
      <c r="Y47" s="12"/>
      <c r="Z47" s="12"/>
    </row>
    <row r="48">
      <c r="A48" s="18"/>
      <c r="B48" s="12"/>
      <c r="C48" s="12"/>
      <c r="D48" s="12"/>
      <c r="E48" s="12"/>
      <c r="F48" s="12"/>
      <c r="G48" s="12"/>
      <c r="H48" s="12"/>
      <c r="I48" s="12"/>
      <c r="J48" s="12"/>
      <c r="K48" s="12"/>
      <c r="L48" s="19"/>
      <c r="M48" s="19"/>
      <c r="N48" s="19"/>
      <c r="O48" s="19"/>
      <c r="P48" s="19"/>
      <c r="Q48" s="12"/>
      <c r="R48" s="12"/>
      <c r="S48" s="12"/>
      <c r="T48" s="12"/>
      <c r="U48" s="19"/>
      <c r="V48" s="12"/>
      <c r="W48" s="12"/>
      <c r="X48" s="12"/>
      <c r="Y48" s="12"/>
      <c r="Z48" s="12"/>
    </row>
    <row r="49">
      <c r="A49" s="18"/>
      <c r="B49" s="12"/>
      <c r="C49" s="12"/>
      <c r="D49" s="12"/>
      <c r="E49" s="12"/>
      <c r="F49" s="12"/>
      <c r="G49" s="12"/>
      <c r="H49" s="12"/>
      <c r="I49" s="12"/>
      <c r="J49" s="12"/>
      <c r="K49" s="12"/>
      <c r="L49" s="19"/>
      <c r="M49" s="19"/>
      <c r="N49" s="19"/>
      <c r="O49" s="19"/>
      <c r="P49" s="19"/>
      <c r="Q49" s="12"/>
      <c r="R49" s="12"/>
      <c r="S49" s="12"/>
      <c r="T49" s="12"/>
      <c r="U49" s="19"/>
      <c r="V49" s="12"/>
      <c r="W49" s="12"/>
      <c r="X49" s="12"/>
      <c r="Y49" s="12"/>
      <c r="Z49" s="12"/>
    </row>
    <row r="50">
      <c r="A50" s="18"/>
      <c r="B50" s="12"/>
      <c r="C50" s="12"/>
      <c r="D50" s="12"/>
      <c r="E50" s="12"/>
      <c r="F50" s="12"/>
      <c r="G50" s="12"/>
      <c r="H50" s="12"/>
      <c r="I50" s="12"/>
      <c r="J50" s="12"/>
      <c r="K50" s="12"/>
      <c r="L50" s="19"/>
      <c r="M50" s="19"/>
      <c r="N50" s="19"/>
      <c r="O50" s="19"/>
      <c r="P50" s="19"/>
      <c r="Q50" s="12"/>
      <c r="R50" s="12"/>
      <c r="S50" s="12"/>
      <c r="T50" s="12"/>
      <c r="U50" s="19"/>
      <c r="V50" s="12"/>
      <c r="W50" s="12"/>
      <c r="X50" s="12"/>
      <c r="Y50" s="12"/>
      <c r="Z50" s="12"/>
    </row>
    <row r="51">
      <c r="A51" s="18"/>
      <c r="B51" s="12"/>
      <c r="C51" s="12"/>
      <c r="D51" s="12"/>
      <c r="E51" s="12"/>
      <c r="F51" s="12"/>
      <c r="G51" s="12"/>
      <c r="H51" s="12"/>
      <c r="I51" s="12"/>
      <c r="J51" s="12"/>
      <c r="K51" s="12"/>
      <c r="L51" s="19"/>
      <c r="M51" s="19"/>
      <c r="N51" s="19"/>
      <c r="O51" s="19"/>
      <c r="P51" s="19"/>
      <c r="Q51" s="12"/>
      <c r="R51" s="12"/>
      <c r="S51" s="12"/>
      <c r="T51" s="12"/>
      <c r="U51" s="19"/>
      <c r="V51" s="12"/>
      <c r="W51" s="12"/>
      <c r="X51" s="12"/>
      <c r="Y51" s="12"/>
      <c r="Z51" s="12"/>
    </row>
    <row r="52">
      <c r="A52" s="18"/>
      <c r="B52" s="12"/>
      <c r="C52" s="12"/>
      <c r="D52" s="12"/>
      <c r="E52" s="12"/>
      <c r="F52" s="12"/>
      <c r="G52" s="12"/>
      <c r="H52" s="12"/>
      <c r="I52" s="12"/>
      <c r="J52" s="12"/>
      <c r="K52" s="12"/>
      <c r="L52" s="19"/>
      <c r="M52" s="19"/>
      <c r="N52" s="19"/>
      <c r="O52" s="19"/>
      <c r="P52" s="19"/>
      <c r="Q52" s="12"/>
      <c r="R52" s="12"/>
      <c r="S52" s="12"/>
      <c r="T52" s="12"/>
      <c r="U52" s="19"/>
      <c r="V52" s="12"/>
      <c r="W52" s="12"/>
      <c r="X52" s="12"/>
      <c r="Y52" s="12"/>
      <c r="Z52" s="12"/>
    </row>
    <row r="53">
      <c r="A53" s="18"/>
      <c r="B53" s="12"/>
      <c r="C53" s="12"/>
      <c r="D53" s="12"/>
      <c r="E53" s="12"/>
      <c r="F53" s="12"/>
      <c r="G53" s="12"/>
      <c r="H53" s="12"/>
      <c r="I53" s="12"/>
      <c r="J53" s="12"/>
      <c r="K53" s="12"/>
      <c r="L53" s="19"/>
      <c r="M53" s="19"/>
      <c r="N53" s="19"/>
      <c r="O53" s="19"/>
      <c r="P53" s="19"/>
      <c r="Q53" s="12"/>
      <c r="R53" s="12"/>
      <c r="S53" s="12"/>
      <c r="T53" s="12"/>
      <c r="U53" s="19"/>
      <c r="V53" s="12"/>
      <c r="W53" s="12"/>
      <c r="X53" s="12"/>
      <c r="Y53" s="12"/>
      <c r="Z53" s="12"/>
    </row>
    <row r="54">
      <c r="A54" s="18"/>
      <c r="B54" s="12"/>
      <c r="C54" s="12"/>
      <c r="D54" s="12"/>
      <c r="E54" s="12"/>
      <c r="F54" s="12"/>
      <c r="G54" s="12"/>
      <c r="H54" s="12"/>
      <c r="I54" s="12"/>
      <c r="J54" s="12"/>
      <c r="K54" s="12"/>
      <c r="L54" s="19"/>
      <c r="M54" s="19"/>
      <c r="N54" s="19"/>
      <c r="O54" s="19"/>
      <c r="P54" s="19"/>
      <c r="Q54" s="12"/>
      <c r="R54" s="12"/>
      <c r="S54" s="12"/>
      <c r="T54" s="12"/>
      <c r="U54" s="19"/>
      <c r="V54" s="12"/>
      <c r="W54" s="12"/>
      <c r="X54" s="12"/>
      <c r="Y54" s="12"/>
      <c r="Z54" s="12"/>
    </row>
    <row r="55">
      <c r="A55" s="18"/>
      <c r="B55" s="12"/>
      <c r="C55" s="12"/>
      <c r="D55" s="12"/>
      <c r="E55" s="12"/>
      <c r="F55" s="12"/>
      <c r="G55" s="12"/>
      <c r="H55" s="12"/>
      <c r="I55" s="12"/>
      <c r="J55" s="12"/>
      <c r="K55" s="12"/>
      <c r="L55" s="19"/>
      <c r="M55" s="19"/>
      <c r="N55" s="19"/>
      <c r="O55" s="19"/>
      <c r="P55" s="19"/>
      <c r="Q55" s="12"/>
      <c r="R55" s="12"/>
      <c r="S55" s="12"/>
      <c r="T55" s="12"/>
      <c r="U55" s="19"/>
      <c r="V55" s="12"/>
      <c r="W55" s="12"/>
      <c r="X55" s="12"/>
      <c r="Y55" s="12"/>
      <c r="Z55" s="12"/>
    </row>
    <row r="56">
      <c r="A56" s="18"/>
      <c r="B56" s="12"/>
      <c r="C56" s="12"/>
      <c r="D56" s="12"/>
      <c r="E56" s="12"/>
      <c r="F56" s="12"/>
      <c r="G56" s="12"/>
      <c r="H56" s="12"/>
      <c r="I56" s="12"/>
      <c r="J56" s="12"/>
      <c r="K56" s="12"/>
      <c r="L56" s="19"/>
      <c r="M56" s="19"/>
      <c r="N56" s="19"/>
      <c r="O56" s="19"/>
      <c r="P56" s="19"/>
      <c r="Q56" s="12"/>
      <c r="R56" s="12"/>
      <c r="S56" s="12"/>
      <c r="T56" s="12"/>
      <c r="U56" s="19"/>
      <c r="V56" s="12"/>
      <c r="W56" s="12"/>
      <c r="X56" s="12"/>
      <c r="Y56" s="12"/>
      <c r="Z56" s="12"/>
    </row>
    <row r="57">
      <c r="A57" s="18"/>
      <c r="B57" s="12"/>
      <c r="C57" s="12"/>
      <c r="D57" s="12"/>
      <c r="E57" s="12"/>
      <c r="F57" s="12"/>
      <c r="G57" s="12"/>
      <c r="H57" s="12"/>
      <c r="I57" s="12"/>
      <c r="J57" s="12"/>
      <c r="K57" s="12"/>
      <c r="L57" s="19"/>
      <c r="M57" s="19"/>
      <c r="N57" s="19"/>
      <c r="O57" s="19"/>
      <c r="P57" s="19"/>
      <c r="Q57" s="12"/>
      <c r="R57" s="12"/>
      <c r="S57" s="12"/>
      <c r="T57" s="12"/>
      <c r="U57" s="19"/>
      <c r="V57" s="12"/>
      <c r="W57" s="12"/>
      <c r="X57" s="12"/>
      <c r="Y57" s="12"/>
      <c r="Z57" s="12"/>
    </row>
    <row r="58">
      <c r="A58" s="18"/>
      <c r="B58" s="12"/>
      <c r="C58" s="12"/>
      <c r="D58" s="12"/>
      <c r="E58" s="12"/>
      <c r="F58" s="12"/>
      <c r="G58" s="12"/>
      <c r="H58" s="12"/>
      <c r="I58" s="12"/>
      <c r="J58" s="12"/>
      <c r="K58" s="12"/>
      <c r="L58" s="19"/>
      <c r="M58" s="19"/>
      <c r="N58" s="19"/>
      <c r="O58" s="19"/>
      <c r="P58" s="19"/>
      <c r="Q58" s="12"/>
      <c r="R58" s="12"/>
      <c r="S58" s="12"/>
      <c r="T58" s="12"/>
      <c r="U58" s="19"/>
      <c r="V58" s="12"/>
      <c r="W58" s="12"/>
      <c r="X58" s="12"/>
      <c r="Y58" s="12"/>
      <c r="Z58" s="12"/>
    </row>
    <row r="59">
      <c r="A59" s="18"/>
      <c r="B59" s="12"/>
      <c r="C59" s="12"/>
      <c r="D59" s="12"/>
      <c r="E59" s="12"/>
      <c r="F59" s="12"/>
      <c r="G59" s="12"/>
      <c r="H59" s="12"/>
      <c r="I59" s="12"/>
      <c r="J59" s="12"/>
      <c r="K59" s="12"/>
      <c r="L59" s="19"/>
      <c r="M59" s="19"/>
      <c r="N59" s="19"/>
      <c r="O59" s="19"/>
      <c r="P59" s="19"/>
      <c r="Q59" s="12"/>
      <c r="R59" s="12"/>
      <c r="S59" s="12"/>
      <c r="T59" s="12"/>
      <c r="U59" s="19"/>
      <c r="V59" s="12"/>
      <c r="W59" s="12"/>
      <c r="X59" s="12"/>
      <c r="Y59" s="12"/>
      <c r="Z59" s="12"/>
    </row>
    <row r="60">
      <c r="A60" s="18"/>
      <c r="B60" s="12"/>
      <c r="C60" s="12"/>
      <c r="D60" s="12"/>
      <c r="E60" s="12"/>
      <c r="F60" s="12"/>
      <c r="G60" s="12"/>
      <c r="H60" s="12"/>
      <c r="I60" s="12"/>
      <c r="J60" s="12"/>
      <c r="K60" s="12"/>
      <c r="L60" s="19"/>
      <c r="M60" s="19"/>
      <c r="N60" s="19"/>
      <c r="O60" s="19"/>
      <c r="P60" s="19"/>
      <c r="Q60" s="12"/>
      <c r="R60" s="12"/>
      <c r="S60" s="12"/>
      <c r="T60" s="12"/>
      <c r="U60" s="19"/>
      <c r="V60" s="12"/>
      <c r="W60" s="12"/>
      <c r="X60" s="12"/>
      <c r="Y60" s="12"/>
      <c r="Z60" s="12"/>
    </row>
    <row r="61">
      <c r="A61" s="18"/>
      <c r="B61" s="12"/>
      <c r="C61" s="12"/>
      <c r="D61" s="12"/>
      <c r="E61" s="12"/>
      <c r="F61" s="12"/>
      <c r="G61" s="12"/>
      <c r="H61" s="12"/>
      <c r="I61" s="12"/>
      <c r="J61" s="12"/>
      <c r="K61" s="12"/>
      <c r="L61" s="19"/>
      <c r="M61" s="19"/>
      <c r="N61" s="19"/>
      <c r="O61" s="19"/>
      <c r="P61" s="19"/>
      <c r="Q61" s="12"/>
      <c r="R61" s="12"/>
      <c r="S61" s="12"/>
      <c r="T61" s="12"/>
      <c r="U61" s="19"/>
      <c r="V61" s="12"/>
      <c r="W61" s="12"/>
      <c r="X61" s="12"/>
      <c r="Y61" s="12"/>
      <c r="Z61" s="12"/>
    </row>
    <row r="62">
      <c r="A62" s="18"/>
      <c r="B62" s="12"/>
      <c r="C62" s="12"/>
      <c r="D62" s="12"/>
      <c r="E62" s="12"/>
      <c r="F62" s="12"/>
      <c r="G62" s="12"/>
      <c r="H62" s="12"/>
      <c r="I62" s="12"/>
      <c r="J62" s="12"/>
      <c r="K62" s="12"/>
      <c r="L62" s="19"/>
      <c r="M62" s="19"/>
      <c r="N62" s="19"/>
      <c r="O62" s="19"/>
      <c r="P62" s="19"/>
      <c r="Q62" s="12"/>
      <c r="R62" s="12"/>
      <c r="S62" s="12"/>
      <c r="T62" s="12"/>
      <c r="U62" s="19"/>
      <c r="V62" s="12"/>
      <c r="W62" s="12"/>
      <c r="X62" s="12"/>
      <c r="Y62" s="12"/>
      <c r="Z62" s="12"/>
    </row>
    <row r="63">
      <c r="A63" s="18"/>
      <c r="B63" s="12"/>
      <c r="C63" s="12"/>
      <c r="D63" s="12"/>
      <c r="E63" s="12"/>
      <c r="F63" s="12"/>
      <c r="G63" s="12"/>
      <c r="H63" s="12"/>
      <c r="I63" s="12"/>
      <c r="J63" s="12"/>
      <c r="K63" s="12"/>
      <c r="L63" s="19"/>
      <c r="M63" s="19"/>
      <c r="N63" s="19"/>
      <c r="O63" s="19"/>
      <c r="P63" s="19"/>
      <c r="Q63" s="12"/>
      <c r="R63" s="12"/>
      <c r="S63" s="12"/>
      <c r="T63" s="12"/>
      <c r="U63" s="19"/>
      <c r="V63" s="12"/>
      <c r="W63" s="12"/>
      <c r="X63" s="12"/>
      <c r="Y63" s="12"/>
      <c r="Z63" s="12"/>
    </row>
    <row r="64">
      <c r="A64" s="18"/>
      <c r="B64" s="12"/>
      <c r="C64" s="12"/>
      <c r="D64" s="12"/>
      <c r="E64" s="12"/>
      <c r="F64" s="12"/>
      <c r="G64" s="12"/>
      <c r="H64" s="12"/>
      <c r="I64" s="12"/>
      <c r="J64" s="12"/>
      <c r="K64" s="12"/>
      <c r="L64" s="19"/>
      <c r="M64" s="19"/>
      <c r="N64" s="19"/>
      <c r="O64" s="19"/>
      <c r="P64" s="19"/>
      <c r="Q64" s="12"/>
      <c r="R64" s="12"/>
      <c r="S64" s="12"/>
      <c r="T64" s="12"/>
      <c r="U64" s="19"/>
      <c r="V64" s="12"/>
      <c r="W64" s="12"/>
      <c r="X64" s="12"/>
      <c r="Y64" s="12"/>
      <c r="Z64" s="12"/>
    </row>
    <row r="65">
      <c r="A65" s="18"/>
      <c r="B65" s="12"/>
      <c r="C65" s="12"/>
      <c r="D65" s="12"/>
      <c r="E65" s="12"/>
      <c r="F65" s="12"/>
      <c r="G65" s="12"/>
      <c r="H65" s="12"/>
      <c r="I65" s="12"/>
      <c r="J65" s="12"/>
      <c r="K65" s="12"/>
      <c r="L65" s="19"/>
      <c r="M65" s="19"/>
      <c r="N65" s="19"/>
      <c r="O65" s="19"/>
      <c r="P65" s="19"/>
      <c r="Q65" s="12"/>
      <c r="R65" s="12"/>
      <c r="S65" s="12"/>
      <c r="T65" s="12"/>
      <c r="U65" s="19"/>
      <c r="V65" s="12"/>
      <c r="W65" s="12"/>
      <c r="X65" s="12"/>
      <c r="Y65" s="12"/>
      <c r="Z65" s="12"/>
    </row>
    <row r="66">
      <c r="A66" s="18"/>
      <c r="B66" s="12"/>
      <c r="C66" s="12"/>
      <c r="D66" s="12"/>
      <c r="E66" s="12"/>
      <c r="F66" s="12"/>
      <c r="G66" s="12"/>
      <c r="H66" s="12"/>
      <c r="I66" s="12"/>
      <c r="J66" s="12"/>
      <c r="K66" s="12"/>
      <c r="L66" s="19"/>
      <c r="M66" s="19"/>
      <c r="N66" s="19"/>
      <c r="O66" s="19"/>
      <c r="P66" s="19"/>
      <c r="Q66" s="12"/>
      <c r="R66" s="12"/>
      <c r="S66" s="12"/>
      <c r="T66" s="12"/>
      <c r="U66" s="19"/>
      <c r="V66" s="12"/>
      <c r="W66" s="12"/>
      <c r="X66" s="12"/>
      <c r="Y66" s="12"/>
      <c r="Z66" s="12"/>
    </row>
    <row r="67">
      <c r="A67" s="18"/>
      <c r="B67" s="12"/>
      <c r="C67" s="12"/>
      <c r="D67" s="12"/>
      <c r="E67" s="12"/>
      <c r="F67" s="12"/>
      <c r="G67" s="12"/>
      <c r="H67" s="12"/>
      <c r="I67" s="12"/>
      <c r="J67" s="12"/>
      <c r="K67" s="12"/>
      <c r="L67" s="19"/>
      <c r="M67" s="19"/>
      <c r="N67" s="19"/>
      <c r="O67" s="19"/>
      <c r="P67" s="19"/>
      <c r="Q67" s="12"/>
      <c r="R67" s="12"/>
      <c r="S67" s="12"/>
      <c r="T67" s="12"/>
      <c r="U67" s="19"/>
      <c r="V67" s="12"/>
      <c r="W67" s="12"/>
      <c r="X67" s="12"/>
      <c r="Y67" s="12"/>
      <c r="Z67" s="12"/>
    </row>
    <row r="68">
      <c r="A68" s="18"/>
      <c r="B68" s="12"/>
      <c r="C68" s="12"/>
      <c r="D68" s="12"/>
      <c r="E68" s="12"/>
      <c r="F68" s="12"/>
      <c r="G68" s="12"/>
      <c r="H68" s="12"/>
      <c r="I68" s="12"/>
      <c r="J68" s="12"/>
      <c r="K68" s="12"/>
      <c r="L68" s="19"/>
      <c r="M68" s="19"/>
      <c r="N68" s="19"/>
      <c r="O68" s="19"/>
      <c r="P68" s="19"/>
      <c r="Q68" s="12"/>
      <c r="R68" s="12"/>
      <c r="S68" s="12"/>
      <c r="T68" s="12"/>
      <c r="U68" s="19"/>
      <c r="V68" s="12"/>
      <c r="W68" s="12"/>
      <c r="X68" s="12"/>
      <c r="Y68" s="12"/>
      <c r="Z68" s="12"/>
    </row>
    <row r="69">
      <c r="A69" s="18"/>
      <c r="B69" s="12"/>
      <c r="C69" s="12"/>
      <c r="D69" s="12"/>
      <c r="E69" s="12"/>
      <c r="F69" s="12"/>
      <c r="G69" s="12"/>
      <c r="H69" s="12"/>
      <c r="I69" s="12"/>
      <c r="J69" s="12"/>
      <c r="K69" s="12"/>
      <c r="L69" s="19"/>
      <c r="M69" s="19"/>
      <c r="N69" s="19"/>
      <c r="O69" s="19"/>
      <c r="P69" s="19"/>
      <c r="Q69" s="12"/>
      <c r="R69" s="12"/>
      <c r="S69" s="12"/>
      <c r="T69" s="12"/>
      <c r="U69" s="19"/>
      <c r="V69" s="12"/>
      <c r="W69" s="12"/>
      <c r="X69" s="12"/>
      <c r="Y69" s="12"/>
      <c r="Z69" s="12"/>
    </row>
    <row r="70">
      <c r="A70" s="18"/>
      <c r="B70" s="12"/>
      <c r="C70" s="12"/>
      <c r="D70" s="12"/>
      <c r="E70" s="12"/>
      <c r="F70" s="12"/>
      <c r="G70" s="12"/>
      <c r="H70" s="12"/>
      <c r="I70" s="12"/>
      <c r="J70" s="12"/>
      <c r="K70" s="12"/>
      <c r="L70" s="19"/>
      <c r="M70" s="19"/>
      <c r="N70" s="19"/>
      <c r="O70" s="19"/>
      <c r="P70" s="19"/>
      <c r="Q70" s="12"/>
      <c r="R70" s="12"/>
      <c r="S70" s="12"/>
      <c r="T70" s="12"/>
      <c r="U70" s="19"/>
      <c r="V70" s="12"/>
      <c r="W70" s="12"/>
      <c r="X70" s="12"/>
      <c r="Y70" s="12"/>
      <c r="Z70" s="12"/>
    </row>
    <row r="71">
      <c r="A71" s="18"/>
      <c r="B71" s="12"/>
      <c r="C71" s="12"/>
      <c r="D71" s="12"/>
      <c r="E71" s="12"/>
      <c r="F71" s="12"/>
      <c r="G71" s="12"/>
      <c r="H71" s="12"/>
      <c r="I71" s="12"/>
      <c r="J71" s="12"/>
      <c r="K71" s="12"/>
      <c r="L71" s="19"/>
      <c r="M71" s="19"/>
      <c r="N71" s="19"/>
      <c r="O71" s="19"/>
      <c r="P71" s="19"/>
      <c r="Q71" s="12"/>
      <c r="R71" s="12"/>
      <c r="S71" s="12"/>
      <c r="T71" s="12"/>
      <c r="U71" s="19"/>
      <c r="V71" s="12"/>
      <c r="W71" s="12"/>
      <c r="X71" s="12"/>
      <c r="Y71" s="12"/>
      <c r="Z71" s="12"/>
    </row>
    <row r="72">
      <c r="A72" s="18"/>
      <c r="B72" s="12"/>
      <c r="C72" s="12"/>
      <c r="D72" s="12"/>
      <c r="E72" s="12"/>
      <c r="F72" s="12"/>
      <c r="G72" s="12"/>
      <c r="H72" s="12"/>
      <c r="I72" s="12"/>
      <c r="J72" s="12"/>
      <c r="K72" s="12"/>
      <c r="L72" s="19"/>
      <c r="M72" s="19"/>
      <c r="N72" s="19"/>
      <c r="O72" s="19"/>
      <c r="P72" s="19"/>
      <c r="Q72" s="12"/>
      <c r="R72" s="12"/>
      <c r="S72" s="12"/>
      <c r="T72" s="12"/>
      <c r="U72" s="19"/>
      <c r="V72" s="12"/>
      <c r="W72" s="12"/>
      <c r="X72" s="12"/>
      <c r="Y72" s="12"/>
      <c r="Z72" s="12"/>
    </row>
    <row r="73">
      <c r="A73" s="18"/>
      <c r="B73" s="12"/>
      <c r="C73" s="12"/>
      <c r="D73" s="12"/>
      <c r="E73" s="12"/>
      <c r="F73" s="12"/>
      <c r="G73" s="12"/>
      <c r="H73" s="12"/>
      <c r="I73" s="12"/>
      <c r="J73" s="12"/>
      <c r="K73" s="12"/>
      <c r="L73" s="19"/>
      <c r="M73" s="19"/>
      <c r="N73" s="19"/>
      <c r="O73" s="19"/>
      <c r="P73" s="19"/>
      <c r="Q73" s="12"/>
      <c r="R73" s="12"/>
      <c r="S73" s="12"/>
      <c r="T73" s="12"/>
      <c r="U73" s="19"/>
      <c r="V73" s="12"/>
      <c r="W73" s="12"/>
      <c r="X73" s="12"/>
      <c r="Y73" s="12"/>
      <c r="Z73" s="12"/>
    </row>
    <row r="74">
      <c r="A74" s="18"/>
      <c r="B74" s="12"/>
      <c r="C74" s="12"/>
      <c r="D74" s="12"/>
      <c r="E74" s="12"/>
      <c r="F74" s="12"/>
      <c r="G74" s="12"/>
      <c r="H74" s="12"/>
      <c r="I74" s="12"/>
      <c r="J74" s="12"/>
      <c r="K74" s="12"/>
      <c r="L74" s="19"/>
      <c r="M74" s="19"/>
      <c r="N74" s="19"/>
      <c r="O74" s="19"/>
      <c r="P74" s="19"/>
      <c r="Q74" s="12"/>
      <c r="R74" s="12"/>
      <c r="S74" s="12"/>
      <c r="T74" s="12"/>
      <c r="U74" s="19"/>
      <c r="V74" s="12"/>
      <c r="W74" s="12"/>
      <c r="X74" s="12"/>
      <c r="Y74" s="12"/>
      <c r="Z74" s="12"/>
    </row>
    <row r="75">
      <c r="A75" s="18"/>
      <c r="B75" s="12"/>
      <c r="C75" s="12"/>
      <c r="D75" s="12"/>
      <c r="E75" s="12"/>
      <c r="F75" s="12"/>
      <c r="G75" s="12"/>
      <c r="H75" s="12"/>
      <c r="I75" s="12"/>
      <c r="J75" s="12"/>
      <c r="K75" s="12"/>
      <c r="L75" s="19"/>
      <c r="M75" s="19"/>
      <c r="N75" s="19"/>
      <c r="O75" s="19"/>
      <c r="P75" s="19"/>
      <c r="Q75" s="12"/>
      <c r="R75" s="12"/>
      <c r="S75" s="12"/>
      <c r="T75" s="12"/>
      <c r="U75" s="19"/>
      <c r="V75" s="12"/>
      <c r="W75" s="12"/>
      <c r="X75" s="12"/>
      <c r="Y75" s="12"/>
      <c r="Z75" s="12"/>
    </row>
    <row r="76">
      <c r="A76" s="18"/>
      <c r="B76" s="12"/>
      <c r="C76" s="12"/>
      <c r="D76" s="12"/>
      <c r="E76" s="12"/>
      <c r="F76" s="12"/>
      <c r="G76" s="12"/>
      <c r="H76" s="12"/>
      <c r="I76" s="12"/>
      <c r="J76" s="12"/>
      <c r="K76" s="12"/>
      <c r="L76" s="19"/>
      <c r="M76" s="19"/>
      <c r="N76" s="19"/>
      <c r="O76" s="19"/>
      <c r="P76" s="19"/>
      <c r="Q76" s="12"/>
      <c r="R76" s="12"/>
      <c r="S76" s="12"/>
      <c r="T76" s="12"/>
      <c r="U76" s="19"/>
      <c r="V76" s="12"/>
      <c r="W76" s="12"/>
      <c r="X76" s="12"/>
      <c r="Y76" s="12"/>
      <c r="Z76" s="12"/>
    </row>
    <row r="77">
      <c r="A77" s="18"/>
      <c r="B77" s="12"/>
      <c r="C77" s="12"/>
      <c r="D77" s="12"/>
      <c r="E77" s="12"/>
      <c r="F77" s="12"/>
      <c r="G77" s="12"/>
      <c r="H77" s="12"/>
      <c r="I77" s="12"/>
      <c r="J77" s="12"/>
      <c r="K77" s="12"/>
      <c r="L77" s="19"/>
      <c r="M77" s="19"/>
      <c r="N77" s="19"/>
      <c r="O77" s="19"/>
      <c r="P77" s="19"/>
      <c r="Q77" s="12"/>
      <c r="R77" s="12"/>
      <c r="S77" s="12"/>
      <c r="T77" s="12"/>
      <c r="U77" s="19"/>
      <c r="V77" s="12"/>
      <c r="W77" s="12"/>
      <c r="X77" s="12"/>
      <c r="Y77" s="12"/>
      <c r="Z77" s="12"/>
    </row>
    <row r="78">
      <c r="A78" s="18"/>
      <c r="B78" s="12"/>
      <c r="C78" s="12"/>
      <c r="D78" s="12"/>
      <c r="E78" s="12"/>
      <c r="F78" s="12"/>
      <c r="G78" s="12"/>
      <c r="H78" s="12"/>
      <c r="I78" s="12"/>
      <c r="J78" s="12"/>
      <c r="K78" s="12"/>
      <c r="L78" s="19"/>
      <c r="M78" s="19"/>
      <c r="N78" s="19"/>
      <c r="O78" s="19"/>
      <c r="P78" s="19"/>
      <c r="Q78" s="12"/>
      <c r="R78" s="12"/>
      <c r="S78" s="12"/>
      <c r="T78" s="12"/>
      <c r="U78" s="19"/>
      <c r="V78" s="12"/>
      <c r="W78" s="12"/>
      <c r="X78" s="12"/>
      <c r="Y78" s="12"/>
      <c r="Z78" s="12"/>
    </row>
    <row r="79">
      <c r="A79" s="18"/>
      <c r="B79" s="12"/>
      <c r="C79" s="12"/>
      <c r="D79" s="12"/>
      <c r="E79" s="12"/>
      <c r="F79" s="12"/>
      <c r="G79" s="12"/>
      <c r="H79" s="12"/>
      <c r="I79" s="12"/>
      <c r="J79" s="12"/>
      <c r="K79" s="12"/>
      <c r="L79" s="19"/>
      <c r="M79" s="19"/>
      <c r="N79" s="19"/>
      <c r="O79" s="19"/>
      <c r="P79" s="19"/>
      <c r="Q79" s="12"/>
      <c r="R79" s="12"/>
      <c r="S79" s="12"/>
      <c r="T79" s="12"/>
      <c r="U79" s="19"/>
      <c r="V79" s="12"/>
      <c r="W79" s="12"/>
      <c r="X79" s="12"/>
      <c r="Y79" s="12"/>
      <c r="Z79" s="12"/>
    </row>
    <row r="80">
      <c r="A80" s="18"/>
      <c r="B80" s="12"/>
      <c r="C80" s="12"/>
      <c r="D80" s="12"/>
      <c r="E80" s="12"/>
      <c r="F80" s="12"/>
      <c r="G80" s="12"/>
      <c r="H80" s="12"/>
      <c r="I80" s="12"/>
      <c r="J80" s="12"/>
      <c r="K80" s="12"/>
      <c r="L80" s="19"/>
      <c r="M80" s="19"/>
      <c r="N80" s="19"/>
      <c r="O80" s="19"/>
      <c r="P80" s="19"/>
      <c r="Q80" s="12"/>
      <c r="R80" s="12"/>
      <c r="S80" s="12"/>
      <c r="T80" s="12"/>
      <c r="U80" s="19"/>
      <c r="V80" s="12"/>
      <c r="W80" s="12"/>
      <c r="X80" s="12"/>
      <c r="Y80" s="12"/>
      <c r="Z80" s="12"/>
    </row>
    <row r="81">
      <c r="A81" s="18"/>
      <c r="B81" s="12"/>
      <c r="C81" s="12"/>
      <c r="D81" s="12"/>
      <c r="E81" s="12"/>
      <c r="F81" s="12"/>
      <c r="G81" s="12"/>
      <c r="H81" s="12"/>
      <c r="I81" s="12"/>
      <c r="J81" s="12"/>
      <c r="K81" s="12"/>
      <c r="L81" s="19"/>
      <c r="M81" s="19"/>
      <c r="N81" s="19"/>
      <c r="O81" s="19"/>
      <c r="P81" s="19"/>
      <c r="Q81" s="12"/>
      <c r="R81" s="12"/>
      <c r="S81" s="12"/>
      <c r="T81" s="12"/>
      <c r="U81" s="19"/>
      <c r="V81" s="12"/>
      <c r="W81" s="12"/>
      <c r="X81" s="12"/>
      <c r="Y81" s="12"/>
      <c r="Z81" s="12"/>
    </row>
    <row r="82">
      <c r="A82" s="18"/>
      <c r="B82" s="12"/>
      <c r="C82" s="12"/>
      <c r="D82" s="12"/>
      <c r="E82" s="12"/>
      <c r="F82" s="12"/>
      <c r="G82" s="12"/>
      <c r="H82" s="12"/>
      <c r="I82" s="12"/>
      <c r="J82" s="12"/>
      <c r="K82" s="12"/>
      <c r="L82" s="19"/>
      <c r="M82" s="19"/>
      <c r="N82" s="19"/>
      <c r="O82" s="19"/>
      <c r="P82" s="19"/>
      <c r="Q82" s="12"/>
      <c r="R82" s="12"/>
      <c r="S82" s="12"/>
      <c r="T82" s="12"/>
      <c r="U82" s="19"/>
      <c r="V82" s="12"/>
      <c r="W82" s="12"/>
      <c r="X82" s="12"/>
      <c r="Y82" s="12"/>
      <c r="Z82" s="12"/>
    </row>
    <row r="83">
      <c r="A83" s="18"/>
      <c r="B83" s="12"/>
      <c r="C83" s="12"/>
      <c r="D83" s="12"/>
      <c r="E83" s="12"/>
      <c r="F83" s="12"/>
      <c r="G83" s="12"/>
      <c r="H83" s="12"/>
      <c r="I83" s="12"/>
      <c r="J83" s="12"/>
      <c r="K83" s="12"/>
      <c r="L83" s="19"/>
      <c r="M83" s="19"/>
      <c r="N83" s="19"/>
      <c r="O83" s="19"/>
      <c r="P83" s="19"/>
      <c r="Q83" s="12"/>
      <c r="R83" s="12"/>
      <c r="S83" s="12"/>
      <c r="T83" s="12"/>
      <c r="U83" s="19"/>
      <c r="V83" s="12"/>
      <c r="W83" s="12"/>
      <c r="X83" s="12"/>
      <c r="Y83" s="12"/>
      <c r="Z83" s="12"/>
    </row>
    <row r="84">
      <c r="A84" s="18"/>
      <c r="B84" s="12"/>
      <c r="C84" s="12"/>
      <c r="D84" s="12"/>
      <c r="E84" s="12"/>
      <c r="F84" s="12"/>
      <c r="G84" s="12"/>
      <c r="H84" s="12"/>
      <c r="I84" s="12"/>
      <c r="J84" s="12"/>
      <c r="K84" s="12"/>
      <c r="L84" s="19"/>
      <c r="M84" s="19"/>
      <c r="N84" s="19"/>
      <c r="O84" s="19"/>
      <c r="P84" s="19"/>
      <c r="Q84" s="12"/>
      <c r="R84" s="12"/>
      <c r="S84" s="12"/>
      <c r="T84" s="12"/>
      <c r="U84" s="19"/>
      <c r="V84" s="12"/>
      <c r="W84" s="12"/>
      <c r="X84" s="12"/>
      <c r="Y84" s="12"/>
      <c r="Z84" s="12"/>
    </row>
    <row r="85">
      <c r="A85" s="18"/>
      <c r="B85" s="12"/>
      <c r="C85" s="12"/>
      <c r="D85" s="12"/>
      <c r="E85" s="12"/>
      <c r="F85" s="12"/>
      <c r="G85" s="12"/>
      <c r="H85" s="12"/>
      <c r="I85" s="12"/>
      <c r="J85" s="12"/>
      <c r="K85" s="12"/>
      <c r="L85" s="19"/>
      <c r="M85" s="19"/>
      <c r="N85" s="19"/>
      <c r="O85" s="19"/>
      <c r="P85" s="19"/>
      <c r="Q85" s="12"/>
      <c r="R85" s="12"/>
      <c r="S85" s="12"/>
      <c r="T85" s="12"/>
      <c r="U85" s="19"/>
      <c r="V85" s="12"/>
      <c r="W85" s="12"/>
      <c r="X85" s="12"/>
      <c r="Y85" s="12"/>
      <c r="Z85" s="12"/>
    </row>
    <row r="86">
      <c r="A86" s="18"/>
      <c r="B86" s="12"/>
      <c r="C86" s="12"/>
      <c r="D86" s="12"/>
      <c r="E86" s="12"/>
      <c r="F86" s="12"/>
      <c r="G86" s="12"/>
      <c r="H86" s="12"/>
      <c r="I86" s="12"/>
      <c r="J86" s="12"/>
      <c r="K86" s="12"/>
      <c r="L86" s="19"/>
      <c r="M86" s="19"/>
      <c r="N86" s="19"/>
      <c r="O86" s="19"/>
      <c r="P86" s="19"/>
      <c r="Q86" s="12"/>
      <c r="R86" s="12"/>
      <c r="S86" s="12"/>
      <c r="T86" s="12"/>
      <c r="U86" s="19"/>
      <c r="V86" s="12"/>
      <c r="W86" s="12"/>
      <c r="X86" s="12"/>
      <c r="Y86" s="12"/>
      <c r="Z86" s="12"/>
    </row>
    <row r="87">
      <c r="A87" s="18"/>
      <c r="B87" s="12"/>
      <c r="C87" s="12"/>
      <c r="D87" s="12"/>
      <c r="E87" s="12"/>
      <c r="F87" s="12"/>
      <c r="G87" s="12"/>
      <c r="H87" s="12"/>
      <c r="I87" s="12"/>
      <c r="J87" s="12"/>
      <c r="K87" s="12"/>
      <c r="L87" s="19"/>
      <c r="M87" s="19"/>
      <c r="N87" s="19"/>
      <c r="O87" s="19"/>
      <c r="P87" s="19"/>
      <c r="Q87" s="12"/>
      <c r="R87" s="12"/>
      <c r="S87" s="12"/>
      <c r="T87" s="12"/>
      <c r="U87" s="19"/>
      <c r="V87" s="12"/>
      <c r="W87" s="12"/>
      <c r="X87" s="12"/>
      <c r="Y87" s="12"/>
      <c r="Z87" s="12"/>
    </row>
    <row r="88">
      <c r="A88" s="18"/>
      <c r="B88" s="12"/>
      <c r="C88" s="12"/>
      <c r="D88" s="12"/>
      <c r="E88" s="12"/>
      <c r="F88" s="12"/>
      <c r="G88" s="12"/>
      <c r="H88" s="12"/>
      <c r="I88" s="12"/>
      <c r="J88" s="12"/>
      <c r="K88" s="12"/>
      <c r="L88" s="19"/>
      <c r="M88" s="19"/>
      <c r="N88" s="19"/>
      <c r="O88" s="19"/>
      <c r="P88" s="19"/>
      <c r="Q88" s="12"/>
      <c r="R88" s="12"/>
      <c r="S88" s="12"/>
      <c r="T88" s="12"/>
      <c r="U88" s="19"/>
      <c r="V88" s="12"/>
      <c r="W88" s="12"/>
      <c r="X88" s="12"/>
      <c r="Y88" s="12"/>
      <c r="Z88" s="12"/>
    </row>
    <row r="89">
      <c r="A89" s="18"/>
      <c r="B89" s="12"/>
      <c r="C89" s="12"/>
      <c r="D89" s="12"/>
      <c r="E89" s="12"/>
      <c r="F89" s="12"/>
      <c r="G89" s="12"/>
      <c r="H89" s="12"/>
      <c r="I89" s="12"/>
      <c r="J89" s="12"/>
      <c r="K89" s="12"/>
      <c r="L89" s="19"/>
      <c r="M89" s="19"/>
      <c r="N89" s="19"/>
      <c r="O89" s="19"/>
      <c r="P89" s="19"/>
      <c r="Q89" s="12"/>
      <c r="R89" s="12"/>
      <c r="S89" s="12"/>
      <c r="T89" s="12"/>
      <c r="U89" s="19"/>
      <c r="V89" s="12"/>
      <c r="W89" s="12"/>
      <c r="X89" s="12"/>
      <c r="Y89" s="12"/>
      <c r="Z89" s="12"/>
    </row>
    <row r="90">
      <c r="A90" s="18"/>
      <c r="B90" s="12"/>
      <c r="C90" s="12"/>
      <c r="D90" s="12"/>
      <c r="E90" s="12"/>
      <c r="F90" s="12"/>
      <c r="G90" s="12"/>
      <c r="H90" s="12"/>
      <c r="I90" s="12"/>
      <c r="J90" s="12"/>
      <c r="K90" s="12"/>
      <c r="L90" s="19"/>
      <c r="M90" s="19"/>
      <c r="N90" s="19"/>
      <c r="O90" s="19"/>
      <c r="P90" s="19"/>
      <c r="Q90" s="12"/>
      <c r="R90" s="12"/>
      <c r="S90" s="12"/>
      <c r="T90" s="12"/>
      <c r="U90" s="19"/>
      <c r="V90" s="12"/>
      <c r="W90" s="12"/>
      <c r="X90" s="12"/>
      <c r="Y90" s="12"/>
      <c r="Z90" s="12"/>
    </row>
    <row r="91">
      <c r="A91" s="18"/>
      <c r="B91" s="12"/>
      <c r="C91" s="12"/>
      <c r="D91" s="12"/>
      <c r="E91" s="12"/>
      <c r="F91" s="12"/>
      <c r="G91" s="12"/>
      <c r="H91" s="12"/>
      <c r="I91" s="12"/>
      <c r="J91" s="12"/>
      <c r="K91" s="12"/>
      <c r="L91" s="19"/>
      <c r="M91" s="19"/>
      <c r="N91" s="19"/>
      <c r="O91" s="19"/>
      <c r="P91" s="19"/>
      <c r="Q91" s="12"/>
      <c r="R91" s="12"/>
      <c r="S91" s="12"/>
      <c r="T91" s="12"/>
      <c r="U91" s="19"/>
      <c r="V91" s="12"/>
      <c r="W91" s="12"/>
      <c r="X91" s="12"/>
      <c r="Y91" s="12"/>
      <c r="Z91" s="12"/>
    </row>
    <row r="92">
      <c r="A92" s="18"/>
      <c r="B92" s="12"/>
      <c r="C92" s="12"/>
      <c r="D92" s="12"/>
      <c r="E92" s="12"/>
      <c r="F92" s="12"/>
      <c r="G92" s="12"/>
      <c r="H92" s="12"/>
      <c r="I92" s="12"/>
      <c r="J92" s="12"/>
      <c r="K92" s="12"/>
      <c r="L92" s="19"/>
      <c r="M92" s="19"/>
      <c r="N92" s="19"/>
      <c r="O92" s="19"/>
      <c r="P92" s="19"/>
      <c r="Q92" s="12"/>
      <c r="R92" s="12"/>
      <c r="S92" s="12"/>
      <c r="T92" s="12"/>
      <c r="U92" s="19"/>
      <c r="V92" s="12"/>
      <c r="W92" s="12"/>
      <c r="X92" s="12"/>
      <c r="Y92" s="12"/>
      <c r="Z92" s="12"/>
    </row>
    <row r="93">
      <c r="A93" s="18"/>
      <c r="B93" s="12"/>
      <c r="C93" s="12"/>
      <c r="D93" s="12"/>
      <c r="E93" s="12"/>
      <c r="F93" s="12"/>
      <c r="G93" s="12"/>
      <c r="H93" s="12"/>
      <c r="I93" s="12"/>
      <c r="J93" s="12"/>
      <c r="K93" s="12"/>
      <c r="L93" s="19"/>
      <c r="M93" s="19"/>
      <c r="N93" s="19"/>
      <c r="O93" s="19"/>
      <c r="P93" s="19"/>
      <c r="Q93" s="12"/>
      <c r="R93" s="12"/>
      <c r="S93" s="12"/>
      <c r="T93" s="12"/>
      <c r="U93" s="19"/>
      <c r="V93" s="12"/>
      <c r="W93" s="12"/>
      <c r="X93" s="12"/>
      <c r="Y93" s="12"/>
      <c r="Z93" s="12"/>
    </row>
    <row r="94">
      <c r="A94" s="18"/>
      <c r="B94" s="12"/>
      <c r="C94" s="12"/>
      <c r="D94" s="12"/>
      <c r="E94" s="12"/>
      <c r="F94" s="12"/>
      <c r="G94" s="12"/>
      <c r="H94" s="12"/>
      <c r="I94" s="12"/>
      <c r="J94" s="12"/>
      <c r="K94" s="12"/>
      <c r="L94" s="19"/>
      <c r="M94" s="19"/>
      <c r="N94" s="19"/>
      <c r="O94" s="19"/>
      <c r="P94" s="19"/>
      <c r="Q94" s="12"/>
      <c r="R94" s="12"/>
      <c r="S94" s="12"/>
      <c r="T94" s="12"/>
      <c r="U94" s="19"/>
      <c r="V94" s="12"/>
      <c r="W94" s="12"/>
      <c r="X94" s="12"/>
      <c r="Y94" s="12"/>
      <c r="Z94" s="12"/>
    </row>
    <row r="95">
      <c r="A95" s="18"/>
      <c r="B95" s="12"/>
      <c r="C95" s="12"/>
      <c r="D95" s="12"/>
      <c r="E95" s="12"/>
      <c r="F95" s="12"/>
      <c r="G95" s="12"/>
      <c r="H95" s="12"/>
      <c r="I95" s="12"/>
      <c r="J95" s="12"/>
      <c r="K95" s="12"/>
      <c r="L95" s="19"/>
      <c r="M95" s="19"/>
      <c r="N95" s="19"/>
      <c r="O95" s="19"/>
      <c r="P95" s="19"/>
      <c r="Q95" s="12"/>
      <c r="R95" s="12"/>
      <c r="S95" s="12"/>
      <c r="T95" s="12"/>
      <c r="U95" s="19"/>
      <c r="V95" s="12"/>
      <c r="W95" s="12"/>
      <c r="X95" s="12"/>
      <c r="Y95" s="12"/>
      <c r="Z95" s="12"/>
    </row>
    <row r="96">
      <c r="A96" s="18"/>
      <c r="B96" s="12"/>
      <c r="C96" s="12"/>
      <c r="D96" s="12"/>
      <c r="E96" s="12"/>
      <c r="F96" s="12"/>
      <c r="G96" s="12"/>
      <c r="H96" s="12"/>
      <c r="I96" s="12"/>
      <c r="J96" s="12"/>
      <c r="K96" s="12"/>
      <c r="L96" s="19"/>
      <c r="M96" s="19"/>
      <c r="N96" s="19"/>
      <c r="O96" s="19"/>
      <c r="P96" s="19"/>
      <c r="Q96" s="12"/>
      <c r="R96" s="12"/>
      <c r="S96" s="12"/>
      <c r="T96" s="12"/>
      <c r="U96" s="19"/>
      <c r="V96" s="12"/>
      <c r="W96" s="12"/>
      <c r="X96" s="12"/>
      <c r="Y96" s="12"/>
      <c r="Z96" s="12"/>
    </row>
    <row r="97">
      <c r="A97" s="18"/>
      <c r="B97" s="12"/>
      <c r="C97" s="12"/>
      <c r="D97" s="12"/>
      <c r="E97" s="12"/>
      <c r="F97" s="12"/>
      <c r="G97" s="12"/>
      <c r="H97" s="12"/>
      <c r="I97" s="12"/>
      <c r="J97" s="12"/>
      <c r="K97" s="12"/>
      <c r="L97" s="19"/>
      <c r="M97" s="19"/>
      <c r="N97" s="19"/>
      <c r="O97" s="19"/>
      <c r="P97" s="19"/>
      <c r="Q97" s="12"/>
      <c r="R97" s="12"/>
      <c r="S97" s="12"/>
      <c r="T97" s="12"/>
      <c r="U97" s="19"/>
      <c r="V97" s="12"/>
      <c r="W97" s="12"/>
      <c r="X97" s="12"/>
      <c r="Y97" s="12"/>
      <c r="Z97" s="12"/>
    </row>
    <row r="98">
      <c r="A98" s="18"/>
      <c r="B98" s="12"/>
      <c r="C98" s="12"/>
      <c r="D98" s="12"/>
      <c r="E98" s="12"/>
      <c r="F98" s="12"/>
      <c r="G98" s="12"/>
      <c r="H98" s="12"/>
      <c r="I98" s="12"/>
      <c r="J98" s="12"/>
      <c r="K98" s="12"/>
      <c r="L98" s="19"/>
      <c r="M98" s="19"/>
      <c r="N98" s="19"/>
      <c r="O98" s="19"/>
      <c r="P98" s="19"/>
      <c r="Q98" s="12"/>
      <c r="R98" s="12"/>
      <c r="S98" s="12"/>
      <c r="T98" s="12"/>
      <c r="U98" s="19"/>
      <c r="V98" s="12"/>
      <c r="W98" s="12"/>
      <c r="X98" s="12"/>
      <c r="Y98" s="12"/>
      <c r="Z98" s="12"/>
    </row>
    <row r="99">
      <c r="A99" s="18"/>
      <c r="B99" s="12"/>
      <c r="C99" s="12"/>
      <c r="D99" s="12"/>
      <c r="E99" s="12"/>
      <c r="F99" s="12"/>
      <c r="G99" s="12"/>
      <c r="H99" s="12"/>
      <c r="I99" s="12"/>
      <c r="J99" s="12"/>
      <c r="K99" s="12"/>
      <c r="L99" s="19"/>
      <c r="M99" s="19"/>
      <c r="N99" s="19"/>
      <c r="O99" s="19"/>
      <c r="P99" s="19"/>
      <c r="Q99" s="12"/>
      <c r="R99" s="12"/>
      <c r="S99" s="12"/>
      <c r="T99" s="12"/>
      <c r="U99" s="19"/>
      <c r="V99" s="12"/>
      <c r="W99" s="12"/>
      <c r="X99" s="12"/>
      <c r="Y99" s="12"/>
      <c r="Z99" s="12"/>
    </row>
    <row r="100">
      <c r="A100" s="18"/>
      <c r="B100" s="12"/>
      <c r="C100" s="12"/>
      <c r="D100" s="12"/>
      <c r="E100" s="12"/>
      <c r="F100" s="12"/>
      <c r="G100" s="12"/>
      <c r="H100" s="12"/>
      <c r="I100" s="12"/>
      <c r="J100" s="12"/>
      <c r="K100" s="12"/>
      <c r="L100" s="19"/>
      <c r="M100" s="19"/>
      <c r="N100" s="19"/>
      <c r="O100" s="19"/>
      <c r="P100" s="19"/>
      <c r="Q100" s="12"/>
      <c r="R100" s="12"/>
      <c r="S100" s="12"/>
      <c r="T100" s="12"/>
      <c r="U100" s="19"/>
      <c r="V100" s="12"/>
      <c r="W100" s="12"/>
      <c r="X100" s="12"/>
      <c r="Y100" s="12"/>
      <c r="Z100" s="12"/>
    </row>
    <row r="101">
      <c r="A101" s="18"/>
      <c r="B101" s="12"/>
      <c r="C101" s="12"/>
      <c r="D101" s="12"/>
      <c r="E101" s="12"/>
      <c r="F101" s="12"/>
      <c r="G101" s="12"/>
      <c r="H101" s="12"/>
      <c r="I101" s="12"/>
      <c r="J101" s="12"/>
      <c r="K101" s="12"/>
      <c r="L101" s="19"/>
      <c r="M101" s="19"/>
      <c r="N101" s="19"/>
      <c r="O101" s="19"/>
      <c r="P101" s="19"/>
      <c r="Q101" s="12"/>
      <c r="R101" s="12"/>
      <c r="S101" s="12"/>
      <c r="T101" s="12"/>
      <c r="U101" s="19"/>
      <c r="V101" s="12"/>
      <c r="W101" s="12"/>
      <c r="X101" s="12"/>
      <c r="Y101" s="12"/>
      <c r="Z101" s="12"/>
    </row>
    <row r="102">
      <c r="A102" s="18"/>
      <c r="B102" s="12"/>
      <c r="C102" s="12"/>
      <c r="D102" s="12"/>
      <c r="E102" s="12"/>
      <c r="F102" s="12"/>
      <c r="G102" s="12"/>
      <c r="H102" s="12"/>
      <c r="I102" s="12"/>
      <c r="J102" s="12"/>
      <c r="K102" s="12"/>
      <c r="L102" s="19"/>
      <c r="M102" s="19"/>
      <c r="N102" s="19"/>
      <c r="O102" s="19"/>
      <c r="P102" s="19"/>
      <c r="Q102" s="12"/>
      <c r="R102" s="12"/>
      <c r="S102" s="12"/>
      <c r="T102" s="12"/>
      <c r="U102" s="19"/>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sheetData>
  <hyperlinks>
    <hyperlink r:id="rId1" ref="F3"/>
    <hyperlink r:id="rId2" ref="S3"/>
    <hyperlink r:id="rId3" ref="S4"/>
    <hyperlink r:id="rId4" ref="S5"/>
    <hyperlink r:id="rId5" ref="F6"/>
    <hyperlink r:id="rId6" ref="G6"/>
    <hyperlink r:id="rId7" ref="S6"/>
    <hyperlink r:id="rId8" ref="F7"/>
    <hyperlink r:id="rId9" ref="S7"/>
    <hyperlink r:id="rId10" ref="F8"/>
    <hyperlink r:id="rId11" ref="G8"/>
    <hyperlink r:id="rId12" ref="S8"/>
    <hyperlink r:id="rId13" ref="F9"/>
    <hyperlink r:id="rId14" ref="S9"/>
    <hyperlink r:id="rId15" ref="S10"/>
    <hyperlink r:id="rId16" ref="S11"/>
    <hyperlink r:id="rId17" ref="F12"/>
    <hyperlink r:id="rId18" ref="S12"/>
    <hyperlink r:id="rId19" ref="F13"/>
    <hyperlink r:id="rId20" ref="G13"/>
    <hyperlink r:id="rId21" ref="S13"/>
    <hyperlink r:id="rId22" ref="G14"/>
    <hyperlink r:id="rId23" ref="S14"/>
    <hyperlink r:id="rId24" ref="S15"/>
    <hyperlink r:id="rId25" ref="G16"/>
    <hyperlink r:id="rId26" ref="S16"/>
    <hyperlink r:id="rId27" ref="F17"/>
    <hyperlink r:id="rId28" ref="G17"/>
    <hyperlink r:id="rId29" ref="S17"/>
    <hyperlink r:id="rId30" ref="S18"/>
    <hyperlink r:id="rId31" ref="F19"/>
    <hyperlink r:id="rId32" ref="G19"/>
    <hyperlink r:id="rId33" ref="S19"/>
    <hyperlink r:id="rId34" ref="F20"/>
    <hyperlink r:id="rId35" ref="S20"/>
  </hyperlinks>
  <drawing r:id="rId36"/>
  <tableParts count="1">
    <tablePart r:id="rId38"/>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1896</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44222.56998842592</v>
      </c>
      <c r="B3" s="9" t="str">
        <f t="shared" ref="B3:B4" si="1">HYPERLINK("https://twitter.com/el_Pathok","@el_Pathok")</f>
        <v>@el_Pathok</v>
      </c>
      <c r="C3" s="10" t="s">
        <v>1897</v>
      </c>
      <c r="D3" s="10" t="s">
        <v>1898</v>
      </c>
      <c r="E3" s="9" t="str">
        <f>HYPERLINK("https://twitter.com/el_Pathok/status/1354152322998423552","1354152322998423552")</f>
        <v>1354152322998423552</v>
      </c>
      <c r="F3" s="11" t="s">
        <v>1899</v>
      </c>
      <c r="G3" s="11" t="s">
        <v>1900</v>
      </c>
      <c r="H3" s="12"/>
      <c r="I3" s="13">
        <v>0.0</v>
      </c>
      <c r="J3" s="13">
        <v>1.0</v>
      </c>
      <c r="K3" s="9" t="str">
        <f t="shared" ref="K3:K4" si="2">HYPERLINK("http://twitter.com/download/android","Twitter for Android")</f>
        <v>Twitter for Android</v>
      </c>
      <c r="L3" s="14">
        <v>5.0</v>
      </c>
      <c r="M3" s="14">
        <v>19.0</v>
      </c>
      <c r="N3" s="14">
        <v>0.0</v>
      </c>
      <c r="O3" s="19"/>
      <c r="P3" s="16">
        <v>44166.36525462963</v>
      </c>
      <c r="Q3" s="10" t="s">
        <v>520</v>
      </c>
      <c r="R3" s="10" t="s">
        <v>1901</v>
      </c>
      <c r="S3" s="11" t="s">
        <v>1902</v>
      </c>
      <c r="T3" s="12"/>
      <c r="U3" s="17" t="str">
        <f t="shared" ref="U3:U4" si="3">HYPERLINK("https://pbs.twimg.com/profile_images/1345450571839496192/nNT37oi4.jpg","View")</f>
        <v>View</v>
      </c>
      <c r="V3" s="12"/>
      <c r="W3" s="12"/>
      <c r="X3" s="12"/>
      <c r="Y3" s="12"/>
      <c r="Z3" s="12"/>
    </row>
    <row r="4">
      <c r="A4" s="8">
        <v>44222.56748842592</v>
      </c>
      <c r="B4" s="9" t="str">
        <f t="shared" si="1"/>
        <v>@el_Pathok</v>
      </c>
      <c r="C4" s="10" t="s">
        <v>1897</v>
      </c>
      <c r="D4" s="10" t="s">
        <v>1903</v>
      </c>
      <c r="E4" s="9" t="str">
        <f>HYPERLINK("https://twitter.com/el_Pathok/status/1354151417347452928","1354151417347452928")</f>
        <v>1354151417347452928</v>
      </c>
      <c r="F4" s="11" t="s">
        <v>1904</v>
      </c>
      <c r="G4" s="12"/>
      <c r="H4" s="12"/>
      <c r="I4" s="13">
        <v>0.0</v>
      </c>
      <c r="J4" s="13">
        <v>1.0</v>
      </c>
      <c r="K4" s="9" t="str">
        <f t="shared" si="2"/>
        <v>Twitter for Android</v>
      </c>
      <c r="L4" s="14">
        <v>5.0</v>
      </c>
      <c r="M4" s="14">
        <v>19.0</v>
      </c>
      <c r="N4" s="14">
        <v>0.0</v>
      </c>
      <c r="O4" s="19"/>
      <c r="P4" s="16">
        <v>44166.36525462963</v>
      </c>
      <c r="Q4" s="10" t="s">
        <v>520</v>
      </c>
      <c r="R4" s="10" t="s">
        <v>1901</v>
      </c>
      <c r="S4" s="11" t="s">
        <v>1902</v>
      </c>
      <c r="T4" s="12"/>
      <c r="U4" s="17" t="str">
        <f t="shared" si="3"/>
        <v>View</v>
      </c>
      <c r="V4" s="12"/>
      <c r="W4" s="12"/>
      <c r="X4" s="12"/>
      <c r="Y4" s="12"/>
      <c r="Z4" s="12"/>
    </row>
    <row r="5">
      <c r="A5" s="8">
        <v>44222.56743055556</v>
      </c>
      <c r="B5" s="9" t="str">
        <f>HYPERLINK("https://twitter.com/espejohernandez","@espejohernandez")</f>
        <v>@espejohernandez</v>
      </c>
      <c r="C5" s="10" t="s">
        <v>1905</v>
      </c>
      <c r="D5" s="10" t="s">
        <v>1906</v>
      </c>
      <c r="E5" s="9" t="str">
        <f>HYPERLINK("https://twitter.com/espejohernandez/status/1354151395197210624","1354151395197210624")</f>
        <v>1354151395197210624</v>
      </c>
      <c r="F5" s="12"/>
      <c r="G5" s="11" t="s">
        <v>1907</v>
      </c>
      <c r="H5" s="12"/>
      <c r="I5" s="13">
        <v>0.0</v>
      </c>
      <c r="J5" s="13">
        <v>0.0</v>
      </c>
      <c r="K5" s="9" t="str">
        <f>HYPERLINK("http://twitter.com/download/iphone","Twitter for iPhone")</f>
        <v>Twitter for iPhone</v>
      </c>
      <c r="L5" s="14">
        <v>2259.0</v>
      </c>
      <c r="M5" s="14">
        <v>708.0</v>
      </c>
      <c r="N5" s="14">
        <v>20.0</v>
      </c>
      <c r="O5" s="19"/>
      <c r="P5" s="16">
        <v>40187.52563657407</v>
      </c>
      <c r="Q5" s="10" t="s">
        <v>1908</v>
      </c>
      <c r="R5" s="10" t="s">
        <v>1909</v>
      </c>
      <c r="S5" s="11" t="s">
        <v>1910</v>
      </c>
      <c r="T5" s="12"/>
      <c r="U5" s="17" t="str">
        <f>HYPERLINK("https://pbs.twimg.com/profile_images/1346158371498577926/mtMa19QQ.jpg","View")</f>
        <v>View</v>
      </c>
      <c r="V5" s="12"/>
      <c r="W5" s="12"/>
      <c r="X5" s="12"/>
      <c r="Y5" s="12"/>
      <c r="Z5" s="12"/>
    </row>
    <row r="6">
      <c r="A6" s="8">
        <v>44222.56236111111</v>
      </c>
      <c r="B6" s="9" t="str">
        <f>HYPERLINK("https://twitter.com/Alex031323","@Alex031323")</f>
        <v>@Alex031323</v>
      </c>
      <c r="C6" s="10" t="s">
        <v>1181</v>
      </c>
      <c r="D6" s="10" t="s">
        <v>1911</v>
      </c>
      <c r="E6" s="9" t="str">
        <f>HYPERLINK("https://twitter.com/Alex031323/status/1354149561263136768","1354149561263136768")</f>
        <v>1354149561263136768</v>
      </c>
      <c r="F6" s="11" t="s">
        <v>1912</v>
      </c>
      <c r="G6" s="12"/>
      <c r="H6" s="12"/>
      <c r="I6" s="13">
        <v>0.0</v>
      </c>
      <c r="J6" s="13">
        <v>1.0</v>
      </c>
      <c r="K6" s="9" t="str">
        <f>HYPERLINK("http://twitter.com/download/android","Twitter for Android")</f>
        <v>Twitter for Android</v>
      </c>
      <c r="L6" s="14">
        <v>482.0</v>
      </c>
      <c r="M6" s="14">
        <v>1637.0</v>
      </c>
      <c r="N6" s="14">
        <v>0.0</v>
      </c>
      <c r="O6" s="19"/>
      <c r="P6" s="16">
        <v>42935.42351851852</v>
      </c>
      <c r="Q6" s="10" t="s">
        <v>1184</v>
      </c>
      <c r="R6" s="10" t="s">
        <v>1185</v>
      </c>
      <c r="S6" s="12"/>
      <c r="T6" s="12"/>
      <c r="U6" s="17" t="str">
        <f>HYPERLINK("https://pbs.twimg.com/profile_images/887705790122950656/vFHNajb8.jpg","View")</f>
        <v>View</v>
      </c>
      <c r="V6" s="12"/>
      <c r="W6" s="12"/>
      <c r="X6" s="12"/>
      <c r="Y6" s="12"/>
      <c r="Z6" s="12"/>
    </row>
    <row r="7">
      <c r="A7" s="8">
        <v>44222.559710648144</v>
      </c>
      <c r="B7" s="9" t="str">
        <f>HYPERLINK("https://twitter.com/aldofarrugia","@aldofarrugia")</f>
        <v>@aldofarrugia</v>
      </c>
      <c r="C7" s="10" t="s">
        <v>1913</v>
      </c>
      <c r="D7" s="10" t="s">
        <v>1914</v>
      </c>
      <c r="E7" s="9" t="str">
        <f>HYPERLINK("https://twitter.com/aldofarrugia/status/1354148599056240640","1354148599056240640")</f>
        <v>1354148599056240640</v>
      </c>
      <c r="F7" s="11" t="s">
        <v>1915</v>
      </c>
      <c r="G7" s="12"/>
      <c r="H7" s="12"/>
      <c r="I7" s="13">
        <v>1.0</v>
      </c>
      <c r="J7" s="13">
        <v>0.0</v>
      </c>
      <c r="K7" s="9" t="str">
        <f>HYPERLINK("http://twitter.com/download/iphone","Twitter for iPhone")</f>
        <v>Twitter for iPhone</v>
      </c>
      <c r="L7" s="14">
        <v>306.0</v>
      </c>
      <c r="M7" s="14">
        <v>1058.0</v>
      </c>
      <c r="N7" s="14">
        <v>1.0</v>
      </c>
      <c r="O7" s="19"/>
      <c r="P7" s="16">
        <v>40206.54417824074</v>
      </c>
      <c r="Q7" s="12"/>
      <c r="R7" s="12"/>
      <c r="S7" s="11" t="s">
        <v>1916</v>
      </c>
      <c r="T7" s="12"/>
      <c r="U7" s="17" t="str">
        <f>HYPERLINK("https://pbs.twimg.com/profile_images/1036749217358864384/3e3h9YsQ.jpg","View")</f>
        <v>View</v>
      </c>
      <c r="V7" s="12"/>
      <c r="W7" s="12"/>
      <c r="X7" s="12"/>
      <c r="Y7" s="12"/>
      <c r="Z7" s="12"/>
    </row>
    <row r="8">
      <c r="A8" s="8">
        <v>44222.55819444444</v>
      </c>
      <c r="B8" s="9" t="str">
        <f>HYPERLINK("https://twitter.com/ByronBarranco","@ByronBarranco")</f>
        <v>@ByronBarranco</v>
      </c>
      <c r="C8" s="10" t="s">
        <v>1917</v>
      </c>
      <c r="D8" s="10" t="s">
        <v>1918</v>
      </c>
      <c r="E8" s="9" t="str">
        <f>HYPERLINK("https://twitter.com/ByronBarranco/status/1354148050487410688","1354148050487410688")</f>
        <v>1354148050487410688</v>
      </c>
      <c r="F8" s="12"/>
      <c r="G8" s="12"/>
      <c r="H8" s="12"/>
      <c r="I8" s="13">
        <v>5.0</v>
      </c>
      <c r="J8" s="13">
        <v>4.0</v>
      </c>
      <c r="K8" s="9" t="str">
        <f>HYPERLINK("http://twitter.com/download/android","Twitter for Android")</f>
        <v>Twitter for Android</v>
      </c>
      <c r="L8" s="14">
        <v>6109.0</v>
      </c>
      <c r="M8" s="14">
        <v>1845.0</v>
      </c>
      <c r="N8" s="14">
        <v>32.0</v>
      </c>
      <c r="O8" s="19"/>
      <c r="P8" s="16">
        <v>40232.626284722224</v>
      </c>
      <c r="Q8" s="10" t="s">
        <v>1919</v>
      </c>
      <c r="R8" s="10" t="s">
        <v>1920</v>
      </c>
      <c r="S8" s="11" t="s">
        <v>1921</v>
      </c>
      <c r="T8" s="12"/>
      <c r="U8" s="17" t="str">
        <f>HYPERLINK("https://pbs.twimg.com/profile_images/1352832316188614657/NQePf1SG.jpg","View")</f>
        <v>View</v>
      </c>
      <c r="V8" s="12"/>
      <c r="W8" s="12"/>
      <c r="X8" s="12"/>
      <c r="Y8" s="12"/>
      <c r="Z8" s="12"/>
    </row>
    <row r="9">
      <c r="A9" s="8">
        <v>44222.53329861111</v>
      </c>
      <c r="B9" s="9" t="str">
        <f>HYPERLINK("https://twitter.com/espejohernandez","@espejohernandez")</f>
        <v>@espejohernandez</v>
      </c>
      <c r="C9" s="10" t="s">
        <v>1905</v>
      </c>
      <c r="D9" s="10" t="s">
        <v>1922</v>
      </c>
      <c r="E9" s="9" t="str">
        <f>HYPERLINK("https://twitter.com/espejohernandez/status/1354139025980854272","1354139025980854272")</f>
        <v>1354139025980854272</v>
      </c>
      <c r="F9" s="12"/>
      <c r="G9" s="11" t="s">
        <v>1923</v>
      </c>
      <c r="H9" s="12"/>
      <c r="I9" s="13">
        <v>0.0</v>
      </c>
      <c r="J9" s="13">
        <v>0.0</v>
      </c>
      <c r="K9" s="9" t="str">
        <f>HYPERLINK("http://twitter.com/download/iphone","Twitter for iPhone")</f>
        <v>Twitter for iPhone</v>
      </c>
      <c r="L9" s="14">
        <v>2259.0</v>
      </c>
      <c r="M9" s="14">
        <v>708.0</v>
      </c>
      <c r="N9" s="14">
        <v>20.0</v>
      </c>
      <c r="O9" s="19"/>
      <c r="P9" s="16">
        <v>40187.52563657407</v>
      </c>
      <c r="Q9" s="10" t="s">
        <v>1908</v>
      </c>
      <c r="R9" s="10" t="s">
        <v>1909</v>
      </c>
      <c r="S9" s="11" t="s">
        <v>1910</v>
      </c>
      <c r="T9" s="12"/>
      <c r="U9" s="17" t="str">
        <f>HYPERLINK("https://pbs.twimg.com/profile_images/1346158371498577926/mtMa19QQ.jpg","View")</f>
        <v>View</v>
      </c>
      <c r="V9" s="12"/>
      <c r="W9" s="12"/>
      <c r="X9" s="12"/>
      <c r="Y9" s="12"/>
      <c r="Z9" s="12"/>
    </row>
    <row r="10">
      <c r="A10" s="8">
        <v>44222.528761574074</v>
      </c>
      <c r="B10" s="9" t="str">
        <f>HYPERLINK("https://twitter.com/MissusDragon","@MissusDragon")</f>
        <v>@MissusDragon</v>
      </c>
      <c r="C10" s="10" t="s">
        <v>1924</v>
      </c>
      <c r="D10" s="10" t="s">
        <v>1925</v>
      </c>
      <c r="E10" s="9" t="str">
        <f>HYPERLINK("https://twitter.com/MissusDragon/status/1354137382036107270","1354137382036107270")</f>
        <v>1354137382036107270</v>
      </c>
      <c r="F10" s="12"/>
      <c r="G10" s="12"/>
      <c r="H10" s="12"/>
      <c r="I10" s="13">
        <v>0.0</v>
      </c>
      <c r="J10" s="13">
        <v>0.0</v>
      </c>
      <c r="K10" s="9" t="str">
        <f>HYPERLINK("https://mobile.twitter.com","Twitter Web App")</f>
        <v>Twitter Web App</v>
      </c>
      <c r="L10" s="14">
        <v>99.0</v>
      </c>
      <c r="M10" s="14">
        <v>488.0</v>
      </c>
      <c r="N10" s="14">
        <v>0.0</v>
      </c>
      <c r="O10" s="19"/>
      <c r="P10" s="16">
        <v>41327.98538194445</v>
      </c>
      <c r="Q10" s="10" t="s">
        <v>1649</v>
      </c>
      <c r="R10" s="10" t="s">
        <v>1926</v>
      </c>
      <c r="S10" s="11" t="s">
        <v>1927</v>
      </c>
      <c r="T10" s="12"/>
      <c r="U10" s="17" t="str">
        <f>HYPERLINK("https://pbs.twimg.com/profile_images/1247312784037216256/sozj8xVr.jpg","View")</f>
        <v>View</v>
      </c>
      <c r="V10" s="12"/>
      <c r="W10" s="12"/>
      <c r="X10" s="12"/>
      <c r="Y10" s="12"/>
      <c r="Z10" s="12"/>
    </row>
    <row r="11">
      <c r="A11" s="8">
        <v>44222.518807870365</v>
      </c>
      <c r="B11" s="9" t="str">
        <f>HYPERLINK("https://twitter.com/JUAREZMANDATO","@JUAREZMANDATO")</f>
        <v>@JUAREZMANDATO</v>
      </c>
      <c r="C11" s="10" t="s">
        <v>1928</v>
      </c>
      <c r="D11" s="10" t="s">
        <v>1929</v>
      </c>
      <c r="E11" s="9" t="str">
        <f>HYPERLINK("https://twitter.com/JUAREZMANDATO/status/1354133777849704454","1354133777849704454")</f>
        <v>1354133777849704454</v>
      </c>
      <c r="F11" s="12"/>
      <c r="G11" s="11" t="s">
        <v>1930</v>
      </c>
      <c r="H11" s="12"/>
      <c r="I11" s="13">
        <v>2.0</v>
      </c>
      <c r="J11" s="13">
        <v>2.0</v>
      </c>
      <c r="K11" s="9" t="str">
        <f>HYPERLINK("http://twitter.com/download/iphone","Twitter for iPhone")</f>
        <v>Twitter for iPhone</v>
      </c>
      <c r="L11" s="14">
        <v>169.0</v>
      </c>
      <c r="M11" s="14">
        <v>889.0</v>
      </c>
      <c r="N11" s="14">
        <v>0.0</v>
      </c>
      <c r="O11" s="19"/>
      <c r="P11" s="16">
        <v>43899.770787037036</v>
      </c>
      <c r="Q11" s="10" t="s">
        <v>1931</v>
      </c>
      <c r="R11" s="10" t="s">
        <v>1932</v>
      </c>
      <c r="S11" s="12"/>
      <c r="T11" s="12"/>
      <c r="U11" s="17" t="str">
        <f>HYPERLINK("https://pbs.twimg.com/profile_images/1237581636289433600/FjeRnIO0.jpg","View")</f>
        <v>View</v>
      </c>
      <c r="V11" s="12"/>
      <c r="W11" s="12"/>
      <c r="X11" s="12"/>
      <c r="Y11" s="12"/>
      <c r="Z11" s="12"/>
    </row>
    <row r="12">
      <c r="A12" s="8">
        <v>44222.518692129626</v>
      </c>
      <c r="B12" s="9" t="str">
        <f>HYPERLINK("https://twitter.com/LEONORFONTAINE","@LEONORFONTAINE")</f>
        <v>@LEONORFONTAINE</v>
      </c>
      <c r="C12" s="10" t="s">
        <v>1933</v>
      </c>
      <c r="D12" s="10" t="s">
        <v>1934</v>
      </c>
      <c r="E12" s="9" t="str">
        <f>HYPERLINK("https://twitter.com/LEONORFONTAINE/status/1354133734656798726","1354133734656798726")</f>
        <v>1354133734656798726</v>
      </c>
      <c r="F12" s="11" t="s">
        <v>1935</v>
      </c>
      <c r="G12" s="11" t="s">
        <v>1936</v>
      </c>
      <c r="H12" s="12"/>
      <c r="I12" s="13">
        <v>4.0</v>
      </c>
      <c r="J12" s="13">
        <v>5.0</v>
      </c>
      <c r="K12" s="9" t="str">
        <f>HYPERLINK("https://mobile.twitter.com","Twitter Web App")</f>
        <v>Twitter Web App</v>
      </c>
      <c r="L12" s="14">
        <v>500.0</v>
      </c>
      <c r="M12" s="14">
        <v>925.0</v>
      </c>
      <c r="N12" s="14">
        <v>1.0</v>
      </c>
      <c r="O12" s="19"/>
      <c r="P12" s="16">
        <v>40918.456921296296</v>
      </c>
      <c r="Q12" s="10" t="s">
        <v>1937</v>
      </c>
      <c r="R12" s="10" t="s">
        <v>1938</v>
      </c>
      <c r="S12" s="12"/>
      <c r="T12" s="12"/>
      <c r="U12" s="17" t="str">
        <f>HYPERLINK("https://pbs.twimg.com/profile_images/1263475876068577285/3thj-BCW.jpg","View")</f>
        <v>View</v>
      </c>
      <c r="V12" s="12"/>
      <c r="W12" s="12"/>
      <c r="X12" s="12"/>
      <c r="Y12" s="12"/>
      <c r="Z12" s="12"/>
    </row>
    <row r="13">
      <c r="A13" s="8">
        <v>44222.507939814815</v>
      </c>
      <c r="B13" s="9" t="str">
        <f>HYPERLINK("https://twitter.com/fabiangomezh","@fabiangomezh")</f>
        <v>@fabiangomezh</v>
      </c>
      <c r="C13" s="10" t="s">
        <v>1939</v>
      </c>
      <c r="D13" s="10" t="s">
        <v>1940</v>
      </c>
      <c r="E13" s="9" t="str">
        <f>HYPERLINK("https://twitter.com/fabiangomezh/status/1354129837028487174","1354129837028487174")</f>
        <v>1354129837028487174</v>
      </c>
      <c r="F13" s="10" t="s">
        <v>1941</v>
      </c>
      <c r="G13" s="11" t="s">
        <v>1942</v>
      </c>
      <c r="H13" s="12"/>
      <c r="I13" s="13">
        <v>2.0</v>
      </c>
      <c r="J13" s="13">
        <v>1.0</v>
      </c>
      <c r="K13" s="9" t="str">
        <f>HYPERLINK("http://twitter.com/download/iphone","Twitter for iPhone")</f>
        <v>Twitter for iPhone</v>
      </c>
      <c r="L13" s="14">
        <v>2600.0</v>
      </c>
      <c r="M13" s="14">
        <v>372.0</v>
      </c>
      <c r="N13" s="14">
        <v>18.0</v>
      </c>
      <c r="O13" s="19"/>
      <c r="P13" s="16">
        <v>40497.66752314815</v>
      </c>
      <c r="Q13" s="10" t="s">
        <v>1547</v>
      </c>
      <c r="R13" s="10" t="s">
        <v>1943</v>
      </c>
      <c r="S13" s="11" t="s">
        <v>1944</v>
      </c>
      <c r="T13" s="12"/>
      <c r="U13" s="17" t="str">
        <f>HYPERLINK("https://pbs.twimg.com/profile_images/1254779201770582024/hY_Js8_d.jpg","View")</f>
        <v>View</v>
      </c>
      <c r="V13" s="12"/>
      <c r="W13" s="12"/>
      <c r="X13" s="12"/>
      <c r="Y13" s="12"/>
      <c r="Z13" s="12"/>
    </row>
    <row r="14">
      <c r="A14" s="8">
        <v>44222.490266203706</v>
      </c>
      <c r="B14" s="9" t="str">
        <f>HYPERLINK("https://twitter.com/CNmenas","@CNmenas")</f>
        <v>@CNmenas</v>
      </c>
      <c r="C14" s="10" t="s">
        <v>1037</v>
      </c>
      <c r="D14" s="10" t="s">
        <v>1945</v>
      </c>
      <c r="E14" s="9" t="str">
        <f>HYPERLINK("https://twitter.com/CNmenas/status/1354123434511405056","1354123434511405056")</f>
        <v>1354123434511405056</v>
      </c>
      <c r="F14" s="11" t="s">
        <v>1039</v>
      </c>
      <c r="G14" s="12"/>
      <c r="H14" s="12"/>
      <c r="I14" s="13">
        <v>1.0</v>
      </c>
      <c r="J14" s="13">
        <v>0.0</v>
      </c>
      <c r="K14" s="9" t="str">
        <f>HYPERLINK("https://mobile.twitter.com","Twitter Web App")</f>
        <v>Twitter Web App</v>
      </c>
      <c r="L14" s="14">
        <v>1195.0</v>
      </c>
      <c r="M14" s="14">
        <v>5003.0</v>
      </c>
      <c r="N14" s="14">
        <v>10.0</v>
      </c>
      <c r="O14" s="19"/>
      <c r="P14" s="16">
        <v>43939.77427083333</v>
      </c>
      <c r="Q14" s="12"/>
      <c r="R14" s="10" t="s">
        <v>1040</v>
      </c>
      <c r="S14" s="12"/>
      <c r="T14" s="12"/>
      <c r="U14" s="17" t="str">
        <f>HYPERLINK("https://pbs.twimg.com/profile_images/1310242523189784576/kGOQJ3QZ.jpg","View")</f>
        <v>View</v>
      </c>
      <c r="V14" s="12"/>
      <c r="W14" s="12"/>
      <c r="X14" s="12"/>
      <c r="Y14" s="12"/>
      <c r="Z14" s="12"/>
    </row>
    <row r="15">
      <c r="A15" s="8">
        <v>44222.48349537037</v>
      </c>
      <c r="B15" s="9" t="str">
        <f>HYPERLINK("https://twitter.com/BitacoraPol","@BitacoraPol")</f>
        <v>@BitacoraPol</v>
      </c>
      <c r="C15" s="10" t="s">
        <v>1946</v>
      </c>
      <c r="D15" s="10" t="s">
        <v>1947</v>
      </c>
      <c r="E15" s="9" t="str">
        <f>HYPERLINK("https://twitter.com/BitacoraPol/status/1354120977429352448","1354120977429352448")</f>
        <v>1354120977429352448</v>
      </c>
      <c r="F15" s="12"/>
      <c r="G15" s="12"/>
      <c r="H15" s="12"/>
      <c r="I15" s="13">
        <v>7.0</v>
      </c>
      <c r="J15" s="13">
        <v>8.0</v>
      </c>
      <c r="K15" s="9" t="str">
        <f t="shared" ref="K15:K16" si="4">HYPERLINK("http://twitter.com/download/iphone","Twitter for iPhone")</f>
        <v>Twitter for iPhone</v>
      </c>
      <c r="L15" s="14">
        <v>8364.0</v>
      </c>
      <c r="M15" s="14">
        <v>8121.0</v>
      </c>
      <c r="N15" s="14">
        <v>34.0</v>
      </c>
      <c r="O15" s="19"/>
      <c r="P15" s="16">
        <v>42007.72383101852</v>
      </c>
      <c r="Q15" s="10" t="s">
        <v>1948</v>
      </c>
      <c r="R15" s="10" t="s">
        <v>1949</v>
      </c>
      <c r="S15" s="11" t="s">
        <v>1950</v>
      </c>
      <c r="T15" s="12"/>
      <c r="U15" s="17" t="str">
        <f>HYPERLINK("https://pbs.twimg.com/profile_images/1342293390982078466/2qa39ucn.jpg","View")</f>
        <v>View</v>
      </c>
      <c r="V15" s="12"/>
      <c r="W15" s="12"/>
      <c r="X15" s="12"/>
      <c r="Y15" s="12"/>
      <c r="Z15" s="12"/>
    </row>
    <row r="16">
      <c r="A16" s="8">
        <v>44222.47400462963</v>
      </c>
      <c r="B16" s="9" t="str">
        <f>HYPERLINK("https://twitter.com/ALBERTOOSEGUERA","@ALBERTOOSEGUERA")</f>
        <v>@ALBERTOOSEGUERA</v>
      </c>
      <c r="C16" s="10" t="s">
        <v>1951</v>
      </c>
      <c r="D16" s="10" t="s">
        <v>1952</v>
      </c>
      <c r="E16" s="9" t="str">
        <f>HYPERLINK("https://twitter.com/ALBERTOOSEGUERA/status/1354117541845725184","1354117541845725184")</f>
        <v>1354117541845725184</v>
      </c>
      <c r="F16" s="10" t="s">
        <v>1953</v>
      </c>
      <c r="G16" s="12"/>
      <c r="H16" s="12"/>
      <c r="I16" s="13">
        <v>0.0</v>
      </c>
      <c r="J16" s="13">
        <v>1.0</v>
      </c>
      <c r="K16" s="9" t="str">
        <f t="shared" si="4"/>
        <v>Twitter for iPhone</v>
      </c>
      <c r="L16" s="14">
        <v>349.0</v>
      </c>
      <c r="M16" s="14">
        <v>707.0</v>
      </c>
      <c r="N16" s="14">
        <v>0.0</v>
      </c>
      <c r="O16" s="19"/>
      <c r="P16" s="16">
        <v>40446.90454861111</v>
      </c>
      <c r="Q16" s="10" t="s">
        <v>1649</v>
      </c>
      <c r="R16" s="10" t="s">
        <v>1954</v>
      </c>
      <c r="S16" s="12"/>
      <c r="T16" s="12"/>
      <c r="U16" s="17" t="str">
        <f>HYPERLINK("https://pbs.twimg.com/profile_images/1350947524631265291/qElNhTKX.jpg","View")</f>
        <v>View</v>
      </c>
      <c r="V16" s="12"/>
      <c r="W16" s="12"/>
      <c r="X16" s="12"/>
      <c r="Y16" s="12"/>
      <c r="Z16" s="12"/>
    </row>
    <row r="17">
      <c r="A17" s="8">
        <v>44222.46975694444</v>
      </c>
      <c r="B17" s="9" t="str">
        <f>HYPERLINK("https://twitter.com/rocco82338873","@rocco82338873")</f>
        <v>@rocco82338873</v>
      </c>
      <c r="C17" s="10" t="s">
        <v>1955</v>
      </c>
      <c r="D17" s="10" t="s">
        <v>1956</v>
      </c>
      <c r="E17" s="9" t="str">
        <f>HYPERLINK("https://twitter.com/rocco82338873/status/1354116001852514310","1354116001852514310")</f>
        <v>1354116001852514310</v>
      </c>
      <c r="F17" s="12"/>
      <c r="G17" s="12"/>
      <c r="H17" s="12"/>
      <c r="I17" s="13">
        <v>0.0</v>
      </c>
      <c r="J17" s="13">
        <v>0.0</v>
      </c>
      <c r="K17" s="9" t="str">
        <f>HYPERLINK("https://mobile.twitter.com","Twitter Web App")</f>
        <v>Twitter Web App</v>
      </c>
      <c r="L17" s="14">
        <v>58.0</v>
      </c>
      <c r="M17" s="14">
        <v>78.0</v>
      </c>
      <c r="N17" s="14">
        <v>0.0</v>
      </c>
      <c r="O17" s="19"/>
      <c r="P17" s="16">
        <v>44209.683495370366</v>
      </c>
      <c r="Q17" s="12"/>
      <c r="R17" s="10" t="s">
        <v>1957</v>
      </c>
      <c r="S17" s="12"/>
      <c r="T17" s="12"/>
      <c r="U17" s="15" t="s">
        <v>848</v>
      </c>
      <c r="V17" s="12"/>
      <c r="W17" s="12"/>
      <c r="X17" s="12"/>
      <c r="Y17" s="12"/>
      <c r="Z17" s="12"/>
    </row>
    <row r="18">
      <c r="A18" s="8">
        <v>44222.467094907406</v>
      </c>
      <c r="B18" s="9" t="str">
        <f>HYPERLINK("https://twitter.com/hmbrhrmg","@hmbrhrmg")</f>
        <v>@hmbrhrmg</v>
      </c>
      <c r="C18" s="10" t="s">
        <v>1958</v>
      </c>
      <c r="D18" s="10" t="s">
        <v>1959</v>
      </c>
      <c r="E18" s="9" t="str">
        <f>HYPERLINK("https://twitter.com/hmbrhrmg/status/1354115036827029507","1354115036827029507")</f>
        <v>1354115036827029507</v>
      </c>
      <c r="F18" s="12"/>
      <c r="G18" s="12"/>
      <c r="H18" s="12"/>
      <c r="I18" s="13">
        <v>16.0</v>
      </c>
      <c r="J18" s="13">
        <v>23.0</v>
      </c>
      <c r="K18" s="9" t="str">
        <f>HYPERLINK("http://twitter.com/download/android","Twitter for Android")</f>
        <v>Twitter for Android</v>
      </c>
      <c r="L18" s="14">
        <v>6882.0</v>
      </c>
      <c r="M18" s="14">
        <v>6088.0</v>
      </c>
      <c r="N18" s="14">
        <v>5.0</v>
      </c>
      <c r="O18" s="19"/>
      <c r="P18" s="16">
        <v>43766.81524305556</v>
      </c>
      <c r="Q18" s="10" t="s">
        <v>1960</v>
      </c>
      <c r="R18" s="10" t="s">
        <v>1961</v>
      </c>
      <c r="S18" s="12"/>
      <c r="T18" s="12"/>
      <c r="U18" s="17" t="str">
        <f>HYPERLINK("https://pbs.twimg.com/profile_images/1321267366324416512/fnYJBUjx.jpg","View")</f>
        <v>View</v>
      </c>
      <c r="V18" s="12"/>
      <c r="W18" s="12"/>
      <c r="X18" s="12"/>
      <c r="Y18" s="12"/>
      <c r="Z18" s="12"/>
    </row>
    <row r="19">
      <c r="A19" s="8">
        <v>44222.46333333333</v>
      </c>
      <c r="B19" s="9" t="str">
        <f>HYPERLINK("https://twitter.com/rocco82338873","@rocco82338873")</f>
        <v>@rocco82338873</v>
      </c>
      <c r="C19" s="10" t="s">
        <v>1955</v>
      </c>
      <c r="D19" s="10" t="s">
        <v>1962</v>
      </c>
      <c r="E19" s="9" t="str">
        <f>HYPERLINK("https://twitter.com/rocco82338873/status/1354113673321656320","1354113673321656320")</f>
        <v>1354113673321656320</v>
      </c>
      <c r="F19" s="12"/>
      <c r="G19" s="12"/>
      <c r="H19" s="12"/>
      <c r="I19" s="13">
        <v>1.0</v>
      </c>
      <c r="J19" s="13">
        <v>1.0</v>
      </c>
      <c r="K19" s="9" t="str">
        <f t="shared" ref="K19:K20" si="5">HYPERLINK("https://mobile.twitter.com","Twitter Web App")</f>
        <v>Twitter Web App</v>
      </c>
      <c r="L19" s="14">
        <v>58.0</v>
      </c>
      <c r="M19" s="14">
        <v>78.0</v>
      </c>
      <c r="N19" s="14">
        <v>0.0</v>
      </c>
      <c r="O19" s="19"/>
      <c r="P19" s="16">
        <v>44209.683495370366</v>
      </c>
      <c r="Q19" s="12"/>
      <c r="R19" s="10" t="s">
        <v>1957</v>
      </c>
      <c r="S19" s="12"/>
      <c r="T19" s="12"/>
      <c r="U19" s="15" t="s">
        <v>848</v>
      </c>
      <c r="V19" s="12"/>
      <c r="W19" s="12"/>
      <c r="X19" s="12"/>
      <c r="Y19" s="12"/>
      <c r="Z19" s="12"/>
    </row>
    <row r="20">
      <c r="A20" s="8">
        <v>44222.45216435185</v>
      </c>
      <c r="B20" s="9" t="str">
        <f>HYPERLINK("https://twitter.com/LEONORFONTAINE","@LEONORFONTAINE")</f>
        <v>@LEONORFONTAINE</v>
      </c>
      <c r="C20" s="10" t="s">
        <v>1933</v>
      </c>
      <c r="D20" s="10" t="s">
        <v>1963</v>
      </c>
      <c r="E20" s="9" t="str">
        <f>HYPERLINK("https://twitter.com/LEONORFONTAINE/status/1354109626787229696","1354109626787229696")</f>
        <v>1354109626787229696</v>
      </c>
      <c r="F20" s="10" t="s">
        <v>1964</v>
      </c>
      <c r="G20" s="12"/>
      <c r="H20" s="12"/>
      <c r="I20" s="13">
        <v>2.0</v>
      </c>
      <c r="J20" s="13">
        <v>2.0</v>
      </c>
      <c r="K20" s="9" t="str">
        <f t="shared" si="5"/>
        <v>Twitter Web App</v>
      </c>
      <c r="L20" s="14">
        <v>500.0</v>
      </c>
      <c r="M20" s="14">
        <v>925.0</v>
      </c>
      <c r="N20" s="14">
        <v>1.0</v>
      </c>
      <c r="O20" s="19"/>
      <c r="P20" s="16">
        <v>40918.456921296296</v>
      </c>
      <c r="Q20" s="10" t="s">
        <v>1937</v>
      </c>
      <c r="R20" s="10" t="s">
        <v>1938</v>
      </c>
      <c r="S20" s="12"/>
      <c r="T20" s="12"/>
      <c r="U20" s="17" t="str">
        <f>HYPERLINK("https://pbs.twimg.com/profile_images/1263475876068577285/3thj-BCW.jpg","View")</f>
        <v>View</v>
      </c>
      <c r="V20" s="12"/>
      <c r="W20" s="12"/>
      <c r="X20" s="12"/>
      <c r="Y20" s="12"/>
      <c r="Z20" s="12"/>
    </row>
    <row r="21">
      <c r="A21" s="8">
        <v>44222.45196759259</v>
      </c>
      <c r="B21" s="9" t="str">
        <f t="shared" ref="B21:B24" si="6">HYPERLINK("https://twitter.com/Patrici15701639","@Patrici15701639")</f>
        <v>@Patrici15701639</v>
      </c>
      <c r="C21" s="10" t="s">
        <v>1965</v>
      </c>
      <c r="D21" s="10" t="s">
        <v>1966</v>
      </c>
      <c r="E21" s="9" t="str">
        <f>HYPERLINK("https://twitter.com/Patrici15701639/status/1354109554162860034","1354109554162860034")</f>
        <v>1354109554162860034</v>
      </c>
      <c r="F21" s="10" t="s">
        <v>1967</v>
      </c>
      <c r="G21" s="12"/>
      <c r="H21" s="12"/>
      <c r="I21" s="13">
        <v>0.0</v>
      </c>
      <c r="J21" s="13">
        <v>0.0</v>
      </c>
      <c r="K21" s="9" t="str">
        <f t="shared" ref="K21:K24" si="7">HYPERLINK("http://twitter.com/download/android","Twitter for Android")</f>
        <v>Twitter for Android</v>
      </c>
      <c r="L21" s="14">
        <v>504.0</v>
      </c>
      <c r="M21" s="14">
        <v>1712.0</v>
      </c>
      <c r="N21" s="14">
        <v>0.0</v>
      </c>
      <c r="O21" s="19"/>
      <c r="P21" s="16">
        <v>43445.638287037036</v>
      </c>
      <c r="Q21" s="12"/>
      <c r="R21" s="12"/>
      <c r="S21" s="12"/>
      <c r="T21" s="12"/>
      <c r="U21" s="15" t="s">
        <v>848</v>
      </c>
      <c r="V21" s="12"/>
      <c r="W21" s="12"/>
      <c r="X21" s="12"/>
      <c r="Y21" s="12"/>
      <c r="Z21" s="12"/>
    </row>
    <row r="22">
      <c r="A22" s="8">
        <v>44222.45128472222</v>
      </c>
      <c r="B22" s="9" t="str">
        <f t="shared" si="6"/>
        <v>@Patrici15701639</v>
      </c>
      <c r="C22" s="10" t="s">
        <v>1965</v>
      </c>
      <c r="D22" s="10" t="s">
        <v>1968</v>
      </c>
      <c r="E22" s="9" t="str">
        <f>HYPERLINK("https://twitter.com/Patrici15701639/status/1354109304899588096","1354109304899588096")</f>
        <v>1354109304899588096</v>
      </c>
      <c r="F22" s="11" t="s">
        <v>1969</v>
      </c>
      <c r="G22" s="11" t="s">
        <v>1970</v>
      </c>
      <c r="H22" s="12"/>
      <c r="I22" s="13">
        <v>0.0</v>
      </c>
      <c r="J22" s="13">
        <v>0.0</v>
      </c>
      <c r="K22" s="9" t="str">
        <f t="shared" si="7"/>
        <v>Twitter for Android</v>
      </c>
      <c r="L22" s="14">
        <v>504.0</v>
      </c>
      <c r="M22" s="14">
        <v>1712.0</v>
      </c>
      <c r="N22" s="14">
        <v>0.0</v>
      </c>
      <c r="O22" s="19"/>
      <c r="P22" s="16">
        <v>43445.638287037036</v>
      </c>
      <c r="Q22" s="12"/>
      <c r="R22" s="12"/>
      <c r="S22" s="12"/>
      <c r="T22" s="12"/>
      <c r="U22" s="15" t="s">
        <v>848</v>
      </c>
      <c r="V22" s="12"/>
      <c r="W22" s="12"/>
      <c r="X22" s="12"/>
      <c r="Y22" s="12"/>
      <c r="Z22" s="12"/>
    </row>
    <row r="23">
      <c r="A23" s="8">
        <v>44222.45112268519</v>
      </c>
      <c r="B23" s="9" t="str">
        <f t="shared" si="6"/>
        <v>@Patrici15701639</v>
      </c>
      <c r="C23" s="10" t="s">
        <v>1965</v>
      </c>
      <c r="D23" s="10" t="s">
        <v>1971</v>
      </c>
      <c r="E23" s="9" t="str">
        <f>HYPERLINK("https://twitter.com/Patrici15701639/status/1354109248096112640","1354109248096112640")</f>
        <v>1354109248096112640</v>
      </c>
      <c r="F23" s="10" t="s">
        <v>1972</v>
      </c>
      <c r="G23" s="12"/>
      <c r="H23" s="12"/>
      <c r="I23" s="13">
        <v>0.0</v>
      </c>
      <c r="J23" s="13">
        <v>0.0</v>
      </c>
      <c r="K23" s="9" t="str">
        <f t="shared" si="7"/>
        <v>Twitter for Android</v>
      </c>
      <c r="L23" s="14">
        <v>504.0</v>
      </c>
      <c r="M23" s="14">
        <v>1712.0</v>
      </c>
      <c r="N23" s="14">
        <v>0.0</v>
      </c>
      <c r="O23" s="19"/>
      <c r="P23" s="16">
        <v>43445.638287037036</v>
      </c>
      <c r="Q23" s="12"/>
      <c r="R23" s="12"/>
      <c r="S23" s="12"/>
      <c r="T23" s="12"/>
      <c r="U23" s="15" t="s">
        <v>848</v>
      </c>
      <c r="V23" s="12"/>
      <c r="W23" s="12"/>
      <c r="X23" s="12"/>
      <c r="Y23" s="12"/>
      <c r="Z23" s="12"/>
    </row>
    <row r="24">
      <c r="A24" s="8">
        <v>44222.45040509259</v>
      </c>
      <c r="B24" s="9" t="str">
        <f t="shared" si="6"/>
        <v>@Patrici15701639</v>
      </c>
      <c r="C24" s="10" t="s">
        <v>1965</v>
      </c>
      <c r="D24" s="10" t="s">
        <v>1973</v>
      </c>
      <c r="E24" s="9" t="str">
        <f>HYPERLINK("https://twitter.com/Patrici15701639/status/1354108989051719681","1354108989051719681")</f>
        <v>1354108989051719681</v>
      </c>
      <c r="F24" s="11" t="s">
        <v>1974</v>
      </c>
      <c r="G24" s="12"/>
      <c r="H24" s="12"/>
      <c r="I24" s="13">
        <v>0.0</v>
      </c>
      <c r="J24" s="13">
        <v>1.0</v>
      </c>
      <c r="K24" s="9" t="str">
        <f t="shared" si="7"/>
        <v>Twitter for Android</v>
      </c>
      <c r="L24" s="14">
        <v>504.0</v>
      </c>
      <c r="M24" s="14">
        <v>1712.0</v>
      </c>
      <c r="N24" s="14">
        <v>0.0</v>
      </c>
      <c r="O24" s="19"/>
      <c r="P24" s="16">
        <v>43445.638287037036</v>
      </c>
      <c r="Q24" s="12"/>
      <c r="R24" s="12"/>
      <c r="S24" s="12"/>
      <c r="T24" s="12"/>
      <c r="U24" s="15" t="s">
        <v>848</v>
      </c>
      <c r="V24" s="12"/>
      <c r="W24" s="12"/>
      <c r="X24" s="12"/>
      <c r="Y24" s="12"/>
      <c r="Z24" s="12"/>
    </row>
    <row r="25">
      <c r="A25" s="8">
        <v>44222.44989583333</v>
      </c>
      <c r="B25" s="9" t="str">
        <f>HYPERLINK("https://twitter.com/LEONORFONTAINE","@LEONORFONTAINE")</f>
        <v>@LEONORFONTAINE</v>
      </c>
      <c r="C25" s="10" t="s">
        <v>1933</v>
      </c>
      <c r="D25" s="10" t="s">
        <v>1975</v>
      </c>
      <c r="E25" s="9" t="str">
        <f>HYPERLINK("https://twitter.com/LEONORFONTAINE/status/1354108801700519939","1354108801700519939")</f>
        <v>1354108801700519939</v>
      </c>
      <c r="F25" s="10" t="s">
        <v>1976</v>
      </c>
      <c r="G25" s="12"/>
      <c r="H25" s="12"/>
      <c r="I25" s="13">
        <v>0.0</v>
      </c>
      <c r="J25" s="13">
        <v>1.0</v>
      </c>
      <c r="K25" s="9" t="str">
        <f>HYPERLINK("https://mobile.twitter.com","Twitter Web App")</f>
        <v>Twitter Web App</v>
      </c>
      <c r="L25" s="14">
        <v>500.0</v>
      </c>
      <c r="M25" s="14">
        <v>925.0</v>
      </c>
      <c r="N25" s="14">
        <v>1.0</v>
      </c>
      <c r="O25" s="19"/>
      <c r="P25" s="16">
        <v>40918.456921296296</v>
      </c>
      <c r="Q25" s="10" t="s">
        <v>1937</v>
      </c>
      <c r="R25" s="10" t="s">
        <v>1938</v>
      </c>
      <c r="S25" s="12"/>
      <c r="T25" s="12"/>
      <c r="U25" s="17" t="str">
        <f>HYPERLINK("https://pbs.twimg.com/profile_images/1263475876068577285/3thj-BCW.jpg","View")</f>
        <v>View</v>
      </c>
      <c r="V25" s="12"/>
      <c r="W25" s="12"/>
      <c r="X25" s="12"/>
      <c r="Y25" s="12"/>
      <c r="Z25" s="12"/>
    </row>
    <row r="26">
      <c r="A26" s="8">
        <v>44222.44945601852</v>
      </c>
      <c r="B26" s="9" t="str">
        <f>HYPERLINK("https://twitter.com/Patrici15701639","@Patrici15701639")</f>
        <v>@Patrici15701639</v>
      </c>
      <c r="C26" s="10" t="s">
        <v>1965</v>
      </c>
      <c r="D26" s="10" t="s">
        <v>1977</v>
      </c>
      <c r="E26" s="9" t="str">
        <f>HYPERLINK("https://twitter.com/Patrici15701639/status/1354108644531593216","1354108644531593216")</f>
        <v>1354108644531593216</v>
      </c>
      <c r="F26" s="10" t="s">
        <v>1978</v>
      </c>
      <c r="G26" s="12"/>
      <c r="H26" s="12"/>
      <c r="I26" s="13">
        <v>0.0</v>
      </c>
      <c r="J26" s="13">
        <v>0.0</v>
      </c>
      <c r="K26" s="9" t="str">
        <f t="shared" ref="K26:K28" si="8">HYPERLINK("http://twitter.com/download/android","Twitter for Android")</f>
        <v>Twitter for Android</v>
      </c>
      <c r="L26" s="14">
        <v>504.0</v>
      </c>
      <c r="M26" s="14">
        <v>1712.0</v>
      </c>
      <c r="N26" s="14">
        <v>0.0</v>
      </c>
      <c r="O26" s="19"/>
      <c r="P26" s="16">
        <v>43445.638287037036</v>
      </c>
      <c r="Q26" s="12"/>
      <c r="R26" s="12"/>
      <c r="S26" s="12"/>
      <c r="T26" s="12"/>
      <c r="U26" s="15" t="s">
        <v>848</v>
      </c>
      <c r="V26" s="12"/>
      <c r="W26" s="12"/>
      <c r="X26" s="12"/>
      <c r="Y26" s="12"/>
      <c r="Z26" s="12"/>
    </row>
    <row r="27">
      <c r="A27" s="8">
        <v>44222.44092592593</v>
      </c>
      <c r="B27" s="9" t="str">
        <f>HYPERLINK("https://twitter.com/Feministas4T","@Feministas4T")</f>
        <v>@Feministas4T</v>
      </c>
      <c r="C27" s="10" t="s">
        <v>1979</v>
      </c>
      <c r="D27" s="10" t="s">
        <v>1980</v>
      </c>
      <c r="E27" s="9" t="str">
        <f>HYPERLINK("https://twitter.com/Feministas4T/status/1354105553753165829","1354105553753165829")</f>
        <v>1354105553753165829</v>
      </c>
      <c r="F27" s="10" t="s">
        <v>1981</v>
      </c>
      <c r="G27" s="12"/>
      <c r="H27" s="12"/>
      <c r="I27" s="13">
        <v>0.0</v>
      </c>
      <c r="J27" s="13">
        <v>1.0</v>
      </c>
      <c r="K27" s="9" t="str">
        <f t="shared" si="8"/>
        <v>Twitter for Android</v>
      </c>
      <c r="L27" s="14">
        <v>1465.0</v>
      </c>
      <c r="M27" s="14">
        <v>52.0</v>
      </c>
      <c r="N27" s="14">
        <v>5.0</v>
      </c>
      <c r="O27" s="19"/>
      <c r="P27" s="16">
        <v>43895.945243055554</v>
      </c>
      <c r="Q27" s="12"/>
      <c r="R27" s="10" t="s">
        <v>1982</v>
      </c>
      <c r="S27" s="12"/>
      <c r="T27" s="12"/>
      <c r="U27" s="17" t="str">
        <f>HYPERLINK("https://pbs.twimg.com/profile_images/1279187819085234177/j1srdUys.jpg","View")</f>
        <v>View</v>
      </c>
      <c r="V27" s="12"/>
      <c r="W27" s="12"/>
      <c r="X27" s="12"/>
      <c r="Y27" s="12"/>
      <c r="Z27" s="12"/>
    </row>
    <row r="28">
      <c r="A28" s="8">
        <v>44222.43886574074</v>
      </c>
      <c r="B28" s="9" t="str">
        <f>HYPERLINK("https://twitter.com/santa_sg","@santa_sg")</f>
        <v>@santa_sg</v>
      </c>
      <c r="C28" s="10" t="s">
        <v>1983</v>
      </c>
      <c r="D28" s="10" t="s">
        <v>1984</v>
      </c>
      <c r="E28" s="9" t="str">
        <f>HYPERLINK("https://twitter.com/santa_sg/status/1354104806101684224","1354104806101684224")</f>
        <v>1354104806101684224</v>
      </c>
      <c r="F28" s="10" t="s">
        <v>1985</v>
      </c>
      <c r="G28" s="12"/>
      <c r="H28" s="12"/>
      <c r="I28" s="13">
        <v>0.0</v>
      </c>
      <c r="J28" s="13">
        <v>0.0</v>
      </c>
      <c r="K28" s="9" t="str">
        <f t="shared" si="8"/>
        <v>Twitter for Android</v>
      </c>
      <c r="L28" s="14">
        <v>3133.0</v>
      </c>
      <c r="M28" s="14">
        <v>3266.0</v>
      </c>
      <c r="N28" s="14">
        <v>6.0</v>
      </c>
      <c r="O28" s="19"/>
      <c r="P28" s="16">
        <v>41422.46908564815</v>
      </c>
      <c r="Q28" s="12"/>
      <c r="R28" s="10" t="s">
        <v>1986</v>
      </c>
      <c r="S28" s="12"/>
      <c r="T28" s="12"/>
      <c r="U28" s="17" t="str">
        <f>HYPERLINK("https://pbs.twimg.com/profile_images/1325512270328127489/as-NfjCP.jpg","View")</f>
        <v>View</v>
      </c>
      <c r="V28" s="12"/>
      <c r="W28" s="12"/>
      <c r="X28" s="12"/>
      <c r="Y28" s="12"/>
      <c r="Z28" s="12"/>
    </row>
    <row r="29">
      <c r="A29" s="8">
        <v>44222.43886574074</v>
      </c>
      <c r="B29" s="9" t="str">
        <f>HYPERLINK("https://twitter.com/LEONORFONTAINE","@LEONORFONTAINE")</f>
        <v>@LEONORFONTAINE</v>
      </c>
      <c r="C29" s="10" t="s">
        <v>1933</v>
      </c>
      <c r="D29" s="10" t="s">
        <v>1987</v>
      </c>
      <c r="E29" s="9" t="str">
        <f>HYPERLINK("https://twitter.com/LEONORFONTAINE/status/1354104805669687301","1354104805669687301")</f>
        <v>1354104805669687301</v>
      </c>
      <c r="F29" s="12"/>
      <c r="G29" s="11" t="s">
        <v>1988</v>
      </c>
      <c r="H29" s="12"/>
      <c r="I29" s="13">
        <v>1.0</v>
      </c>
      <c r="J29" s="13">
        <v>1.0</v>
      </c>
      <c r="K29" s="9" t="str">
        <f>HYPERLINK("https://mobile.twitter.com","Twitter Web App")</f>
        <v>Twitter Web App</v>
      </c>
      <c r="L29" s="14">
        <v>500.0</v>
      </c>
      <c r="M29" s="14">
        <v>925.0</v>
      </c>
      <c r="N29" s="14">
        <v>1.0</v>
      </c>
      <c r="O29" s="19"/>
      <c r="P29" s="16">
        <v>40918.456921296296</v>
      </c>
      <c r="Q29" s="10" t="s">
        <v>1937</v>
      </c>
      <c r="R29" s="10" t="s">
        <v>1938</v>
      </c>
      <c r="S29" s="12"/>
      <c r="T29" s="12"/>
      <c r="U29" s="17" t="str">
        <f>HYPERLINK("https://pbs.twimg.com/profile_images/1263475876068577285/3thj-BCW.jpg","View")</f>
        <v>View</v>
      </c>
      <c r="V29" s="12"/>
      <c r="W29" s="12"/>
      <c r="X29" s="12"/>
      <c r="Y29" s="12"/>
      <c r="Z29" s="12"/>
    </row>
    <row r="30">
      <c r="A30" s="8">
        <v>44222.433541666665</v>
      </c>
      <c r="B30" s="9" t="str">
        <f>HYPERLINK("https://twitter.com/ErickValdepenas","@ErickValdepenas")</f>
        <v>@ErickValdepenas</v>
      </c>
      <c r="C30" s="10" t="s">
        <v>1989</v>
      </c>
      <c r="D30" s="10" t="s">
        <v>1990</v>
      </c>
      <c r="E30" s="9" t="str">
        <f>HYPERLINK("https://twitter.com/ErickValdepenas/status/1354102878298918922","1354102878298918922")</f>
        <v>1354102878298918922</v>
      </c>
      <c r="F30" s="10" t="s">
        <v>1981</v>
      </c>
      <c r="G30" s="12"/>
      <c r="H30" s="12"/>
      <c r="I30" s="13">
        <v>0.0</v>
      </c>
      <c r="J30" s="13">
        <v>3.0</v>
      </c>
      <c r="K30" s="9" t="str">
        <f>HYPERLINK("http://twitter.com/download/android","Twitter for Android")</f>
        <v>Twitter for Android</v>
      </c>
      <c r="L30" s="14">
        <v>2857.0</v>
      </c>
      <c r="M30" s="14">
        <v>210.0</v>
      </c>
      <c r="N30" s="14">
        <v>6.0</v>
      </c>
      <c r="O30" s="19"/>
      <c r="P30" s="16">
        <v>40725.26740740741</v>
      </c>
      <c r="Q30" s="10" t="s">
        <v>1991</v>
      </c>
      <c r="R30" s="10" t="s">
        <v>1992</v>
      </c>
      <c r="S30" s="12"/>
      <c r="T30" s="12"/>
      <c r="U30" s="17" t="str">
        <f>HYPERLINK("https://pbs.twimg.com/profile_images/1349599829828251649/Fv6RvNyR.jpg","View")</f>
        <v>View</v>
      </c>
      <c r="V30" s="12"/>
      <c r="W30" s="12"/>
      <c r="X30" s="12"/>
      <c r="Y30" s="12"/>
      <c r="Z30" s="12"/>
    </row>
    <row r="31">
      <c r="A31" s="8">
        <v>44222.43300925926</v>
      </c>
      <c r="B31" s="9" t="str">
        <f>HYPERLINK("https://twitter.com/LEONORFONTAINE","@LEONORFONTAINE")</f>
        <v>@LEONORFONTAINE</v>
      </c>
      <c r="C31" s="10" t="s">
        <v>1933</v>
      </c>
      <c r="D31" s="10" t="s">
        <v>1993</v>
      </c>
      <c r="E31" s="9" t="str">
        <f>HYPERLINK("https://twitter.com/LEONORFONTAINE/status/1354102683918102530","1354102683918102530")</f>
        <v>1354102683918102530</v>
      </c>
      <c r="F31" s="10" t="s">
        <v>1994</v>
      </c>
      <c r="G31" s="12"/>
      <c r="H31" s="12"/>
      <c r="I31" s="13">
        <v>0.0</v>
      </c>
      <c r="J31" s="13">
        <v>0.0</v>
      </c>
      <c r="K31" s="9" t="str">
        <f>HYPERLINK("https://mobile.twitter.com","Twitter Web App")</f>
        <v>Twitter Web App</v>
      </c>
      <c r="L31" s="14">
        <v>500.0</v>
      </c>
      <c r="M31" s="14">
        <v>925.0</v>
      </c>
      <c r="N31" s="14">
        <v>1.0</v>
      </c>
      <c r="O31" s="19"/>
      <c r="P31" s="16">
        <v>40918.456921296296</v>
      </c>
      <c r="Q31" s="10" t="s">
        <v>1937</v>
      </c>
      <c r="R31" s="10" t="s">
        <v>1938</v>
      </c>
      <c r="S31" s="12"/>
      <c r="T31" s="12"/>
      <c r="U31" s="17" t="str">
        <f>HYPERLINK("https://pbs.twimg.com/profile_images/1263475876068577285/3thj-BCW.jpg","View")</f>
        <v>View</v>
      </c>
      <c r="V31" s="12"/>
      <c r="W31" s="12"/>
      <c r="X31" s="12"/>
      <c r="Y31" s="12"/>
      <c r="Z31" s="12"/>
    </row>
    <row r="32">
      <c r="A32" s="8">
        <v>44222.427939814814</v>
      </c>
      <c r="B32" s="9" t="str">
        <f>HYPERLINK("https://twitter.com/Macruz76701932","@Macruz76701932")</f>
        <v>@Macruz76701932</v>
      </c>
      <c r="C32" s="10" t="s">
        <v>1995</v>
      </c>
      <c r="D32" s="10" t="s">
        <v>1996</v>
      </c>
      <c r="E32" s="9" t="str">
        <f>HYPERLINK("https://twitter.com/Macruz76701932/status/1354100844740927490","1354100844740927490")</f>
        <v>1354100844740927490</v>
      </c>
      <c r="F32" s="12"/>
      <c r="G32" s="11" t="s">
        <v>1997</v>
      </c>
      <c r="H32" s="12"/>
      <c r="I32" s="13">
        <v>0.0</v>
      </c>
      <c r="J32" s="13">
        <v>0.0</v>
      </c>
      <c r="K32" s="9" t="str">
        <f>HYPERLINK("http://twitter.com/download/android","Twitter for Android")</f>
        <v>Twitter for Android</v>
      </c>
      <c r="L32" s="14">
        <v>1692.0</v>
      </c>
      <c r="M32" s="14">
        <v>1252.0</v>
      </c>
      <c r="N32" s="14">
        <v>3.0</v>
      </c>
      <c r="O32" s="19"/>
      <c r="P32" s="16">
        <v>43544.66965277778</v>
      </c>
      <c r="Q32" s="12"/>
      <c r="R32" s="10" t="s">
        <v>1998</v>
      </c>
      <c r="S32" s="12"/>
      <c r="T32" s="12"/>
      <c r="U32" s="17" t="str">
        <f>HYPERLINK("https://pbs.twimg.com/profile_images/1327024418283945984/bPV95vmS.jpg","View")</f>
        <v>View</v>
      </c>
      <c r="V32" s="12"/>
      <c r="W32" s="12"/>
      <c r="X32" s="12"/>
      <c r="Y32" s="12"/>
      <c r="Z32" s="12"/>
    </row>
    <row r="33">
      <c r="A33" s="8">
        <v>44222.42363425926</v>
      </c>
      <c r="B33" s="9" t="str">
        <f>HYPERLINK("https://twitter.com/rocco82338873","@rocco82338873")</f>
        <v>@rocco82338873</v>
      </c>
      <c r="C33" s="10" t="s">
        <v>1955</v>
      </c>
      <c r="D33" s="10" t="s">
        <v>1999</v>
      </c>
      <c r="E33" s="9" t="str">
        <f>HYPERLINK("https://twitter.com/rocco82338873/status/1354099287051956226","1354099287051956226")</f>
        <v>1354099287051956226</v>
      </c>
      <c r="F33" s="12"/>
      <c r="G33" s="12"/>
      <c r="H33" s="12"/>
      <c r="I33" s="13">
        <v>0.0</v>
      </c>
      <c r="J33" s="13">
        <v>1.0</v>
      </c>
      <c r="K33" s="9" t="str">
        <f>HYPERLINK("https://mobile.twitter.com","Twitter Web App")</f>
        <v>Twitter Web App</v>
      </c>
      <c r="L33" s="14">
        <v>58.0</v>
      </c>
      <c r="M33" s="14">
        <v>78.0</v>
      </c>
      <c r="N33" s="14">
        <v>0.0</v>
      </c>
      <c r="O33" s="19"/>
      <c r="P33" s="16">
        <v>44209.683495370366</v>
      </c>
      <c r="Q33" s="12"/>
      <c r="R33" s="10" t="s">
        <v>1957</v>
      </c>
      <c r="S33" s="12"/>
      <c r="T33" s="12"/>
      <c r="U33" s="15" t="s">
        <v>848</v>
      </c>
      <c r="V33" s="12"/>
      <c r="W33" s="12"/>
      <c r="X33" s="12"/>
      <c r="Y33" s="12"/>
      <c r="Z33" s="12"/>
    </row>
    <row r="34">
      <c r="A34" s="8">
        <v>44222.40539351852</v>
      </c>
      <c r="B34" s="9" t="str">
        <f>HYPERLINK("https://twitter.com/EddyRam49049937","@EddyRam49049937")</f>
        <v>@EddyRam49049937</v>
      </c>
      <c r="C34" s="10" t="s">
        <v>1114</v>
      </c>
      <c r="D34" s="10" t="s">
        <v>2000</v>
      </c>
      <c r="E34" s="9" t="str">
        <f>HYPERLINK("https://twitter.com/EddyRam49049937/status/1354092677722202112","1354092677722202112")</f>
        <v>1354092677722202112</v>
      </c>
      <c r="F34" s="11" t="s">
        <v>1083</v>
      </c>
      <c r="G34" s="11" t="s">
        <v>1084</v>
      </c>
      <c r="H34" s="12"/>
      <c r="I34" s="13">
        <v>0.0</v>
      </c>
      <c r="J34" s="13">
        <v>1.0</v>
      </c>
      <c r="K34" s="9" t="str">
        <f t="shared" ref="K34:K35" si="9">HYPERLINK("http://twitter.com/download/android","Twitter for Android")</f>
        <v>Twitter for Android</v>
      </c>
      <c r="L34" s="14">
        <v>601.0</v>
      </c>
      <c r="M34" s="14">
        <v>1272.0</v>
      </c>
      <c r="N34" s="14">
        <v>0.0</v>
      </c>
      <c r="O34" s="19"/>
      <c r="P34" s="16">
        <v>43857.39319444445</v>
      </c>
      <c r="Q34" s="12"/>
      <c r="R34" s="10" t="s">
        <v>1118</v>
      </c>
      <c r="S34" s="12"/>
      <c r="T34" s="12"/>
      <c r="U34" s="17" t="str">
        <f>HYPERLINK("https://pbs.twimg.com/profile_images/1347714165205397504/2BG3JosY.jpg","View")</f>
        <v>View</v>
      </c>
      <c r="V34" s="12"/>
      <c r="W34" s="12"/>
      <c r="X34" s="12"/>
      <c r="Y34" s="12"/>
      <c r="Z34" s="12"/>
    </row>
    <row r="35">
      <c r="A35" s="8">
        <v>44222.4028587963</v>
      </c>
      <c r="B35" s="9" t="str">
        <f>HYPERLINK("https://twitter.com/E_duardoH","@E_duardoH")</f>
        <v>@E_duardoH</v>
      </c>
      <c r="C35" s="10" t="s">
        <v>2001</v>
      </c>
      <c r="D35" s="10" t="s">
        <v>2002</v>
      </c>
      <c r="E35" s="9" t="str">
        <f>HYPERLINK("https://twitter.com/E_duardoH/status/1354091759672954880","1354091759672954880")</f>
        <v>1354091759672954880</v>
      </c>
      <c r="F35" s="12"/>
      <c r="G35" s="12"/>
      <c r="H35" s="12"/>
      <c r="I35" s="13">
        <v>0.0</v>
      </c>
      <c r="J35" s="13">
        <v>0.0</v>
      </c>
      <c r="K35" s="9" t="str">
        <f t="shared" si="9"/>
        <v>Twitter for Android</v>
      </c>
      <c r="L35" s="14">
        <v>3522.0</v>
      </c>
      <c r="M35" s="14">
        <v>4986.0</v>
      </c>
      <c r="N35" s="14">
        <v>68.0</v>
      </c>
      <c r="O35" s="19"/>
      <c r="P35" s="16">
        <v>40844.04701388889</v>
      </c>
      <c r="Q35" s="12"/>
      <c r="R35" s="10" t="s">
        <v>2003</v>
      </c>
      <c r="S35" s="12"/>
      <c r="T35" s="12"/>
      <c r="U35" s="17" t="str">
        <f>HYPERLINK("https://pbs.twimg.com/profile_images/1237108734247219210/b1WvMRDx.jpg","View")</f>
        <v>View</v>
      </c>
      <c r="V35" s="12"/>
      <c r="W35" s="12"/>
      <c r="X35" s="12"/>
      <c r="Y35" s="12"/>
      <c r="Z35" s="12"/>
    </row>
    <row r="36">
      <c r="A36" s="8">
        <v>44222.40114583333</v>
      </c>
      <c r="B36" s="9" t="str">
        <f>HYPERLINK("https://twitter.com/espejohernandez","@espejohernandez")</f>
        <v>@espejohernandez</v>
      </c>
      <c r="C36" s="10" t="s">
        <v>1905</v>
      </c>
      <c r="D36" s="10" t="s">
        <v>2004</v>
      </c>
      <c r="E36" s="9" t="str">
        <f>HYPERLINK("https://twitter.com/espejohernandez/status/1354091135308713986","1354091135308713986")</f>
        <v>1354091135308713986</v>
      </c>
      <c r="F36" s="12"/>
      <c r="G36" s="11" t="s">
        <v>2005</v>
      </c>
      <c r="H36" s="12"/>
      <c r="I36" s="13">
        <v>0.0</v>
      </c>
      <c r="J36" s="13">
        <v>0.0</v>
      </c>
      <c r="K36" s="9" t="str">
        <f>HYPERLINK("http://twitter.com/download/iphone","Twitter for iPhone")</f>
        <v>Twitter for iPhone</v>
      </c>
      <c r="L36" s="14">
        <v>2259.0</v>
      </c>
      <c r="M36" s="14">
        <v>708.0</v>
      </c>
      <c r="N36" s="14">
        <v>20.0</v>
      </c>
      <c r="O36" s="19"/>
      <c r="P36" s="16">
        <v>40187.52563657407</v>
      </c>
      <c r="Q36" s="10" t="s">
        <v>1908</v>
      </c>
      <c r="R36" s="10" t="s">
        <v>1909</v>
      </c>
      <c r="S36" s="11" t="s">
        <v>1910</v>
      </c>
      <c r="T36" s="12"/>
      <c r="U36" s="17" t="str">
        <f>HYPERLINK("https://pbs.twimg.com/profile_images/1346158371498577926/mtMa19QQ.jpg","View")</f>
        <v>View</v>
      </c>
      <c r="V36" s="12"/>
      <c r="W36" s="12"/>
      <c r="X36" s="12"/>
      <c r="Y36" s="12"/>
      <c r="Z36" s="12"/>
    </row>
    <row r="37">
      <c r="A37" s="8">
        <v>44222.40106481481</v>
      </c>
      <c r="B37" s="9" t="str">
        <f>HYPERLINK("https://twitter.com/SagrevSol6","@SagrevSol6")</f>
        <v>@SagrevSol6</v>
      </c>
      <c r="C37" s="10" t="s">
        <v>2006</v>
      </c>
      <c r="D37" s="10" t="s">
        <v>2007</v>
      </c>
      <c r="E37" s="9" t="str">
        <f>HYPERLINK("https://twitter.com/SagrevSol6/status/1354091108700217345","1354091108700217345")</f>
        <v>1354091108700217345</v>
      </c>
      <c r="F37" s="11" t="s">
        <v>2008</v>
      </c>
      <c r="G37" s="12"/>
      <c r="H37" s="12"/>
      <c r="I37" s="13">
        <v>0.0</v>
      </c>
      <c r="J37" s="13">
        <v>1.0</v>
      </c>
      <c r="K37" s="9" t="str">
        <f>HYPERLINK("http://twitter.com/download/android","Twitter for Android")</f>
        <v>Twitter for Android</v>
      </c>
      <c r="L37" s="14">
        <v>10.0</v>
      </c>
      <c r="M37" s="14">
        <v>177.0</v>
      </c>
      <c r="N37" s="14">
        <v>0.0</v>
      </c>
      <c r="O37" s="19"/>
      <c r="P37" s="16">
        <v>44174.508981481486</v>
      </c>
      <c r="Q37" s="12"/>
      <c r="R37" s="10" t="s">
        <v>2009</v>
      </c>
      <c r="S37" s="12"/>
      <c r="T37" s="12"/>
      <c r="U37" s="17" t="str">
        <f>HYPERLINK("https://pbs.twimg.com/profile_images/1336735681243197440/NbmW7jSE.jpg","View")</f>
        <v>View</v>
      </c>
      <c r="V37" s="12"/>
      <c r="W37" s="12"/>
      <c r="X37" s="12"/>
      <c r="Y37" s="12"/>
      <c r="Z37" s="12"/>
    </row>
    <row r="38">
      <c r="A38" s="8">
        <v>44222.38796296297</v>
      </c>
      <c r="B38" s="9" t="str">
        <f>HYPERLINK("https://twitter.com/Jorge87809761","@Jorge87809761")</f>
        <v>@Jorge87809761</v>
      </c>
      <c r="C38" s="10" t="s">
        <v>2010</v>
      </c>
      <c r="D38" s="10" t="s">
        <v>2011</v>
      </c>
      <c r="E38" s="9" t="str">
        <f>HYPERLINK("https://twitter.com/Jorge87809761/status/1354086357564579842","1354086357564579842")</f>
        <v>1354086357564579842</v>
      </c>
      <c r="F38" s="11" t="s">
        <v>2012</v>
      </c>
      <c r="G38" s="10" t="s">
        <v>2013</v>
      </c>
      <c r="H38" s="12"/>
      <c r="I38" s="13">
        <v>0.0</v>
      </c>
      <c r="J38" s="13">
        <v>0.0</v>
      </c>
      <c r="K38" s="9" t="str">
        <f t="shared" ref="K38:K39" si="10">HYPERLINK("http://twitter.com/download/iphone","Twitter for iPhone")</f>
        <v>Twitter for iPhone</v>
      </c>
      <c r="L38" s="14">
        <v>294.0</v>
      </c>
      <c r="M38" s="14">
        <v>1152.0</v>
      </c>
      <c r="N38" s="14">
        <v>0.0</v>
      </c>
      <c r="O38" s="19"/>
      <c r="P38" s="16">
        <v>44211.35532407407</v>
      </c>
      <c r="Q38" s="12"/>
      <c r="R38" s="10" t="s">
        <v>2014</v>
      </c>
      <c r="S38" s="12"/>
      <c r="T38" s="12"/>
      <c r="U38" s="17" t="str">
        <f>HYPERLINK("https://pbs.twimg.com/profile_images/1350088518136172545/LY3va7Cz.jpg","View")</f>
        <v>View</v>
      </c>
      <c r="V38" s="12"/>
      <c r="W38" s="12"/>
      <c r="X38" s="12"/>
      <c r="Y38" s="12"/>
      <c r="Z38" s="12"/>
    </row>
    <row r="39">
      <c r="A39" s="8">
        <v>44222.38638888889</v>
      </c>
      <c r="B39" s="9" t="str">
        <f>HYPERLINK("https://twitter.com/espejohernandez","@espejohernandez")</f>
        <v>@espejohernandez</v>
      </c>
      <c r="C39" s="10" t="s">
        <v>1905</v>
      </c>
      <c r="D39" s="10" t="s">
        <v>2015</v>
      </c>
      <c r="E39" s="9" t="str">
        <f>HYPERLINK("https://twitter.com/espejohernandez/status/1354085788045234179","1354085788045234179")</f>
        <v>1354085788045234179</v>
      </c>
      <c r="F39" s="12"/>
      <c r="G39" s="11" t="s">
        <v>2016</v>
      </c>
      <c r="H39" s="12"/>
      <c r="I39" s="13">
        <v>0.0</v>
      </c>
      <c r="J39" s="13">
        <v>0.0</v>
      </c>
      <c r="K39" s="9" t="str">
        <f t="shared" si="10"/>
        <v>Twitter for iPhone</v>
      </c>
      <c r="L39" s="14">
        <v>2259.0</v>
      </c>
      <c r="M39" s="14">
        <v>708.0</v>
      </c>
      <c r="N39" s="14">
        <v>20.0</v>
      </c>
      <c r="O39" s="19"/>
      <c r="P39" s="16">
        <v>40187.52563657407</v>
      </c>
      <c r="Q39" s="10" t="s">
        <v>1908</v>
      </c>
      <c r="R39" s="10" t="s">
        <v>1909</v>
      </c>
      <c r="S39" s="11" t="s">
        <v>1910</v>
      </c>
      <c r="T39" s="12"/>
      <c r="U39" s="17" t="str">
        <f>HYPERLINK("https://pbs.twimg.com/profile_images/1346158371498577926/mtMa19QQ.jpg","View")</f>
        <v>View</v>
      </c>
      <c r="V39" s="12"/>
      <c r="W39" s="12"/>
      <c r="X39" s="12"/>
      <c r="Y39" s="12"/>
      <c r="Z39" s="12"/>
    </row>
    <row r="40">
      <c r="A40" s="8">
        <v>44222.383368055554</v>
      </c>
      <c r="B40" s="9" t="str">
        <f>HYPERLINK("https://twitter.com/RosarioLinaM","@RosarioLinaM")</f>
        <v>@RosarioLinaM</v>
      </c>
      <c r="C40" s="10" t="s">
        <v>2017</v>
      </c>
      <c r="D40" s="10" t="s">
        <v>2018</v>
      </c>
      <c r="E40" s="9" t="str">
        <f>HYPERLINK("https://twitter.com/RosarioLinaM/status/1354084694325919747","1354084694325919747")</f>
        <v>1354084694325919747</v>
      </c>
      <c r="F40" s="10" t="s">
        <v>2019</v>
      </c>
      <c r="G40" s="11" t="s">
        <v>2020</v>
      </c>
      <c r="H40" s="12"/>
      <c r="I40" s="13">
        <v>0.0</v>
      </c>
      <c r="J40" s="13">
        <v>0.0</v>
      </c>
      <c r="K40" s="9" t="str">
        <f t="shared" ref="K40:K41" si="11">HYPERLINK("http://twitter.com/download/android","Twitter for Android")</f>
        <v>Twitter for Android</v>
      </c>
      <c r="L40" s="14">
        <v>418.0</v>
      </c>
      <c r="M40" s="14">
        <v>1634.0</v>
      </c>
      <c r="N40" s="14">
        <v>1.0</v>
      </c>
      <c r="O40" s="19"/>
      <c r="P40" s="16">
        <v>41151.926157407404</v>
      </c>
      <c r="Q40" s="12"/>
      <c r="R40" s="10" t="s">
        <v>2021</v>
      </c>
      <c r="S40" s="12"/>
      <c r="T40" s="12"/>
      <c r="U40" s="17" t="str">
        <f>HYPERLINK("https://pbs.twimg.com/profile_images/498189132540047362/xcQU_6-X.jpeg","View")</f>
        <v>View</v>
      </c>
      <c r="V40" s="12"/>
      <c r="W40" s="12"/>
      <c r="X40" s="12"/>
      <c r="Y40" s="12"/>
      <c r="Z40" s="12"/>
    </row>
    <row r="41">
      <c r="A41" s="8">
        <v>44222.376192129625</v>
      </c>
      <c r="B41" s="9" t="str">
        <f>HYPERLINK("https://twitter.com/redroad00","@redroad00")</f>
        <v>@redroad00</v>
      </c>
      <c r="C41" s="10" t="s">
        <v>2022</v>
      </c>
      <c r="D41" s="10" t="s">
        <v>2023</v>
      </c>
      <c r="E41" s="9" t="str">
        <f>HYPERLINK("https://twitter.com/redroad00/status/1354082095006625793","1354082095006625793")</f>
        <v>1354082095006625793</v>
      </c>
      <c r="F41" s="12"/>
      <c r="G41" s="12"/>
      <c r="H41" s="12"/>
      <c r="I41" s="13">
        <v>0.0</v>
      </c>
      <c r="J41" s="13">
        <v>1.0</v>
      </c>
      <c r="K41" s="9" t="str">
        <f t="shared" si="11"/>
        <v>Twitter for Android</v>
      </c>
      <c r="L41" s="14">
        <v>36.0</v>
      </c>
      <c r="M41" s="14">
        <v>320.0</v>
      </c>
      <c r="N41" s="14">
        <v>0.0</v>
      </c>
      <c r="O41" s="19"/>
      <c r="P41" s="16">
        <v>41981.83012731481</v>
      </c>
      <c r="Q41" s="12"/>
      <c r="R41" s="10" t="s">
        <v>2024</v>
      </c>
      <c r="S41" s="12"/>
      <c r="T41" s="12"/>
      <c r="U41" s="17" t="str">
        <f>HYPERLINK("https://pbs.twimg.com/profile_images/544249510177046531/i29pfv6y.jpeg","View")</f>
        <v>View</v>
      </c>
      <c r="V41" s="12"/>
      <c r="W41" s="12"/>
      <c r="X41" s="12"/>
      <c r="Y41" s="12"/>
      <c r="Z41" s="12"/>
    </row>
    <row r="42">
      <c r="A42" s="8">
        <v>44222.36759259259</v>
      </c>
      <c r="B42" s="9" t="str">
        <f>HYPERLINK("https://twitter.com/espejohernandez","@espejohernandez")</f>
        <v>@espejohernandez</v>
      </c>
      <c r="C42" s="10" t="s">
        <v>1905</v>
      </c>
      <c r="D42" s="10" t="s">
        <v>2025</v>
      </c>
      <c r="E42" s="9" t="str">
        <f>HYPERLINK("https://twitter.com/espejohernandez/status/1354078976109670400","1354078976109670400")</f>
        <v>1354078976109670400</v>
      </c>
      <c r="F42" s="12"/>
      <c r="G42" s="11" t="s">
        <v>2026</v>
      </c>
      <c r="H42" s="12"/>
      <c r="I42" s="13">
        <v>0.0</v>
      </c>
      <c r="J42" s="13">
        <v>0.0</v>
      </c>
      <c r="K42" s="9" t="str">
        <f t="shared" ref="K42:K46" si="12">HYPERLINK("http://twitter.com/download/iphone","Twitter for iPhone")</f>
        <v>Twitter for iPhone</v>
      </c>
      <c r="L42" s="14">
        <v>2259.0</v>
      </c>
      <c r="M42" s="14">
        <v>708.0</v>
      </c>
      <c r="N42" s="14">
        <v>20.0</v>
      </c>
      <c r="O42" s="19"/>
      <c r="P42" s="16">
        <v>40187.52563657407</v>
      </c>
      <c r="Q42" s="10" t="s">
        <v>1908</v>
      </c>
      <c r="R42" s="10" t="s">
        <v>1909</v>
      </c>
      <c r="S42" s="11" t="s">
        <v>1910</v>
      </c>
      <c r="T42" s="12"/>
      <c r="U42" s="17" t="str">
        <f>HYPERLINK("https://pbs.twimg.com/profile_images/1346158371498577926/mtMa19QQ.jpg","View")</f>
        <v>View</v>
      </c>
      <c r="V42" s="12"/>
      <c r="W42" s="12"/>
      <c r="X42" s="12"/>
      <c r="Y42" s="12"/>
      <c r="Z42" s="12"/>
    </row>
    <row r="43">
      <c r="A43" s="8">
        <v>44222.36650462963</v>
      </c>
      <c r="B43" s="9" t="str">
        <f>HYPERLINK("https://twitter.com/glous1","@glous1")</f>
        <v>@glous1</v>
      </c>
      <c r="C43" s="10" t="s">
        <v>2027</v>
      </c>
      <c r="D43" s="10" t="s">
        <v>2028</v>
      </c>
      <c r="E43" s="9" t="str">
        <f>HYPERLINK("https://twitter.com/glous1/status/1354078583224995840","1354078583224995840")</f>
        <v>1354078583224995840</v>
      </c>
      <c r="F43" s="11" t="s">
        <v>2029</v>
      </c>
      <c r="G43" s="11" t="s">
        <v>2030</v>
      </c>
      <c r="H43" s="12"/>
      <c r="I43" s="13">
        <v>0.0</v>
      </c>
      <c r="J43" s="13">
        <v>1.0</v>
      </c>
      <c r="K43" s="9" t="str">
        <f t="shared" si="12"/>
        <v>Twitter for iPhone</v>
      </c>
      <c r="L43" s="14">
        <v>1557.0</v>
      </c>
      <c r="M43" s="14">
        <v>1665.0</v>
      </c>
      <c r="N43" s="14">
        <v>9.0</v>
      </c>
      <c r="O43" s="19"/>
      <c r="P43" s="16">
        <v>40192.48202546296</v>
      </c>
      <c r="Q43" s="10" t="s">
        <v>2031</v>
      </c>
      <c r="R43" s="10" t="s">
        <v>2032</v>
      </c>
      <c r="S43" s="12"/>
      <c r="T43" s="12"/>
      <c r="U43" s="17" t="str">
        <f>HYPERLINK("https://pbs.twimg.com/profile_images/1233617274394812416/fRyJw-2_.jpg","View")</f>
        <v>View</v>
      </c>
      <c r="V43" s="12"/>
      <c r="W43" s="12"/>
      <c r="X43" s="12"/>
      <c r="Y43" s="12"/>
      <c r="Z43" s="12"/>
    </row>
    <row r="44">
      <c r="A44" s="8">
        <v>44222.36175925926</v>
      </c>
      <c r="B44" s="9" t="str">
        <f>HYPERLINK("https://twitter.com/ALBERTOOSEGUERA","@ALBERTOOSEGUERA")</f>
        <v>@ALBERTOOSEGUERA</v>
      </c>
      <c r="C44" s="10" t="s">
        <v>1951</v>
      </c>
      <c r="D44" s="10" t="s">
        <v>2033</v>
      </c>
      <c r="E44" s="9" t="str">
        <f>HYPERLINK("https://twitter.com/ALBERTOOSEGUERA/status/1354076864646680577","1354076864646680577")</f>
        <v>1354076864646680577</v>
      </c>
      <c r="F44" s="10" t="s">
        <v>2034</v>
      </c>
      <c r="G44" s="12"/>
      <c r="H44" s="12"/>
      <c r="I44" s="13">
        <v>0.0</v>
      </c>
      <c r="J44" s="13">
        <v>0.0</v>
      </c>
      <c r="K44" s="9" t="str">
        <f t="shared" si="12"/>
        <v>Twitter for iPhone</v>
      </c>
      <c r="L44" s="14">
        <v>349.0</v>
      </c>
      <c r="M44" s="14">
        <v>707.0</v>
      </c>
      <c r="N44" s="14">
        <v>0.0</v>
      </c>
      <c r="O44" s="19"/>
      <c r="P44" s="16">
        <v>40446.90454861111</v>
      </c>
      <c r="Q44" s="10" t="s">
        <v>1649</v>
      </c>
      <c r="R44" s="10" t="s">
        <v>1954</v>
      </c>
      <c r="S44" s="12"/>
      <c r="T44" s="12"/>
      <c r="U44" s="17" t="str">
        <f>HYPERLINK("https://pbs.twimg.com/profile_images/1350947524631265291/qElNhTKX.jpg","View")</f>
        <v>View</v>
      </c>
      <c r="V44" s="12"/>
      <c r="W44" s="12"/>
      <c r="X44" s="12"/>
      <c r="Y44" s="12"/>
      <c r="Z44" s="12"/>
    </row>
    <row r="45">
      <c r="A45" s="8">
        <v>44222.35864583333</v>
      </c>
      <c r="B45" s="9" t="str">
        <f>HYPERLINK("https://twitter.com/JuanAdanT","@JuanAdanT")</f>
        <v>@JuanAdanT</v>
      </c>
      <c r="C45" s="10" t="s">
        <v>2035</v>
      </c>
      <c r="D45" s="10" t="s">
        <v>2036</v>
      </c>
      <c r="E45" s="9" t="str">
        <f>HYPERLINK("https://twitter.com/JuanAdanT/status/1354075733556080640","1354075733556080640")</f>
        <v>1354075733556080640</v>
      </c>
      <c r="F45" s="10" t="s">
        <v>2037</v>
      </c>
      <c r="G45" s="12"/>
      <c r="H45" s="12"/>
      <c r="I45" s="13">
        <v>0.0</v>
      </c>
      <c r="J45" s="13">
        <v>0.0</v>
      </c>
      <c r="K45" s="9" t="str">
        <f t="shared" si="12"/>
        <v>Twitter for iPhone</v>
      </c>
      <c r="L45" s="14">
        <v>259.0</v>
      </c>
      <c r="M45" s="14">
        <v>1061.0</v>
      </c>
      <c r="N45" s="14">
        <v>3.0</v>
      </c>
      <c r="O45" s="19"/>
      <c r="P45" s="16">
        <v>41428.84511574074</v>
      </c>
      <c r="Q45" s="12"/>
      <c r="R45" s="10" t="s">
        <v>2038</v>
      </c>
      <c r="S45" s="12"/>
      <c r="T45" s="12"/>
      <c r="U45" s="17" t="str">
        <f>HYPERLINK("https://pbs.twimg.com/profile_images/1014464693401018368/p0AP6NzR.jpg","View")</f>
        <v>View</v>
      </c>
      <c r="V45" s="12"/>
      <c r="W45" s="12"/>
      <c r="X45" s="12"/>
      <c r="Y45" s="12"/>
      <c r="Z45" s="12"/>
    </row>
    <row r="46">
      <c r="A46" s="8">
        <v>44222.357881944445</v>
      </c>
      <c r="B46" s="9" t="str">
        <f>HYPERLINK("https://twitter.com/christianghz","@christianghz")</f>
        <v>@christianghz</v>
      </c>
      <c r="C46" s="10" t="s">
        <v>2039</v>
      </c>
      <c r="D46" s="10" t="s">
        <v>2040</v>
      </c>
      <c r="E46" s="9" t="str">
        <f>HYPERLINK("https://twitter.com/christianghz/status/1354075460183982082","1354075460183982082")</f>
        <v>1354075460183982082</v>
      </c>
      <c r="F46" s="11" t="s">
        <v>2041</v>
      </c>
      <c r="G46" s="12"/>
      <c r="H46" s="12"/>
      <c r="I46" s="13">
        <v>0.0</v>
      </c>
      <c r="J46" s="13">
        <v>0.0</v>
      </c>
      <c r="K46" s="9" t="str">
        <f t="shared" si="12"/>
        <v>Twitter for iPhone</v>
      </c>
      <c r="L46" s="14">
        <v>933.0</v>
      </c>
      <c r="M46" s="14">
        <v>2203.0</v>
      </c>
      <c r="N46" s="14">
        <v>7.0</v>
      </c>
      <c r="O46" s="19"/>
      <c r="P46" s="16">
        <v>40897.062893518516</v>
      </c>
      <c r="Q46" s="10" t="s">
        <v>2042</v>
      </c>
      <c r="R46" s="10" t="s">
        <v>2043</v>
      </c>
      <c r="S46" s="11" t="s">
        <v>2044</v>
      </c>
      <c r="T46" s="12"/>
      <c r="U46" s="17" t="str">
        <f>HYPERLINK("https://pbs.twimg.com/profile_images/1353202060628549632/I9WFovGj.jpg","View")</f>
        <v>View</v>
      </c>
      <c r="V46" s="12"/>
      <c r="W46" s="12"/>
      <c r="X46" s="12"/>
      <c r="Y46" s="12"/>
      <c r="Z46" s="12"/>
    </row>
    <row r="47">
      <c r="A47" s="8">
        <v>44222.35710648148</v>
      </c>
      <c r="B47" s="9" t="str">
        <f>HYPERLINK("https://twitter.com/jorgebarrivivas","@jorgebarrivivas")</f>
        <v>@jorgebarrivivas</v>
      </c>
      <c r="C47" s="10" t="s">
        <v>2045</v>
      </c>
      <c r="D47" s="10" t="s">
        <v>2046</v>
      </c>
      <c r="E47" s="9" t="str">
        <f>HYPERLINK("https://twitter.com/jorgebarrivivas/status/1354075179681505283","1354075179681505283")</f>
        <v>1354075179681505283</v>
      </c>
      <c r="F47" s="11" t="s">
        <v>500</v>
      </c>
      <c r="G47" s="12"/>
      <c r="H47" s="12"/>
      <c r="I47" s="13">
        <v>0.0</v>
      </c>
      <c r="J47" s="13">
        <v>0.0</v>
      </c>
      <c r="K47" s="9" t="str">
        <f t="shared" ref="K47:K48" si="13">HYPERLINK("http://twitter.com/download/android","Twitter for Android")</f>
        <v>Twitter for Android</v>
      </c>
      <c r="L47" s="14">
        <v>2895.0</v>
      </c>
      <c r="M47" s="14">
        <v>2946.0</v>
      </c>
      <c r="N47" s="14">
        <v>7.0</v>
      </c>
      <c r="O47" s="19"/>
      <c r="P47" s="16">
        <v>41015.38877314815</v>
      </c>
      <c r="Q47" s="12"/>
      <c r="R47" s="10" t="s">
        <v>2047</v>
      </c>
      <c r="S47" s="12"/>
      <c r="T47" s="12"/>
      <c r="U47" s="17" t="str">
        <f>HYPERLINK("https://pbs.twimg.com/profile_images/1268333412005314561/mJayYYl4.jpg","View")</f>
        <v>View</v>
      </c>
      <c r="V47" s="12"/>
      <c r="W47" s="12"/>
      <c r="X47" s="12"/>
      <c r="Y47" s="12"/>
      <c r="Z47" s="12"/>
    </row>
    <row r="48">
      <c r="A48" s="8">
        <v>44222.35706018518</v>
      </c>
      <c r="B48" s="9" t="str">
        <f>HYPERLINK("https://twitter.com/JesusMichelMx","@JesusMichelMx")</f>
        <v>@JesusMichelMx</v>
      </c>
      <c r="C48" s="10" t="s">
        <v>2048</v>
      </c>
      <c r="D48" s="10" t="s">
        <v>2049</v>
      </c>
      <c r="E48" s="9" t="str">
        <f>HYPERLINK("https://twitter.com/JesusMichelMx/status/1354075160303828995","1354075160303828995")</f>
        <v>1354075160303828995</v>
      </c>
      <c r="F48" s="11" t="s">
        <v>2050</v>
      </c>
      <c r="G48" s="12"/>
      <c r="H48" s="12"/>
      <c r="I48" s="13">
        <v>0.0</v>
      </c>
      <c r="J48" s="13">
        <v>0.0</v>
      </c>
      <c r="K48" s="9" t="str">
        <f t="shared" si="13"/>
        <v>Twitter for Android</v>
      </c>
      <c r="L48" s="14">
        <v>658.0</v>
      </c>
      <c r="M48" s="14">
        <v>683.0</v>
      </c>
      <c r="N48" s="14">
        <v>12.0</v>
      </c>
      <c r="O48" s="19"/>
      <c r="P48" s="16">
        <v>40659.85780092592</v>
      </c>
      <c r="Q48" s="10" t="s">
        <v>325</v>
      </c>
      <c r="R48" s="10" t="s">
        <v>2051</v>
      </c>
      <c r="S48" s="11" t="s">
        <v>2052</v>
      </c>
      <c r="T48" s="12"/>
      <c r="U48" s="17" t="str">
        <f>HYPERLINK("https://pbs.twimg.com/profile_images/880171058199838720/f_GU5gQa.jpg","View")</f>
        <v>View</v>
      </c>
      <c r="V48" s="12"/>
      <c r="W48" s="12"/>
      <c r="X48" s="12"/>
      <c r="Y48" s="12"/>
      <c r="Z48" s="12"/>
    </row>
    <row r="49">
      <c r="A49" s="8">
        <v>44222.35283564815</v>
      </c>
      <c r="B49" s="9" t="str">
        <f>HYPERLINK("https://twitter.com/espejohernandez","@espejohernandez")</f>
        <v>@espejohernandez</v>
      </c>
      <c r="C49" s="10" t="s">
        <v>1905</v>
      </c>
      <c r="D49" s="10" t="s">
        <v>2053</v>
      </c>
      <c r="E49" s="9" t="str">
        <f>HYPERLINK("https://twitter.com/espejohernandez/status/1354073630456442881","1354073630456442881")</f>
        <v>1354073630456442881</v>
      </c>
      <c r="F49" s="12"/>
      <c r="G49" s="11" t="s">
        <v>2054</v>
      </c>
      <c r="H49" s="12"/>
      <c r="I49" s="13">
        <v>1.0</v>
      </c>
      <c r="J49" s="13">
        <v>0.0</v>
      </c>
      <c r="K49" s="9" t="str">
        <f>HYPERLINK("http://twitter.com/download/iphone","Twitter for iPhone")</f>
        <v>Twitter for iPhone</v>
      </c>
      <c r="L49" s="14">
        <v>2259.0</v>
      </c>
      <c r="M49" s="14">
        <v>708.0</v>
      </c>
      <c r="N49" s="14">
        <v>20.0</v>
      </c>
      <c r="O49" s="19"/>
      <c r="P49" s="16">
        <v>40187.52563657407</v>
      </c>
      <c r="Q49" s="10" t="s">
        <v>1908</v>
      </c>
      <c r="R49" s="10" t="s">
        <v>1909</v>
      </c>
      <c r="S49" s="11" t="s">
        <v>1910</v>
      </c>
      <c r="T49" s="12"/>
      <c r="U49" s="17" t="str">
        <f>HYPERLINK("https://pbs.twimg.com/profile_images/1346158371498577926/mtMa19QQ.jpg","View")</f>
        <v>View</v>
      </c>
      <c r="V49" s="12"/>
      <c r="W49" s="12"/>
      <c r="X49" s="12"/>
      <c r="Y49" s="12"/>
      <c r="Z49" s="12"/>
    </row>
    <row r="50">
      <c r="A50" s="8">
        <v>44222.35013888888</v>
      </c>
      <c r="B50" s="9" t="str">
        <f>HYPERLINK("https://twitter.com/monteror32","@monteror32")</f>
        <v>@monteror32</v>
      </c>
      <c r="C50" s="10" t="s">
        <v>2055</v>
      </c>
      <c r="D50" s="10" t="s">
        <v>2056</v>
      </c>
      <c r="E50" s="9" t="str">
        <f>HYPERLINK("https://twitter.com/monteror32/status/1354072652176998401","1354072652176998401")</f>
        <v>1354072652176998401</v>
      </c>
      <c r="F50" s="12"/>
      <c r="G50" s="12"/>
      <c r="H50" s="12"/>
      <c r="I50" s="13">
        <v>4.0</v>
      </c>
      <c r="J50" s="13">
        <v>4.0</v>
      </c>
      <c r="K50" s="9" t="str">
        <f>HYPERLINK("https://mobile.twitter.com","Twitter Web App")</f>
        <v>Twitter Web App</v>
      </c>
      <c r="L50" s="14">
        <v>1932.0</v>
      </c>
      <c r="M50" s="14">
        <v>1372.0</v>
      </c>
      <c r="N50" s="14">
        <v>16.0</v>
      </c>
      <c r="O50" s="19"/>
      <c r="P50" s="16">
        <v>39989.37725694444</v>
      </c>
      <c r="Q50" s="10" t="s">
        <v>325</v>
      </c>
      <c r="R50" s="10" t="s">
        <v>2057</v>
      </c>
      <c r="S50" s="12"/>
      <c r="T50" s="12"/>
      <c r="U50" s="17" t="str">
        <f>HYPERLINK("https://pbs.twimg.com/profile_images/1333637230665949184/Ju7MjKi5.jpg","View")</f>
        <v>View</v>
      </c>
      <c r="V50" s="12"/>
      <c r="W50" s="12"/>
      <c r="X50" s="12"/>
      <c r="Y50" s="12"/>
      <c r="Z50" s="12"/>
    </row>
    <row r="51">
      <c r="A51" s="8">
        <v>44222.34748842593</v>
      </c>
      <c r="B51" s="9" t="str">
        <f>HYPERLINK("https://twitter.com/espejohernandez","@espejohernandez")</f>
        <v>@espejohernandez</v>
      </c>
      <c r="C51" s="10" t="s">
        <v>1905</v>
      </c>
      <c r="D51" s="10" t="s">
        <v>2058</v>
      </c>
      <c r="E51" s="9" t="str">
        <f>HYPERLINK("https://twitter.com/espejohernandez/status/1354071692490862597","1354071692490862597")</f>
        <v>1354071692490862597</v>
      </c>
      <c r="F51" s="12"/>
      <c r="G51" s="11" t="s">
        <v>2059</v>
      </c>
      <c r="H51" s="12"/>
      <c r="I51" s="13">
        <v>1.0</v>
      </c>
      <c r="J51" s="13">
        <v>2.0</v>
      </c>
      <c r="K51" s="9" t="str">
        <f>HYPERLINK("http://twitter.com/download/iphone","Twitter for iPhone")</f>
        <v>Twitter for iPhone</v>
      </c>
      <c r="L51" s="14">
        <v>2259.0</v>
      </c>
      <c r="M51" s="14">
        <v>708.0</v>
      </c>
      <c r="N51" s="14">
        <v>20.0</v>
      </c>
      <c r="O51" s="19"/>
      <c r="P51" s="16">
        <v>40187.52563657407</v>
      </c>
      <c r="Q51" s="10" t="s">
        <v>1908</v>
      </c>
      <c r="R51" s="10" t="s">
        <v>1909</v>
      </c>
      <c r="S51" s="11" t="s">
        <v>1910</v>
      </c>
      <c r="T51" s="12"/>
      <c r="U51" s="17" t="str">
        <f>HYPERLINK("https://pbs.twimg.com/profile_images/1346158371498577926/mtMa19QQ.jpg","View")</f>
        <v>View</v>
      </c>
      <c r="V51" s="12"/>
      <c r="W51" s="12"/>
      <c r="X51" s="12"/>
      <c r="Y51" s="12"/>
      <c r="Z51" s="12"/>
    </row>
    <row r="52">
      <c r="A52" s="8">
        <v>44222.34581018519</v>
      </c>
      <c r="B52" s="9" t="str">
        <f>HYPERLINK("https://twitter.com/Excelsior","@Excelsior")</f>
        <v>@Excelsior</v>
      </c>
      <c r="C52" s="10" t="s">
        <v>2060</v>
      </c>
      <c r="D52" s="10" t="s">
        <v>2061</v>
      </c>
      <c r="E52" s="9" t="str">
        <f>HYPERLINK("https://twitter.com/Excelsior/status/1354071084287614976","1354071084287614976")</f>
        <v>1354071084287614976</v>
      </c>
      <c r="F52" s="11" t="s">
        <v>2062</v>
      </c>
      <c r="G52" s="11" t="s">
        <v>2063</v>
      </c>
      <c r="H52" s="12"/>
      <c r="I52" s="13">
        <v>0.0</v>
      </c>
      <c r="J52" s="13">
        <v>3.0</v>
      </c>
      <c r="K52" s="9" t="str">
        <f>HYPERLINK("https://about.twitter.com/products/tweetdeck","TweetDeck")</f>
        <v>TweetDeck</v>
      </c>
      <c r="L52" s="14">
        <v>2009526.0</v>
      </c>
      <c r="M52" s="14">
        <v>827.0</v>
      </c>
      <c r="N52" s="14">
        <v>9038.0</v>
      </c>
      <c r="O52" s="15" t="s">
        <v>24</v>
      </c>
      <c r="P52" s="16">
        <v>40191.84967592593</v>
      </c>
      <c r="Q52" s="10" t="s">
        <v>2064</v>
      </c>
      <c r="R52" s="10" t="s">
        <v>2065</v>
      </c>
      <c r="S52" s="11" t="s">
        <v>2066</v>
      </c>
      <c r="T52" s="12"/>
      <c r="U52" s="17" t="str">
        <f>HYPERLINK("https://pbs.twimg.com/profile_images/1345405822352953344/7J1tL_yV.jpg","View")</f>
        <v>View</v>
      </c>
      <c r="V52" s="12"/>
      <c r="W52" s="12"/>
      <c r="X52" s="12"/>
      <c r="Y52" s="12"/>
      <c r="Z52" s="12"/>
    </row>
    <row r="53">
      <c r="A53" s="8">
        <v>44222.32481481481</v>
      </c>
      <c r="B53" s="9" t="str">
        <f>HYPERLINK("https://twitter.com/LuisDua21365473","@LuisDua21365473")</f>
        <v>@LuisDua21365473</v>
      </c>
      <c r="C53" s="10" t="s">
        <v>2067</v>
      </c>
      <c r="D53" s="10" t="s">
        <v>2068</v>
      </c>
      <c r="E53" s="9" t="str">
        <f>HYPERLINK("https://twitter.com/LuisDua21365473/status/1354063474679279617","1354063474679279617")</f>
        <v>1354063474679279617</v>
      </c>
      <c r="F53" s="11" t="s">
        <v>1148</v>
      </c>
      <c r="G53" s="12"/>
      <c r="H53" s="12"/>
      <c r="I53" s="13">
        <v>3.0</v>
      </c>
      <c r="J53" s="13">
        <v>3.0</v>
      </c>
      <c r="K53" s="9" t="str">
        <f>HYPERLINK("http://twitter.com/download/android","Twitter for Android")</f>
        <v>Twitter for Android</v>
      </c>
      <c r="L53" s="14">
        <v>59.0</v>
      </c>
      <c r="M53" s="14">
        <v>195.0</v>
      </c>
      <c r="N53" s="14">
        <v>0.0</v>
      </c>
      <c r="O53" s="19"/>
      <c r="P53" s="16">
        <v>43382.54253472222</v>
      </c>
      <c r="Q53" s="10" t="s">
        <v>2069</v>
      </c>
      <c r="R53" s="10" t="s">
        <v>2070</v>
      </c>
      <c r="S53" s="12"/>
      <c r="T53" s="12"/>
      <c r="U53" s="17" t="str">
        <f>HYPERLINK("https://pbs.twimg.com/profile_images/1300049142350319618/h4Kqm-sy.jpg","View")</f>
        <v>View</v>
      </c>
      <c r="V53" s="12"/>
      <c r="W53" s="12"/>
      <c r="X53" s="12"/>
      <c r="Y53" s="12"/>
      <c r="Z53" s="12"/>
    </row>
    <row r="54">
      <c r="A54" s="8">
        <v>44222.28671296296</v>
      </c>
      <c r="B54" s="9" t="str">
        <f>HYPERLINK("https://twitter.com/diaz_manuel","@diaz_manuel")</f>
        <v>@diaz_manuel</v>
      </c>
      <c r="C54" s="10" t="s">
        <v>2071</v>
      </c>
      <c r="D54" s="10" t="s">
        <v>2072</v>
      </c>
      <c r="E54" s="9" t="str">
        <f>HYPERLINK("https://twitter.com/diaz_manuel/status/1354049669316403201","1354049669316403201")</f>
        <v>1354049669316403201</v>
      </c>
      <c r="F54" s="11" t="s">
        <v>2041</v>
      </c>
      <c r="G54" s="12"/>
      <c r="H54" s="12"/>
      <c r="I54" s="13">
        <v>0.0</v>
      </c>
      <c r="J54" s="13">
        <v>0.0</v>
      </c>
      <c r="K54" s="9" t="str">
        <f>HYPERLINK("http://twitter.com/download/iphone","Twitter for iPhone")</f>
        <v>Twitter for iPhone</v>
      </c>
      <c r="L54" s="14">
        <v>35632.0</v>
      </c>
      <c r="M54" s="14">
        <v>15988.0</v>
      </c>
      <c r="N54" s="14">
        <v>201.0</v>
      </c>
      <c r="O54" s="15" t="s">
        <v>24</v>
      </c>
      <c r="P54" s="16">
        <v>40381.47358796296</v>
      </c>
      <c r="Q54" s="10" t="s">
        <v>2073</v>
      </c>
      <c r="R54" s="10" t="s">
        <v>2074</v>
      </c>
      <c r="S54" s="11" t="s">
        <v>2075</v>
      </c>
      <c r="T54" s="12"/>
      <c r="U54" s="17" t="str">
        <f>HYPERLINK("https://pbs.twimg.com/profile_images/890980205551955969/VAGFgv6Y.jpg","View")</f>
        <v>View</v>
      </c>
      <c r="V54" s="12"/>
      <c r="W54" s="12"/>
      <c r="X54" s="12"/>
      <c r="Y54" s="12"/>
      <c r="Z54" s="12"/>
    </row>
    <row r="55">
      <c r="A55" s="8">
        <v>44222.26701388889</v>
      </c>
      <c r="B55" s="9" t="str">
        <f>HYPERLINK("https://twitter.com/HistoriaPedro","@HistoriaPedro")</f>
        <v>@HistoriaPedro</v>
      </c>
      <c r="C55" s="10" t="s">
        <v>2076</v>
      </c>
      <c r="D55" s="10" t="s">
        <v>2077</v>
      </c>
      <c r="E55" s="9" t="str">
        <f>HYPERLINK("https://twitter.com/HistoriaPedro/status/1354042527586820098","1354042527586820098")</f>
        <v>1354042527586820098</v>
      </c>
      <c r="F55" s="11" t="s">
        <v>2078</v>
      </c>
      <c r="G55" s="12"/>
      <c r="H55" s="12"/>
      <c r="I55" s="13">
        <v>8.0</v>
      </c>
      <c r="J55" s="13">
        <v>17.0</v>
      </c>
      <c r="K55" s="9" t="str">
        <f>HYPERLINK("https://mobile.twitter.com","Twitter Web App")</f>
        <v>Twitter Web App</v>
      </c>
      <c r="L55" s="14">
        <v>53886.0</v>
      </c>
      <c r="M55" s="14">
        <v>4498.0</v>
      </c>
      <c r="N55" s="14">
        <v>198.0</v>
      </c>
      <c r="O55" s="19"/>
      <c r="P55" s="16">
        <v>42234.31563657407</v>
      </c>
      <c r="Q55" s="10" t="s">
        <v>2079</v>
      </c>
      <c r="R55" s="10" t="s">
        <v>2080</v>
      </c>
      <c r="S55" s="11" t="s">
        <v>2081</v>
      </c>
      <c r="T55" s="12"/>
      <c r="U55" s="17" t="str">
        <f>HYPERLINK("https://pbs.twimg.com/profile_images/1340282522714988546/LS_ykb9d.jpg","View")</f>
        <v>View</v>
      </c>
      <c r="V55" s="12"/>
      <c r="W55" s="12"/>
      <c r="X55" s="12"/>
      <c r="Y55" s="12"/>
      <c r="Z55" s="12"/>
    </row>
    <row r="56">
      <c r="A56" s="8">
        <v>44222.24255787037</v>
      </c>
      <c r="B56" s="9" t="str">
        <f>HYPERLINK("https://twitter.com/JesusMichelMx","@JesusMichelMx")</f>
        <v>@JesusMichelMx</v>
      </c>
      <c r="C56" s="10" t="s">
        <v>2048</v>
      </c>
      <c r="D56" s="10" t="s">
        <v>2082</v>
      </c>
      <c r="E56" s="9" t="str">
        <f>HYPERLINK("https://twitter.com/JesusMichelMx/status/1354033665676894213","1354033665676894213")</f>
        <v>1354033665676894213</v>
      </c>
      <c r="F56" s="11" t="s">
        <v>2083</v>
      </c>
      <c r="G56" s="12"/>
      <c r="H56" s="12"/>
      <c r="I56" s="13">
        <v>0.0</v>
      </c>
      <c r="J56" s="13">
        <v>0.0</v>
      </c>
      <c r="K56" s="9" t="str">
        <f>HYPERLINK("http://twitter.com/download/android","Twitter for Android")</f>
        <v>Twitter for Android</v>
      </c>
      <c r="L56" s="14">
        <v>658.0</v>
      </c>
      <c r="M56" s="14">
        <v>683.0</v>
      </c>
      <c r="N56" s="14">
        <v>12.0</v>
      </c>
      <c r="O56" s="19"/>
      <c r="P56" s="16">
        <v>40659.85780092592</v>
      </c>
      <c r="Q56" s="10" t="s">
        <v>325</v>
      </c>
      <c r="R56" s="10" t="s">
        <v>2051</v>
      </c>
      <c r="S56" s="11" t="s">
        <v>2052</v>
      </c>
      <c r="T56" s="12"/>
      <c r="U56" s="17" t="str">
        <f>HYPERLINK("https://pbs.twimg.com/profile_images/880171058199838720/f_GU5gQa.jpg","View")</f>
        <v>View</v>
      </c>
      <c r="V56" s="12"/>
      <c r="W56" s="12"/>
      <c r="X56" s="12"/>
      <c r="Y56" s="12"/>
      <c r="Z56" s="12"/>
    </row>
    <row r="57">
      <c r="A57" s="8">
        <v>44222.169965277775</v>
      </c>
      <c r="B57" s="9" t="str">
        <f>HYPERLINK("https://twitter.com/hectorcasto53","@hectorcasto53")</f>
        <v>@hectorcasto53</v>
      </c>
      <c r="C57" s="10" t="s">
        <v>2084</v>
      </c>
      <c r="D57" s="10" t="s">
        <v>2085</v>
      </c>
      <c r="E57" s="9" t="str">
        <f>HYPERLINK("https://twitter.com/hectorcasto53/status/1354007360017207296","1354007360017207296")</f>
        <v>1354007360017207296</v>
      </c>
      <c r="F57" s="11" t="s">
        <v>2041</v>
      </c>
      <c r="G57" s="12"/>
      <c r="H57" s="12"/>
      <c r="I57" s="13">
        <v>0.0</v>
      </c>
      <c r="J57" s="13">
        <v>0.0</v>
      </c>
      <c r="K57" s="9" t="str">
        <f t="shared" ref="K57:K58" si="14">HYPERLINK("http://twitter.com/download/iphone","Twitter for iPhone")</f>
        <v>Twitter for iPhone</v>
      </c>
      <c r="L57" s="14">
        <v>2443.0</v>
      </c>
      <c r="M57" s="14">
        <v>1083.0</v>
      </c>
      <c r="N57" s="14">
        <v>35.0</v>
      </c>
      <c r="O57" s="19"/>
      <c r="P57" s="16">
        <v>41178.68616898148</v>
      </c>
      <c r="Q57" s="10" t="s">
        <v>2086</v>
      </c>
      <c r="R57" s="10" t="s">
        <v>2087</v>
      </c>
      <c r="S57" s="11" t="s">
        <v>2088</v>
      </c>
      <c r="T57" s="12"/>
      <c r="U57" s="17" t="str">
        <f>HYPERLINK("https://pbs.twimg.com/profile_images/703264933035667456/JP0b742t.jpg","View")</f>
        <v>View</v>
      </c>
      <c r="V57" s="12"/>
      <c r="W57" s="12"/>
      <c r="X57" s="12"/>
      <c r="Y57" s="12"/>
      <c r="Z57" s="12"/>
    </row>
    <row r="58">
      <c r="A58" s="8">
        <v>44222.16988425926</v>
      </c>
      <c r="B58" s="9" t="str">
        <f>HYPERLINK("https://twitter.com/mesa_plural","@mesa_plural")</f>
        <v>@mesa_plural</v>
      </c>
      <c r="C58" s="10" t="s">
        <v>2089</v>
      </c>
      <c r="D58" s="10" t="s">
        <v>2085</v>
      </c>
      <c r="E58" s="9" t="str">
        <f>HYPERLINK("https://twitter.com/mesa_plural/status/1354007330443165697","1354007330443165697")</f>
        <v>1354007330443165697</v>
      </c>
      <c r="F58" s="11" t="s">
        <v>2041</v>
      </c>
      <c r="G58" s="12"/>
      <c r="H58" s="12"/>
      <c r="I58" s="13">
        <v>0.0</v>
      </c>
      <c r="J58" s="13">
        <v>1.0</v>
      </c>
      <c r="K58" s="9" t="str">
        <f t="shared" si="14"/>
        <v>Twitter for iPhone</v>
      </c>
      <c r="L58" s="14">
        <v>1498.0</v>
      </c>
      <c r="M58" s="14">
        <v>529.0</v>
      </c>
      <c r="N58" s="14">
        <v>26.0</v>
      </c>
      <c r="O58" s="19"/>
      <c r="P58" s="16">
        <v>41178.69232638889</v>
      </c>
      <c r="Q58" s="10" t="s">
        <v>2090</v>
      </c>
      <c r="R58" s="12"/>
      <c r="S58" s="12"/>
      <c r="T58" s="12"/>
      <c r="U58" s="17" t="str">
        <f>HYPERLINK("https://pbs.twimg.com/profile_images/497244630866747392/TemYDJIk.jpeg","View")</f>
        <v>View</v>
      </c>
      <c r="V58" s="12"/>
      <c r="W58" s="12"/>
      <c r="X58" s="12"/>
      <c r="Y58" s="12"/>
      <c r="Z58" s="12"/>
    </row>
    <row r="59">
      <c r="A59" s="8">
        <v>44222.138194444444</v>
      </c>
      <c r="B59" s="9" t="str">
        <f>HYPERLINK("https://twitter.com/NacionalBase","@NacionalBase")</f>
        <v>@NacionalBase</v>
      </c>
      <c r="C59" s="10" t="s">
        <v>2091</v>
      </c>
      <c r="D59" s="10" t="s">
        <v>2092</v>
      </c>
      <c r="E59" s="9" t="str">
        <f>HYPERLINK("https://twitter.com/NacionalBase/status/1353995846459695104","1353995846459695104")</f>
        <v>1353995846459695104</v>
      </c>
      <c r="F59" s="10" t="s">
        <v>2093</v>
      </c>
      <c r="G59" s="12"/>
      <c r="H59" s="12"/>
      <c r="I59" s="13">
        <v>0.0</v>
      </c>
      <c r="J59" s="13">
        <v>0.0</v>
      </c>
      <c r="K59" s="9" t="str">
        <f>HYPERLINK("https://mobile.twitter.com","Twitter Web App")</f>
        <v>Twitter Web App</v>
      </c>
      <c r="L59" s="14">
        <v>26.0</v>
      </c>
      <c r="M59" s="14">
        <v>126.0</v>
      </c>
      <c r="N59" s="14">
        <v>0.0</v>
      </c>
      <c r="O59" s="19"/>
      <c r="P59" s="16">
        <v>43326.900231481486</v>
      </c>
      <c r="Q59" s="12"/>
      <c r="R59" s="12"/>
      <c r="S59" s="12"/>
      <c r="T59" s="12"/>
      <c r="U59" s="17" t="str">
        <f>HYPERLINK("https://pbs.twimg.com/profile_images/1029559700356907008/Rn1tQnaM.jpg","View")</f>
        <v>View</v>
      </c>
      <c r="V59" s="12"/>
      <c r="W59" s="12"/>
      <c r="X59" s="12"/>
      <c r="Y59" s="12"/>
      <c r="Z59" s="12"/>
    </row>
    <row r="60">
      <c r="A60" s="8">
        <v>44222.03868055556</v>
      </c>
      <c r="B60" s="9" t="str">
        <f>HYPERLINK("https://twitter.com/zorvha","@zorvha")</f>
        <v>@zorvha</v>
      </c>
      <c r="C60" s="10" t="s">
        <v>2094</v>
      </c>
      <c r="D60" s="10" t="s">
        <v>2095</v>
      </c>
      <c r="E60" s="9" t="str">
        <f>HYPERLINK("https://twitter.com/zorvha/status/1353959782101770242","1353959782101770242")</f>
        <v>1353959782101770242</v>
      </c>
      <c r="F60" s="11" t="s">
        <v>2096</v>
      </c>
      <c r="G60" s="12"/>
      <c r="H60" s="12"/>
      <c r="I60" s="13">
        <v>0.0</v>
      </c>
      <c r="J60" s="13">
        <v>0.0</v>
      </c>
      <c r="K60" s="9" t="str">
        <f>HYPERLINK("http://twitter.com/download/iphone","Twitter for iPhone")</f>
        <v>Twitter for iPhone</v>
      </c>
      <c r="L60" s="14">
        <v>1655.0</v>
      </c>
      <c r="M60" s="14">
        <v>2853.0</v>
      </c>
      <c r="N60" s="14">
        <v>13.0</v>
      </c>
      <c r="O60" s="19"/>
      <c r="P60" s="16">
        <v>40615.45179398148</v>
      </c>
      <c r="Q60" s="11" t="s">
        <v>2097</v>
      </c>
      <c r="R60" s="10" t="s">
        <v>2098</v>
      </c>
      <c r="S60" s="11" t="s">
        <v>2099</v>
      </c>
      <c r="T60" s="12"/>
      <c r="U60" s="17" t="str">
        <f>HYPERLINK("https://pbs.twimg.com/profile_images/1350607499305639938/YgMb1vjq.jpg","View")</f>
        <v>View</v>
      </c>
      <c r="V60" s="12"/>
      <c r="W60" s="12"/>
      <c r="X60" s="12"/>
      <c r="Y60" s="12"/>
      <c r="Z60" s="12"/>
    </row>
    <row r="61">
      <c r="A61" s="8">
        <v>44221.98976851851</v>
      </c>
      <c r="B61" s="9" t="str">
        <f>HYPERLINK("https://twitter.com/homero0012","@homero0012")</f>
        <v>@homero0012</v>
      </c>
      <c r="C61" s="10" t="s">
        <v>2100</v>
      </c>
      <c r="D61" s="10" t="s">
        <v>2101</v>
      </c>
      <c r="E61" s="9" t="str">
        <f>HYPERLINK("https://twitter.com/homero0012/status/1353942059594510336","1353942059594510336")</f>
        <v>1353942059594510336</v>
      </c>
      <c r="F61" s="11" t="s">
        <v>2102</v>
      </c>
      <c r="G61" s="11" t="s">
        <v>2103</v>
      </c>
      <c r="H61" s="12"/>
      <c r="I61" s="13">
        <v>0.0</v>
      </c>
      <c r="J61" s="13">
        <v>0.0</v>
      </c>
      <c r="K61" s="9" t="str">
        <f>HYPERLINK("https://mobile.twitter.com","Twitter Web App")</f>
        <v>Twitter Web App</v>
      </c>
      <c r="L61" s="14">
        <v>98.0</v>
      </c>
      <c r="M61" s="14">
        <v>166.0</v>
      </c>
      <c r="N61" s="14">
        <v>0.0</v>
      </c>
      <c r="O61" s="19"/>
      <c r="P61" s="16">
        <v>43989.95145833334</v>
      </c>
      <c r="Q61" s="10" t="s">
        <v>325</v>
      </c>
      <c r="R61" s="10" t="s">
        <v>2104</v>
      </c>
      <c r="S61" s="12"/>
      <c r="T61" s="12"/>
      <c r="U61" s="17" t="str">
        <f>HYPERLINK("https://pbs.twimg.com/profile_images/1278435315984859138/Wwoyw2wX.jpg","View")</f>
        <v>View</v>
      </c>
      <c r="V61" s="12"/>
      <c r="W61" s="12"/>
      <c r="X61" s="12"/>
      <c r="Y61" s="12"/>
      <c r="Z61" s="12"/>
    </row>
    <row r="62">
      <c r="A62" s="8">
        <v>44221.98533564815</v>
      </c>
      <c r="B62" s="9" t="str">
        <f>HYPERLINK("https://twitter.com/JoseLuisCorTre","@JoseLuisCorTre")</f>
        <v>@JoseLuisCorTre</v>
      </c>
      <c r="C62" s="10" t="s">
        <v>2105</v>
      </c>
      <c r="D62" s="10" t="s">
        <v>2106</v>
      </c>
      <c r="E62" s="9" t="str">
        <f>HYPERLINK("https://twitter.com/JoseLuisCorTre/status/1353940453754859521","1353940453754859521")</f>
        <v>1353940453754859521</v>
      </c>
      <c r="F62" s="12"/>
      <c r="G62" s="11" t="s">
        <v>2107</v>
      </c>
      <c r="H62" s="12"/>
      <c r="I62" s="13">
        <v>1.0</v>
      </c>
      <c r="J62" s="13">
        <v>0.0</v>
      </c>
      <c r="K62" s="9" t="str">
        <f>HYPERLINK("http://twitter.com/download/android","Twitter for Android")</f>
        <v>Twitter for Android</v>
      </c>
      <c r="L62" s="14">
        <v>319.0</v>
      </c>
      <c r="M62" s="14">
        <v>865.0</v>
      </c>
      <c r="N62" s="14">
        <v>12.0</v>
      </c>
      <c r="O62" s="19"/>
      <c r="P62" s="16">
        <v>41474.65300925926</v>
      </c>
      <c r="Q62" s="10" t="s">
        <v>2108</v>
      </c>
      <c r="R62" s="10" t="s">
        <v>2109</v>
      </c>
      <c r="S62" s="12"/>
      <c r="T62" s="12"/>
      <c r="U62" s="17" t="str">
        <f>HYPERLINK("https://pbs.twimg.com/profile_images/482867760645410816/k6-vpRoo.jpeg","View")</f>
        <v>View</v>
      </c>
      <c r="V62" s="12"/>
      <c r="W62" s="12"/>
      <c r="X62" s="12"/>
      <c r="Y62" s="12"/>
      <c r="Z62" s="12"/>
    </row>
    <row r="63">
      <c r="A63" s="8">
        <v>44221.97293981482</v>
      </c>
      <c r="B63" s="9" t="str">
        <f>HYPERLINK("https://twitter.com/homero0012","@homero0012")</f>
        <v>@homero0012</v>
      </c>
      <c r="C63" s="10" t="s">
        <v>2100</v>
      </c>
      <c r="D63" s="10" t="s">
        <v>2110</v>
      </c>
      <c r="E63" s="9" t="str">
        <f>HYPERLINK("https://twitter.com/homero0012/status/1353935961844047873","1353935961844047873")</f>
        <v>1353935961844047873</v>
      </c>
      <c r="F63" s="11" t="s">
        <v>2111</v>
      </c>
      <c r="G63" s="11" t="s">
        <v>2112</v>
      </c>
      <c r="H63" s="12"/>
      <c r="I63" s="13">
        <v>0.0</v>
      </c>
      <c r="J63" s="13">
        <v>0.0</v>
      </c>
      <c r="K63" s="9" t="str">
        <f>HYPERLINK("https://mobile.twitter.com","Twitter Web App")</f>
        <v>Twitter Web App</v>
      </c>
      <c r="L63" s="14">
        <v>98.0</v>
      </c>
      <c r="M63" s="14">
        <v>166.0</v>
      </c>
      <c r="N63" s="14">
        <v>0.0</v>
      </c>
      <c r="O63" s="19"/>
      <c r="P63" s="16">
        <v>43989.95145833334</v>
      </c>
      <c r="Q63" s="10" t="s">
        <v>325</v>
      </c>
      <c r="R63" s="10" t="s">
        <v>2104</v>
      </c>
      <c r="S63" s="12"/>
      <c r="T63" s="12"/>
      <c r="U63" s="17" t="str">
        <f>HYPERLINK("https://pbs.twimg.com/profile_images/1278435315984859138/Wwoyw2wX.jpg","View")</f>
        <v>View</v>
      </c>
      <c r="V63" s="12"/>
      <c r="W63" s="12"/>
      <c r="X63" s="12"/>
      <c r="Y63" s="12"/>
      <c r="Z63" s="12"/>
    </row>
    <row r="64">
      <c r="A64" s="8">
        <v>44221.95759259259</v>
      </c>
      <c r="B64" s="9" t="str">
        <f>HYPERLINK("https://twitter.com/diabloyasociado","@diabloyasociado")</f>
        <v>@diabloyasociado</v>
      </c>
      <c r="C64" s="10" t="s">
        <v>2113</v>
      </c>
      <c r="D64" s="10" t="s">
        <v>2114</v>
      </c>
      <c r="E64" s="9" t="str">
        <f>HYPERLINK("https://twitter.com/diabloyasociado/status/1353930397386756096","1353930397386756096")</f>
        <v>1353930397386756096</v>
      </c>
      <c r="F64" s="10" t="s">
        <v>2115</v>
      </c>
      <c r="G64" s="12"/>
      <c r="H64" s="12"/>
      <c r="I64" s="13">
        <v>0.0</v>
      </c>
      <c r="J64" s="13">
        <v>1.0</v>
      </c>
      <c r="K64" s="9" t="str">
        <f>HYPERLINK("http://twitter.com/download/iphone","Twitter for iPhone")</f>
        <v>Twitter for iPhone</v>
      </c>
      <c r="L64" s="14">
        <v>106.0</v>
      </c>
      <c r="M64" s="14">
        <v>442.0</v>
      </c>
      <c r="N64" s="14">
        <v>0.0</v>
      </c>
      <c r="O64" s="19"/>
      <c r="P64" s="16">
        <v>40469.4725</v>
      </c>
      <c r="Q64" s="10" t="s">
        <v>325</v>
      </c>
      <c r="R64" s="12"/>
      <c r="S64" s="12"/>
      <c r="T64" s="12"/>
      <c r="U64" s="17" t="str">
        <f>HYPERLINK("https://pbs.twimg.com/profile_images/1343794834205716480/SIWEmwcN.jpg","View")</f>
        <v>View</v>
      </c>
      <c r="V64" s="12"/>
      <c r="W64" s="12"/>
      <c r="X64" s="12"/>
      <c r="Y64" s="12"/>
      <c r="Z64" s="12"/>
    </row>
    <row r="65">
      <c r="A65" s="8">
        <v>44221.94255787037</v>
      </c>
      <c r="B65" s="9" t="str">
        <f>HYPERLINK("https://twitter.com/CiprianoChMx","@CiprianoChMx")</f>
        <v>@CiprianoChMx</v>
      </c>
      <c r="C65" s="10" t="s">
        <v>2116</v>
      </c>
      <c r="D65" s="10" t="s">
        <v>2117</v>
      </c>
      <c r="E65" s="9" t="str">
        <f>HYPERLINK("https://twitter.com/CiprianoChMx/status/1353924951296905218","1353924951296905218")</f>
        <v>1353924951296905218</v>
      </c>
      <c r="F65" s="12"/>
      <c r="G65" s="11" t="s">
        <v>2118</v>
      </c>
      <c r="H65" s="12"/>
      <c r="I65" s="13">
        <v>0.0</v>
      </c>
      <c r="J65" s="13">
        <v>0.0</v>
      </c>
      <c r="K65" s="9" t="str">
        <f>HYPERLINK("http://twitter.com/download/android","Twitter for Android")</f>
        <v>Twitter for Android</v>
      </c>
      <c r="L65" s="14">
        <v>841.0</v>
      </c>
      <c r="M65" s="14">
        <v>94.0</v>
      </c>
      <c r="N65" s="14">
        <v>20.0</v>
      </c>
      <c r="O65" s="19"/>
      <c r="P65" s="16">
        <v>42796.577627314815</v>
      </c>
      <c r="Q65" s="10" t="s">
        <v>2119</v>
      </c>
      <c r="R65" s="10" t="s">
        <v>2120</v>
      </c>
      <c r="S65" s="12"/>
      <c r="T65" s="12"/>
      <c r="U65" s="17" t="str">
        <f>HYPERLINK("https://pbs.twimg.com/profile_images/980871470468354048/il7ec3HJ.jpg","View")</f>
        <v>View</v>
      </c>
      <c r="V65" s="12"/>
      <c r="W65" s="12"/>
      <c r="X65" s="12"/>
      <c r="Y65" s="12"/>
      <c r="Z65" s="12"/>
    </row>
    <row r="66">
      <c r="A66" s="8">
        <v>44221.93225694445</v>
      </c>
      <c r="B66" s="9" t="str">
        <f>HYPERLINK("https://twitter.com/Romancito40","@Romancito40")</f>
        <v>@Romancito40</v>
      </c>
      <c r="C66" s="10" t="s">
        <v>2121</v>
      </c>
      <c r="D66" s="10" t="s">
        <v>2122</v>
      </c>
      <c r="E66" s="9" t="str">
        <f>HYPERLINK("https://twitter.com/Romancito40/status/1353921218597056512","1353921218597056512")</f>
        <v>1353921218597056512</v>
      </c>
      <c r="F66" s="11" t="s">
        <v>2123</v>
      </c>
      <c r="G66" s="11" t="s">
        <v>773</v>
      </c>
      <c r="H66" s="12"/>
      <c r="I66" s="13">
        <v>0.0</v>
      </c>
      <c r="J66" s="13">
        <v>0.0</v>
      </c>
      <c r="K66" s="9" t="str">
        <f>HYPERLINK("http://twitter.com/download/iphone","Twitter for iPhone")</f>
        <v>Twitter for iPhone</v>
      </c>
      <c r="L66" s="14">
        <v>6487.0</v>
      </c>
      <c r="M66" s="14">
        <v>2906.0</v>
      </c>
      <c r="N66" s="14">
        <v>51.0</v>
      </c>
      <c r="O66" s="19"/>
      <c r="P66" s="16">
        <v>40113.40537037037</v>
      </c>
      <c r="Q66" s="10" t="s">
        <v>2124</v>
      </c>
      <c r="R66" s="10" t="s">
        <v>2125</v>
      </c>
      <c r="S66" s="12"/>
      <c r="T66" s="12"/>
      <c r="U66" s="17" t="str">
        <f>HYPERLINK("https://pbs.twimg.com/profile_images/1352758184428122112/hjQ_oNOW.jpg","View")</f>
        <v>View</v>
      </c>
      <c r="V66" s="12"/>
      <c r="W66" s="12"/>
      <c r="X66" s="12"/>
      <c r="Y66" s="12"/>
      <c r="Z66" s="12"/>
    </row>
    <row r="67">
      <c r="A67" s="8">
        <v>44221.93019675926</v>
      </c>
      <c r="B67" s="9" t="str">
        <f t="shared" ref="B67:B69" si="15">HYPERLINK("https://twitter.com/IOlmedoO","@IOlmedoO")</f>
        <v>@IOlmedoO</v>
      </c>
      <c r="C67" s="10" t="s">
        <v>2126</v>
      </c>
      <c r="D67" s="10" t="s">
        <v>2127</v>
      </c>
      <c r="E67" s="9" t="str">
        <f>HYPERLINK("https://twitter.com/IOlmedoO/status/1353920471469854720","1353920471469854720")</f>
        <v>1353920471469854720</v>
      </c>
      <c r="F67" s="11" t="s">
        <v>2128</v>
      </c>
      <c r="G67" s="11" t="s">
        <v>2129</v>
      </c>
      <c r="H67" s="12"/>
      <c r="I67" s="13">
        <v>4.0</v>
      </c>
      <c r="J67" s="13">
        <v>5.0</v>
      </c>
      <c r="K67" s="9" t="str">
        <f t="shared" ref="K67:K69" si="16">HYPERLINK("https://mobile.twitter.com","Twitter Web App")</f>
        <v>Twitter Web App</v>
      </c>
      <c r="L67" s="14">
        <v>2333.0</v>
      </c>
      <c r="M67" s="14">
        <v>2400.0</v>
      </c>
      <c r="N67" s="14">
        <v>1.0</v>
      </c>
      <c r="O67" s="19"/>
      <c r="P67" s="16">
        <v>41020.78094907408</v>
      </c>
      <c r="Q67" s="12"/>
      <c r="R67" s="10" t="s">
        <v>2130</v>
      </c>
      <c r="S67" s="12"/>
      <c r="T67" s="12"/>
      <c r="U67" s="17" t="str">
        <f t="shared" ref="U67:U69" si="17">HYPERLINK("https://pbs.twimg.com/profile_images/1305692724671262722/lQdY07JB.jpg","View")</f>
        <v>View</v>
      </c>
      <c r="V67" s="12"/>
      <c r="W67" s="12"/>
      <c r="X67" s="12"/>
      <c r="Y67" s="12"/>
      <c r="Z67" s="12"/>
    </row>
    <row r="68">
      <c r="A68" s="8">
        <v>44221.91950231481</v>
      </c>
      <c r="B68" s="9" t="str">
        <f t="shared" si="15"/>
        <v>@IOlmedoO</v>
      </c>
      <c r="C68" s="10" t="s">
        <v>2126</v>
      </c>
      <c r="D68" s="10" t="s">
        <v>2131</v>
      </c>
      <c r="E68" s="9" t="str">
        <f>HYPERLINK("https://twitter.com/IOlmedoO/status/1353916595853254656","1353916595853254656")</f>
        <v>1353916595853254656</v>
      </c>
      <c r="F68" s="11" t="s">
        <v>2132</v>
      </c>
      <c r="G68" s="11" t="s">
        <v>2133</v>
      </c>
      <c r="H68" s="12"/>
      <c r="I68" s="13">
        <v>4.0</v>
      </c>
      <c r="J68" s="13">
        <v>3.0</v>
      </c>
      <c r="K68" s="9" t="str">
        <f t="shared" si="16"/>
        <v>Twitter Web App</v>
      </c>
      <c r="L68" s="14">
        <v>2333.0</v>
      </c>
      <c r="M68" s="14">
        <v>2400.0</v>
      </c>
      <c r="N68" s="14">
        <v>1.0</v>
      </c>
      <c r="O68" s="19"/>
      <c r="P68" s="16">
        <v>41020.78094907408</v>
      </c>
      <c r="Q68" s="12"/>
      <c r="R68" s="10" t="s">
        <v>2130</v>
      </c>
      <c r="S68" s="12"/>
      <c r="T68" s="12"/>
      <c r="U68" s="17" t="str">
        <f t="shared" si="17"/>
        <v>View</v>
      </c>
      <c r="V68" s="12"/>
      <c r="W68" s="12"/>
      <c r="X68" s="12"/>
      <c r="Y68" s="12"/>
      <c r="Z68" s="12"/>
    </row>
    <row r="69">
      <c r="A69" s="8">
        <v>44221.918333333335</v>
      </c>
      <c r="B69" s="9" t="str">
        <f t="shared" si="15"/>
        <v>@IOlmedoO</v>
      </c>
      <c r="C69" s="10" t="s">
        <v>2126</v>
      </c>
      <c r="D69" s="10" t="s">
        <v>2134</v>
      </c>
      <c r="E69" s="9" t="str">
        <f>HYPERLINK("https://twitter.com/IOlmedoO/status/1353916172488634369","1353916172488634369")</f>
        <v>1353916172488634369</v>
      </c>
      <c r="F69" s="11" t="s">
        <v>2135</v>
      </c>
      <c r="G69" s="11" t="s">
        <v>2136</v>
      </c>
      <c r="H69" s="12"/>
      <c r="I69" s="13">
        <v>2.0</v>
      </c>
      <c r="J69" s="13">
        <v>2.0</v>
      </c>
      <c r="K69" s="9" t="str">
        <f t="shared" si="16"/>
        <v>Twitter Web App</v>
      </c>
      <c r="L69" s="14">
        <v>2333.0</v>
      </c>
      <c r="M69" s="14">
        <v>2400.0</v>
      </c>
      <c r="N69" s="14">
        <v>1.0</v>
      </c>
      <c r="O69" s="19"/>
      <c r="P69" s="16">
        <v>41020.78094907408</v>
      </c>
      <c r="Q69" s="12"/>
      <c r="R69" s="10" t="s">
        <v>2130</v>
      </c>
      <c r="S69" s="12"/>
      <c r="T69" s="12"/>
      <c r="U69" s="17" t="str">
        <f t="shared" si="17"/>
        <v>View</v>
      </c>
      <c r="V69" s="12"/>
      <c r="W69" s="12"/>
      <c r="X69" s="12"/>
      <c r="Y69" s="12"/>
      <c r="Z69" s="12"/>
    </row>
    <row r="70">
      <c r="A70" s="8">
        <v>44221.91782407407</v>
      </c>
      <c r="B70" s="9" t="str">
        <f>HYPERLINK("https://twitter.com/JerryGuasso","@JerryGuasso")</f>
        <v>@JerryGuasso</v>
      </c>
      <c r="C70" s="10" t="s">
        <v>2137</v>
      </c>
      <c r="D70" s="10" t="s">
        <v>2138</v>
      </c>
      <c r="E70" s="9" t="str">
        <f>HYPERLINK("https://twitter.com/JerryGuasso/status/1353915985758183424","1353915985758183424")</f>
        <v>1353915985758183424</v>
      </c>
      <c r="F70" s="12"/>
      <c r="G70" s="12"/>
      <c r="H70" s="12"/>
      <c r="I70" s="13">
        <v>0.0</v>
      </c>
      <c r="J70" s="13">
        <v>1.0</v>
      </c>
      <c r="K70" s="9" t="str">
        <f>HYPERLINK("http://twitter.com/download/iphone","Twitter for iPhone")</f>
        <v>Twitter for iPhone</v>
      </c>
      <c r="L70" s="14">
        <v>489.0</v>
      </c>
      <c r="M70" s="14">
        <v>561.0</v>
      </c>
      <c r="N70" s="14">
        <v>1.0</v>
      </c>
      <c r="O70" s="19"/>
      <c r="P70" s="16">
        <v>40245.93512731481</v>
      </c>
      <c r="Q70" s="12"/>
      <c r="R70" s="10" t="s">
        <v>2139</v>
      </c>
      <c r="S70" s="12"/>
      <c r="T70" s="12"/>
      <c r="U70" s="17" t="str">
        <f>HYPERLINK("https://pbs.twimg.com/profile_images/2095468422/image.jpg","View")</f>
        <v>View</v>
      </c>
      <c r="V70" s="12"/>
      <c r="W70" s="12"/>
      <c r="X70" s="12"/>
      <c r="Y70" s="12"/>
      <c r="Z70" s="12"/>
    </row>
    <row r="71">
      <c r="A71" s="8">
        <v>44221.91565972222</v>
      </c>
      <c r="B71" s="9" t="str">
        <f>HYPERLINK("https://twitter.com/RAULESPINOSATO3","@RAULESPINOSATO3")</f>
        <v>@RAULESPINOSATO3</v>
      </c>
      <c r="C71" s="10" t="s">
        <v>2140</v>
      </c>
      <c r="D71" s="10" t="s">
        <v>2141</v>
      </c>
      <c r="E71" s="9" t="str">
        <f>HYPERLINK("https://twitter.com/RAULESPINOSATO3/status/1353915203323355136","1353915203323355136")</f>
        <v>1353915203323355136</v>
      </c>
      <c r="F71" s="10" t="s">
        <v>2142</v>
      </c>
      <c r="G71" s="12"/>
      <c r="H71" s="12"/>
      <c r="I71" s="13">
        <v>0.0</v>
      </c>
      <c r="J71" s="13">
        <v>0.0</v>
      </c>
      <c r="K71" s="9" t="str">
        <f>HYPERLINK("https://mobile.twitter.com","Twitter Web App")</f>
        <v>Twitter Web App</v>
      </c>
      <c r="L71" s="14">
        <v>192.0</v>
      </c>
      <c r="M71" s="14">
        <v>558.0</v>
      </c>
      <c r="N71" s="14">
        <v>0.0</v>
      </c>
      <c r="O71" s="19"/>
      <c r="P71" s="16">
        <v>42584.94459490741</v>
      </c>
      <c r="Q71" s="12"/>
      <c r="R71" s="12"/>
      <c r="S71" s="12"/>
      <c r="T71" s="12"/>
      <c r="U71" s="17" t="str">
        <f>HYPERLINK("https://pbs.twimg.com/profile_images/1227448670418800640/Pdtr8yCr.jpg","View")</f>
        <v>View</v>
      </c>
      <c r="V71" s="12"/>
      <c r="W71" s="12"/>
      <c r="X71" s="12"/>
      <c r="Y71" s="12"/>
      <c r="Z71" s="12"/>
    </row>
    <row r="72">
      <c r="A72" s="8">
        <v>44221.91086805555</v>
      </c>
      <c r="B72" s="9" t="str">
        <f>HYPERLINK("https://twitter.com/erickreyesAO","@erickreyesAO")</f>
        <v>@erickreyesAO</v>
      </c>
      <c r="C72" s="10" t="s">
        <v>2143</v>
      </c>
      <c r="D72" s="10" t="s">
        <v>2144</v>
      </c>
      <c r="E72" s="9" t="str">
        <f>HYPERLINK("https://twitter.com/erickreyesAO/status/1353913467141582848","1353913467141582848")</f>
        <v>1353913467141582848</v>
      </c>
      <c r="F72" s="12"/>
      <c r="G72" s="11" t="s">
        <v>2145</v>
      </c>
      <c r="H72" s="12"/>
      <c r="I72" s="13">
        <v>6.0</v>
      </c>
      <c r="J72" s="13">
        <v>3.0</v>
      </c>
      <c r="K72" s="9" t="str">
        <f>HYPERLINK("http://twitter.com/download/iphone","Twitter for iPhone")</f>
        <v>Twitter for iPhone</v>
      </c>
      <c r="L72" s="14">
        <v>2703.0</v>
      </c>
      <c r="M72" s="14">
        <v>2062.0</v>
      </c>
      <c r="N72" s="14">
        <v>12.0</v>
      </c>
      <c r="O72" s="19"/>
      <c r="P72" s="16">
        <v>41068.340416666666</v>
      </c>
      <c r="Q72" s="10" t="s">
        <v>2146</v>
      </c>
      <c r="R72" s="10" t="s">
        <v>2147</v>
      </c>
      <c r="S72" s="11" t="s">
        <v>2148</v>
      </c>
      <c r="T72" s="12"/>
      <c r="U72" s="17" t="str">
        <f>HYPERLINK("https://pbs.twimg.com/profile_images/1351330100579602442/GEkw2pOr.jpg","View")</f>
        <v>View</v>
      </c>
      <c r="V72" s="12"/>
      <c r="W72" s="12"/>
      <c r="X72" s="12"/>
      <c r="Y72" s="12"/>
      <c r="Z72" s="12"/>
    </row>
    <row r="73">
      <c r="A73" s="8">
        <v>44221.90891203703</v>
      </c>
      <c r="B73" s="9" t="str">
        <f t="shared" ref="B73:B75" si="18">HYPERLINK("https://twitter.com/Macruz76701932","@Macruz76701932")</f>
        <v>@Macruz76701932</v>
      </c>
      <c r="C73" s="10" t="s">
        <v>1995</v>
      </c>
      <c r="D73" s="10" t="s">
        <v>2149</v>
      </c>
      <c r="E73" s="9" t="str">
        <f>HYPERLINK("https://twitter.com/Macruz76701932/status/1353912758232875008","1353912758232875008")</f>
        <v>1353912758232875008</v>
      </c>
      <c r="F73" s="10" t="s">
        <v>2150</v>
      </c>
      <c r="G73" s="11" t="s">
        <v>2151</v>
      </c>
      <c r="H73" s="12"/>
      <c r="I73" s="13">
        <v>4.0</v>
      </c>
      <c r="J73" s="13">
        <v>4.0</v>
      </c>
      <c r="K73" s="9" t="str">
        <f t="shared" ref="K73:K77" si="19">HYPERLINK("http://twitter.com/download/android","Twitter for Android")</f>
        <v>Twitter for Android</v>
      </c>
      <c r="L73" s="14">
        <v>1692.0</v>
      </c>
      <c r="M73" s="14">
        <v>1252.0</v>
      </c>
      <c r="N73" s="14">
        <v>3.0</v>
      </c>
      <c r="O73" s="19"/>
      <c r="P73" s="16">
        <v>43544.66965277778</v>
      </c>
      <c r="Q73" s="12"/>
      <c r="R73" s="10" t="s">
        <v>1998</v>
      </c>
      <c r="S73" s="12"/>
      <c r="T73" s="12"/>
      <c r="U73" s="17" t="str">
        <f t="shared" ref="U73:U75" si="20">HYPERLINK("https://pbs.twimg.com/profile_images/1327024418283945984/bPV95vmS.jpg","View")</f>
        <v>View</v>
      </c>
      <c r="V73" s="12"/>
      <c r="W73" s="12"/>
      <c r="X73" s="12"/>
      <c r="Y73" s="12"/>
      <c r="Z73" s="12"/>
    </row>
    <row r="74">
      <c r="A74" s="8">
        <v>44221.903240740736</v>
      </c>
      <c r="B74" s="9" t="str">
        <f t="shared" si="18"/>
        <v>@Macruz76701932</v>
      </c>
      <c r="C74" s="10" t="s">
        <v>1995</v>
      </c>
      <c r="D74" s="10" t="s">
        <v>2152</v>
      </c>
      <c r="E74" s="9" t="str">
        <f>HYPERLINK("https://twitter.com/Macruz76701932/status/1353910704236089345","1353910704236089345")</f>
        <v>1353910704236089345</v>
      </c>
      <c r="F74" s="11" t="s">
        <v>2153</v>
      </c>
      <c r="G74" s="11" t="s">
        <v>2154</v>
      </c>
      <c r="H74" s="12"/>
      <c r="I74" s="13">
        <v>2.0</v>
      </c>
      <c r="J74" s="13">
        <v>1.0</v>
      </c>
      <c r="K74" s="9" t="str">
        <f t="shared" si="19"/>
        <v>Twitter for Android</v>
      </c>
      <c r="L74" s="14">
        <v>1692.0</v>
      </c>
      <c r="M74" s="14">
        <v>1252.0</v>
      </c>
      <c r="N74" s="14">
        <v>3.0</v>
      </c>
      <c r="O74" s="19"/>
      <c r="P74" s="16">
        <v>43544.66965277778</v>
      </c>
      <c r="Q74" s="12"/>
      <c r="R74" s="10" t="s">
        <v>1998</v>
      </c>
      <c r="S74" s="12"/>
      <c r="T74" s="12"/>
      <c r="U74" s="17" t="str">
        <f t="shared" si="20"/>
        <v>View</v>
      </c>
      <c r="V74" s="12"/>
      <c r="W74" s="12"/>
      <c r="X74" s="12"/>
      <c r="Y74" s="12"/>
      <c r="Z74" s="12"/>
    </row>
    <row r="75">
      <c r="A75" s="8">
        <v>44221.8846412037</v>
      </c>
      <c r="B75" s="9" t="str">
        <f t="shared" si="18"/>
        <v>@Macruz76701932</v>
      </c>
      <c r="C75" s="10" t="s">
        <v>1995</v>
      </c>
      <c r="D75" s="10" t="s">
        <v>2155</v>
      </c>
      <c r="E75" s="9" t="str">
        <f>HYPERLINK("https://twitter.com/Macruz76701932/status/1353903962899042304","1353903962899042304")</f>
        <v>1353903962899042304</v>
      </c>
      <c r="F75" s="11" t="s">
        <v>2156</v>
      </c>
      <c r="G75" s="11" t="s">
        <v>2157</v>
      </c>
      <c r="H75" s="12"/>
      <c r="I75" s="13">
        <v>15.0</v>
      </c>
      <c r="J75" s="13">
        <v>14.0</v>
      </c>
      <c r="K75" s="9" t="str">
        <f t="shared" si="19"/>
        <v>Twitter for Android</v>
      </c>
      <c r="L75" s="14">
        <v>1692.0</v>
      </c>
      <c r="M75" s="14">
        <v>1252.0</v>
      </c>
      <c r="N75" s="14">
        <v>3.0</v>
      </c>
      <c r="O75" s="19"/>
      <c r="P75" s="16">
        <v>43544.66965277778</v>
      </c>
      <c r="Q75" s="12"/>
      <c r="R75" s="10" t="s">
        <v>1998</v>
      </c>
      <c r="S75" s="12"/>
      <c r="T75" s="12"/>
      <c r="U75" s="17" t="str">
        <f t="shared" si="20"/>
        <v>View</v>
      </c>
      <c r="V75" s="12"/>
      <c r="W75" s="12"/>
      <c r="X75" s="12"/>
      <c r="Y75" s="12"/>
      <c r="Z75" s="12"/>
    </row>
    <row r="76">
      <c r="A76" s="8">
        <v>44221.88413194445</v>
      </c>
      <c r="B76" s="9" t="str">
        <f>HYPERLINK("https://twitter.com/LMDPoder","@LMDPoder")</f>
        <v>@LMDPoder</v>
      </c>
      <c r="C76" s="10" t="s">
        <v>2158</v>
      </c>
      <c r="D76" s="10" t="s">
        <v>2159</v>
      </c>
      <c r="E76" s="9" t="str">
        <f>HYPERLINK("https://twitter.com/LMDPoder/status/1353903777980571650","1353903777980571650")</f>
        <v>1353903777980571650</v>
      </c>
      <c r="F76" s="10" t="s">
        <v>2160</v>
      </c>
      <c r="G76" s="11" t="s">
        <v>2161</v>
      </c>
      <c r="H76" s="12"/>
      <c r="I76" s="13">
        <v>0.0</v>
      </c>
      <c r="J76" s="13">
        <v>0.0</v>
      </c>
      <c r="K76" s="9" t="str">
        <f t="shared" si="19"/>
        <v>Twitter for Android</v>
      </c>
      <c r="L76" s="14">
        <v>92.0</v>
      </c>
      <c r="M76" s="14">
        <v>291.0</v>
      </c>
      <c r="N76" s="14">
        <v>1.0</v>
      </c>
      <c r="O76" s="19"/>
      <c r="P76" s="16">
        <v>40883.41621527778</v>
      </c>
      <c r="Q76" s="12"/>
      <c r="R76" s="10" t="s">
        <v>2162</v>
      </c>
      <c r="S76" s="12"/>
      <c r="T76" s="12"/>
      <c r="U76" s="17" t="str">
        <f>HYPERLINK("https://pbs.twimg.com/profile_images/1274438459973939202/SCuqapf2.jpg","View")</f>
        <v>View</v>
      </c>
      <c r="V76" s="12"/>
      <c r="W76" s="12"/>
      <c r="X76" s="12"/>
      <c r="Y76" s="12"/>
      <c r="Z76" s="12"/>
    </row>
    <row r="77">
      <c r="A77" s="8">
        <v>44221.88291666667</v>
      </c>
      <c r="B77" s="9" t="str">
        <f>HYPERLINK("https://twitter.com/NLadro","@NLadro")</f>
        <v>@NLadro</v>
      </c>
      <c r="C77" s="10" t="s">
        <v>2163</v>
      </c>
      <c r="D77" s="10" t="s">
        <v>2164</v>
      </c>
      <c r="E77" s="9" t="str">
        <f>HYPERLINK("https://twitter.com/NLadro/status/1353903338417479680","1353903338417479680")</f>
        <v>1353903338417479680</v>
      </c>
      <c r="F77" s="10" t="s">
        <v>2165</v>
      </c>
      <c r="G77" s="12"/>
      <c r="H77" s="12"/>
      <c r="I77" s="13">
        <v>1.0</v>
      </c>
      <c r="J77" s="13">
        <v>2.0</v>
      </c>
      <c r="K77" s="9" t="str">
        <f t="shared" si="19"/>
        <v>Twitter for Android</v>
      </c>
      <c r="L77" s="14">
        <v>321.0</v>
      </c>
      <c r="M77" s="14">
        <v>406.0</v>
      </c>
      <c r="N77" s="14">
        <v>0.0</v>
      </c>
      <c r="O77" s="19"/>
      <c r="P77" s="16">
        <v>43384.58546296296</v>
      </c>
      <c r="Q77" s="12"/>
      <c r="R77" s="12"/>
      <c r="S77" s="12"/>
      <c r="T77" s="12"/>
      <c r="U77" s="17" t="str">
        <f>HYPERLINK("https://pbs.twimg.com/profile_images/1050463321407856641/qyt0pLwG.jpg","View")</f>
        <v>View</v>
      </c>
      <c r="V77" s="12"/>
      <c r="W77" s="12"/>
      <c r="X77" s="12"/>
      <c r="Y77" s="12"/>
      <c r="Z77" s="12"/>
    </row>
    <row r="78">
      <c r="A78" s="8">
        <v>44221.882731481484</v>
      </c>
      <c r="B78" s="9" t="str">
        <f>HYPERLINK("https://twitter.com/el__ahuizote","@el__ahuizote")</f>
        <v>@el__ahuizote</v>
      </c>
      <c r="C78" s="10" t="s">
        <v>2166</v>
      </c>
      <c r="D78" s="10" t="s">
        <v>2167</v>
      </c>
      <c r="E78" s="9" t="str">
        <f>HYPERLINK("https://twitter.com/el__ahuizote/status/1353903271174410240","1353903271174410240")</f>
        <v>1353903271174410240</v>
      </c>
      <c r="F78" s="11" t="s">
        <v>2168</v>
      </c>
      <c r="G78" s="11" t="s">
        <v>1445</v>
      </c>
      <c r="H78" s="12"/>
      <c r="I78" s="13">
        <v>0.0</v>
      </c>
      <c r="J78" s="13">
        <v>1.0</v>
      </c>
      <c r="K78" s="9" t="str">
        <f>HYPERLINK("http://twitter.com/download/iphone","Twitter for iPhone")</f>
        <v>Twitter for iPhone</v>
      </c>
      <c r="L78" s="14">
        <v>11037.0</v>
      </c>
      <c r="M78" s="14">
        <v>10989.0</v>
      </c>
      <c r="N78" s="14">
        <v>21.0</v>
      </c>
      <c r="O78" s="19"/>
      <c r="P78" s="16">
        <v>40902.92486111111</v>
      </c>
      <c r="Q78" s="10" t="s">
        <v>325</v>
      </c>
      <c r="R78" s="10" t="s">
        <v>2169</v>
      </c>
      <c r="S78" s="12"/>
      <c r="T78" s="12"/>
      <c r="U78" s="17" t="str">
        <f>HYPERLINK("https://pbs.twimg.com/profile_images/1344016647141601280/GSo93sRR.jpg","View")</f>
        <v>View</v>
      </c>
      <c r="V78" s="12"/>
      <c r="W78" s="12"/>
      <c r="X78" s="12"/>
      <c r="Y78" s="12"/>
      <c r="Z78" s="12"/>
    </row>
    <row r="79">
      <c r="A79" s="8">
        <v>44221.88269675926</v>
      </c>
      <c r="B79" s="9" t="str">
        <f>HYPERLINK("https://twitter.com/CCerquita","@CCerquita")</f>
        <v>@CCerquita</v>
      </c>
      <c r="C79" s="10" t="s">
        <v>2170</v>
      </c>
      <c r="D79" s="10" t="s">
        <v>2171</v>
      </c>
      <c r="E79" s="9" t="str">
        <f>HYPERLINK("https://twitter.com/CCerquita/status/1353903258968887296","1353903258968887296")</f>
        <v>1353903258968887296</v>
      </c>
      <c r="F79" s="10" t="s">
        <v>2172</v>
      </c>
      <c r="G79" s="11" t="s">
        <v>2173</v>
      </c>
      <c r="H79" s="12"/>
      <c r="I79" s="13">
        <v>1.0</v>
      </c>
      <c r="J79" s="13">
        <v>1.0</v>
      </c>
      <c r="K79" s="9" t="str">
        <f>HYPERLINK("https://mobile.twitter.com","Twitter Web App")</f>
        <v>Twitter Web App</v>
      </c>
      <c r="L79" s="14">
        <v>72.0</v>
      </c>
      <c r="M79" s="14">
        <v>145.0</v>
      </c>
      <c r="N79" s="14">
        <v>0.0</v>
      </c>
      <c r="O79" s="19"/>
      <c r="P79" s="16">
        <v>44038.782800925925</v>
      </c>
      <c r="Q79" s="12"/>
      <c r="R79" s="12"/>
      <c r="S79" s="12"/>
      <c r="T79" s="12"/>
      <c r="U79" s="17" t="str">
        <f>HYPERLINK("https://pbs.twimg.com/profile_images/1293380269114888192/tyUdSSZh.jpg","View")</f>
        <v>View</v>
      </c>
      <c r="V79" s="12"/>
      <c r="W79" s="12"/>
      <c r="X79" s="12"/>
      <c r="Y79" s="12"/>
      <c r="Z79" s="12"/>
    </row>
    <row r="80">
      <c r="A80" s="8">
        <v>44221.8797800926</v>
      </c>
      <c r="B80" s="9" t="str">
        <f>HYPERLINK("https://twitter.com/GiselaOlvarez2","@GiselaOlvarez2")</f>
        <v>@GiselaOlvarez2</v>
      </c>
      <c r="C80" s="10" t="s">
        <v>2174</v>
      </c>
      <c r="D80" s="10" t="s">
        <v>2175</v>
      </c>
      <c r="E80" s="9" t="str">
        <f>HYPERLINK("https://twitter.com/GiselaOlvarez2/status/1353902199018024960","1353902199018024960")</f>
        <v>1353902199018024960</v>
      </c>
      <c r="F80" s="11" t="s">
        <v>2176</v>
      </c>
      <c r="G80" s="11" t="s">
        <v>2177</v>
      </c>
      <c r="H80" s="12"/>
      <c r="I80" s="13">
        <v>0.0</v>
      </c>
      <c r="J80" s="13">
        <v>0.0</v>
      </c>
      <c r="K80" s="9" t="str">
        <f>HYPERLINK("http://twitter.com/download/android","Twitter for Android")</f>
        <v>Twitter for Android</v>
      </c>
      <c r="L80" s="14">
        <v>14.0</v>
      </c>
      <c r="M80" s="14">
        <v>160.0</v>
      </c>
      <c r="N80" s="14">
        <v>0.0</v>
      </c>
      <c r="O80" s="19"/>
      <c r="P80" s="16">
        <v>44218.785879629635</v>
      </c>
      <c r="Q80" s="10" t="s">
        <v>2178</v>
      </c>
      <c r="R80" s="10" t="s">
        <v>2179</v>
      </c>
      <c r="S80" s="12"/>
      <c r="T80" s="12"/>
      <c r="U80" s="17" t="str">
        <f>HYPERLINK("https://pbs.twimg.com/profile_images/1352786281068167173/AE1_r4B5.jpg","View")</f>
        <v>View</v>
      </c>
      <c r="V80" s="12"/>
      <c r="W80" s="12"/>
      <c r="X80" s="12"/>
      <c r="Y80" s="12"/>
      <c r="Z80" s="12"/>
    </row>
    <row r="81">
      <c r="A81" s="8">
        <v>44221.87503472222</v>
      </c>
      <c r="B81" s="9" t="str">
        <f>HYPERLINK("https://twitter.com/OkMadol","@OkMadol")</f>
        <v>@OkMadol</v>
      </c>
      <c r="C81" s="10" t="s">
        <v>2180</v>
      </c>
      <c r="D81" s="10" t="s">
        <v>2181</v>
      </c>
      <c r="E81" s="9" t="str">
        <f>HYPERLINK("https://twitter.com/OkMadol/status/1353900481786109952","1353900481786109952")</f>
        <v>1353900481786109952</v>
      </c>
      <c r="F81" s="11" t="s">
        <v>2182</v>
      </c>
      <c r="G81" s="11" t="s">
        <v>2183</v>
      </c>
      <c r="H81" s="12"/>
      <c r="I81" s="13">
        <v>0.0</v>
      </c>
      <c r="J81" s="13">
        <v>0.0</v>
      </c>
      <c r="K81" s="9" t="str">
        <f t="shared" ref="K81:K83" si="21">HYPERLINK("http://twitter.com/download/iphone","Twitter for iPhone")</f>
        <v>Twitter for iPhone</v>
      </c>
      <c r="L81" s="14">
        <v>219.0</v>
      </c>
      <c r="M81" s="14">
        <v>423.0</v>
      </c>
      <c r="N81" s="14">
        <v>0.0</v>
      </c>
      <c r="O81" s="19"/>
      <c r="P81" s="16">
        <v>42771.40375</v>
      </c>
      <c r="Q81" s="10" t="s">
        <v>2184</v>
      </c>
      <c r="R81" s="10" t="s">
        <v>2185</v>
      </c>
      <c r="S81" s="12"/>
      <c r="T81" s="12"/>
      <c r="U81" s="17" t="str">
        <f>HYPERLINK("https://pbs.twimg.com/profile_images/1346094112932589571/xswaR2IU.jpg","View")</f>
        <v>View</v>
      </c>
      <c r="V81" s="12"/>
      <c r="W81" s="12"/>
      <c r="X81" s="12"/>
      <c r="Y81" s="12"/>
      <c r="Z81" s="12"/>
    </row>
    <row r="82">
      <c r="A82" s="8">
        <v>44221.8611574074</v>
      </c>
      <c r="B82" s="9" t="str">
        <f>HYPERLINK("https://twitter.com/MissConnieG","@MissConnieG")</f>
        <v>@MissConnieG</v>
      </c>
      <c r="C82" s="10" t="s">
        <v>2186</v>
      </c>
      <c r="D82" s="10" t="s">
        <v>2187</v>
      </c>
      <c r="E82" s="9" t="str">
        <f>HYPERLINK("https://twitter.com/MissConnieG/status/1353895451293048837","1353895451293048837")</f>
        <v>1353895451293048837</v>
      </c>
      <c r="F82" s="10" t="s">
        <v>2188</v>
      </c>
      <c r="G82" s="12"/>
      <c r="H82" s="12"/>
      <c r="I82" s="13">
        <v>0.0</v>
      </c>
      <c r="J82" s="13">
        <v>0.0</v>
      </c>
      <c r="K82" s="9" t="str">
        <f t="shared" si="21"/>
        <v>Twitter for iPhone</v>
      </c>
      <c r="L82" s="14">
        <v>373.0</v>
      </c>
      <c r="M82" s="14">
        <v>553.0</v>
      </c>
      <c r="N82" s="14">
        <v>3.0</v>
      </c>
      <c r="O82" s="19"/>
      <c r="P82" s="16">
        <v>39931.87826388889</v>
      </c>
      <c r="Q82" s="10" t="s">
        <v>1937</v>
      </c>
      <c r="R82" s="10" t="s">
        <v>2189</v>
      </c>
      <c r="S82" s="12"/>
      <c r="T82" s="12"/>
      <c r="U82" s="17" t="str">
        <f>HYPERLINK("https://pbs.twimg.com/profile_images/1352304543980253184/_VFx4xsu.jpg","View")</f>
        <v>View</v>
      </c>
      <c r="V82" s="12"/>
      <c r="W82" s="12"/>
      <c r="X82" s="12"/>
      <c r="Y82" s="12"/>
      <c r="Z82" s="12"/>
    </row>
    <row r="83">
      <c r="A83" s="8">
        <v>44221.86094907408</v>
      </c>
      <c r="B83" s="9" t="str">
        <f>HYPERLINK("https://twitter.com/BitacoraPol","@BitacoraPol")</f>
        <v>@BitacoraPol</v>
      </c>
      <c r="C83" s="10" t="s">
        <v>1946</v>
      </c>
      <c r="D83" s="10" t="s">
        <v>2190</v>
      </c>
      <c r="E83" s="9" t="str">
        <f>HYPERLINK("https://twitter.com/BitacoraPol/status/1353895374830723073","1353895374830723073")</f>
        <v>1353895374830723073</v>
      </c>
      <c r="F83" s="12"/>
      <c r="G83" s="11" t="s">
        <v>2191</v>
      </c>
      <c r="H83" s="12"/>
      <c r="I83" s="13">
        <v>6.0</v>
      </c>
      <c r="J83" s="13">
        <v>10.0</v>
      </c>
      <c r="K83" s="9" t="str">
        <f t="shared" si="21"/>
        <v>Twitter for iPhone</v>
      </c>
      <c r="L83" s="14">
        <v>8364.0</v>
      </c>
      <c r="M83" s="14">
        <v>8121.0</v>
      </c>
      <c r="N83" s="14">
        <v>34.0</v>
      </c>
      <c r="O83" s="19"/>
      <c r="P83" s="16">
        <v>42007.72383101852</v>
      </c>
      <c r="Q83" s="10" t="s">
        <v>1948</v>
      </c>
      <c r="R83" s="10" t="s">
        <v>1949</v>
      </c>
      <c r="S83" s="11" t="s">
        <v>1950</v>
      </c>
      <c r="T83" s="12"/>
      <c r="U83" s="17" t="str">
        <f>HYPERLINK("https://pbs.twimg.com/profile_images/1342293390982078466/2qa39ucn.jpg","View")</f>
        <v>View</v>
      </c>
      <c r="V83" s="12"/>
      <c r="W83" s="12"/>
      <c r="X83" s="12"/>
      <c r="Y83" s="12"/>
      <c r="Z83" s="12"/>
    </row>
    <row r="84">
      <c r="A84" s="8">
        <v>44221.85518518518</v>
      </c>
      <c r="B84" s="9" t="str">
        <f>HYPERLINK("https://twitter.com/Macruz76701932","@Macruz76701932")</f>
        <v>@Macruz76701932</v>
      </c>
      <c r="C84" s="10" t="s">
        <v>1995</v>
      </c>
      <c r="D84" s="10" t="s">
        <v>2192</v>
      </c>
      <c r="E84" s="9" t="str">
        <f>HYPERLINK("https://twitter.com/Macruz76701932/status/1353893287262879744","1353893287262879744")</f>
        <v>1353893287262879744</v>
      </c>
      <c r="F84" s="12"/>
      <c r="G84" s="11" t="s">
        <v>2193</v>
      </c>
      <c r="H84" s="12"/>
      <c r="I84" s="13">
        <v>6.0</v>
      </c>
      <c r="J84" s="13">
        <v>8.0</v>
      </c>
      <c r="K84" s="9" t="str">
        <f>HYPERLINK("http://twitter.com/download/android","Twitter for Android")</f>
        <v>Twitter for Android</v>
      </c>
      <c r="L84" s="14">
        <v>1692.0</v>
      </c>
      <c r="M84" s="14">
        <v>1252.0</v>
      </c>
      <c r="N84" s="14">
        <v>3.0</v>
      </c>
      <c r="O84" s="19"/>
      <c r="P84" s="16">
        <v>43544.66965277778</v>
      </c>
      <c r="Q84" s="12"/>
      <c r="R84" s="10" t="s">
        <v>1998</v>
      </c>
      <c r="S84" s="12"/>
      <c r="T84" s="12"/>
      <c r="U84" s="17" t="str">
        <f>HYPERLINK("https://pbs.twimg.com/profile_images/1327024418283945984/bPV95vmS.jpg","View")</f>
        <v>View</v>
      </c>
      <c r="V84" s="12"/>
      <c r="W84" s="12"/>
      <c r="X84" s="12"/>
      <c r="Y84" s="12"/>
      <c r="Z84" s="12"/>
    </row>
    <row r="85">
      <c r="A85" s="8">
        <v>44221.85017361111</v>
      </c>
      <c r="B85" s="9" t="str">
        <f>HYPERLINK("https://twitter.com/erickreyesAO","@erickreyesAO")</f>
        <v>@erickreyesAO</v>
      </c>
      <c r="C85" s="10" t="s">
        <v>2143</v>
      </c>
      <c r="D85" s="10" t="s">
        <v>2194</v>
      </c>
      <c r="E85" s="9" t="str">
        <f>HYPERLINK("https://twitter.com/erickreyesAO/status/1353891471544492033","1353891471544492033")</f>
        <v>1353891471544492033</v>
      </c>
      <c r="F85" s="12"/>
      <c r="G85" s="11" t="s">
        <v>2195</v>
      </c>
      <c r="H85" s="12"/>
      <c r="I85" s="13">
        <v>2.0</v>
      </c>
      <c r="J85" s="13">
        <v>4.0</v>
      </c>
      <c r="K85" s="9" t="str">
        <f>HYPERLINK("http://twitter.com/download/iphone","Twitter for iPhone")</f>
        <v>Twitter for iPhone</v>
      </c>
      <c r="L85" s="14">
        <v>2703.0</v>
      </c>
      <c r="M85" s="14">
        <v>2062.0</v>
      </c>
      <c r="N85" s="14">
        <v>12.0</v>
      </c>
      <c r="O85" s="19"/>
      <c r="P85" s="16">
        <v>41068.340416666666</v>
      </c>
      <c r="Q85" s="10" t="s">
        <v>2146</v>
      </c>
      <c r="R85" s="10" t="s">
        <v>2147</v>
      </c>
      <c r="S85" s="11" t="s">
        <v>2148</v>
      </c>
      <c r="T85" s="12"/>
      <c r="U85" s="17" t="str">
        <f>HYPERLINK("https://pbs.twimg.com/profile_images/1351330100579602442/GEkw2pOr.jpg","View")</f>
        <v>View</v>
      </c>
      <c r="V85" s="12"/>
      <c r="W85" s="12"/>
      <c r="X85" s="12"/>
      <c r="Y85" s="12"/>
      <c r="Z85" s="12"/>
    </row>
    <row r="86">
      <c r="A86" s="8">
        <v>44221.84525462963</v>
      </c>
      <c r="B86" s="9" t="str">
        <f>HYPERLINK("https://twitter.com/Macruz76701932","@Macruz76701932")</f>
        <v>@Macruz76701932</v>
      </c>
      <c r="C86" s="10" t="s">
        <v>1995</v>
      </c>
      <c r="D86" s="10" t="s">
        <v>2196</v>
      </c>
      <c r="E86" s="9" t="str">
        <f>HYPERLINK("https://twitter.com/Macruz76701932/status/1353889687300153344","1353889687300153344")</f>
        <v>1353889687300153344</v>
      </c>
      <c r="F86" s="10" t="s">
        <v>2197</v>
      </c>
      <c r="G86" s="11" t="s">
        <v>2198</v>
      </c>
      <c r="H86" s="12"/>
      <c r="I86" s="13">
        <v>3.0</v>
      </c>
      <c r="J86" s="13">
        <v>4.0</v>
      </c>
      <c r="K86" s="9" t="str">
        <f t="shared" ref="K86:K91" si="22">HYPERLINK("http://twitter.com/download/android","Twitter for Android")</f>
        <v>Twitter for Android</v>
      </c>
      <c r="L86" s="14">
        <v>1692.0</v>
      </c>
      <c r="M86" s="14">
        <v>1252.0</v>
      </c>
      <c r="N86" s="14">
        <v>3.0</v>
      </c>
      <c r="O86" s="19"/>
      <c r="P86" s="16">
        <v>43544.66965277778</v>
      </c>
      <c r="Q86" s="12"/>
      <c r="R86" s="10" t="s">
        <v>1998</v>
      </c>
      <c r="S86" s="12"/>
      <c r="T86" s="12"/>
      <c r="U86" s="17" t="str">
        <f>HYPERLINK("https://pbs.twimg.com/profile_images/1327024418283945984/bPV95vmS.jpg","View")</f>
        <v>View</v>
      </c>
      <c r="V86" s="12"/>
      <c r="W86" s="12"/>
      <c r="X86" s="12"/>
      <c r="Y86" s="12"/>
      <c r="Z86" s="12"/>
    </row>
    <row r="87">
      <c r="A87" s="8">
        <v>44221.833125000005</v>
      </c>
      <c r="B87" s="9" t="str">
        <f>HYPERLINK("https://twitter.com/fjhurtado79","@fjhurtado79")</f>
        <v>@fjhurtado79</v>
      </c>
      <c r="C87" s="10" t="s">
        <v>2199</v>
      </c>
      <c r="D87" s="10" t="s">
        <v>2200</v>
      </c>
      <c r="E87" s="9" t="str">
        <f>HYPERLINK("https://twitter.com/fjhurtado79/status/1353885292030210050","1353885292030210050")</f>
        <v>1353885292030210050</v>
      </c>
      <c r="F87" s="12"/>
      <c r="G87" s="11" t="s">
        <v>2201</v>
      </c>
      <c r="H87" s="12"/>
      <c r="I87" s="13">
        <v>0.0</v>
      </c>
      <c r="J87" s="13">
        <v>0.0</v>
      </c>
      <c r="K87" s="9" t="str">
        <f t="shared" si="22"/>
        <v>Twitter for Android</v>
      </c>
      <c r="L87" s="14">
        <v>116.0</v>
      </c>
      <c r="M87" s="14">
        <v>236.0</v>
      </c>
      <c r="N87" s="14">
        <v>0.0</v>
      </c>
      <c r="O87" s="19"/>
      <c r="P87" s="16">
        <v>40365.49203703704</v>
      </c>
      <c r="Q87" s="10" t="s">
        <v>2202</v>
      </c>
      <c r="R87" s="10" t="s">
        <v>2203</v>
      </c>
      <c r="S87" s="12"/>
      <c r="T87" s="12"/>
      <c r="U87" s="17" t="str">
        <f>HYPERLINK("https://pbs.twimg.com/profile_images/1275484260611190786/bGJlbU46.jpg","View")</f>
        <v>View</v>
      </c>
      <c r="V87" s="12"/>
      <c r="W87" s="12"/>
      <c r="X87" s="12"/>
      <c r="Y87" s="12"/>
      <c r="Z87" s="12"/>
    </row>
    <row r="88">
      <c r="A88" s="8">
        <v>44221.83175925926</v>
      </c>
      <c r="B88" s="9" t="str">
        <f>HYPERLINK("https://twitter.com/Pinocho883","@Pinocho883")</f>
        <v>@Pinocho883</v>
      </c>
      <c r="C88" s="10" t="s">
        <v>2204</v>
      </c>
      <c r="D88" s="10" t="s">
        <v>2205</v>
      </c>
      <c r="E88" s="9" t="str">
        <f>HYPERLINK("https://twitter.com/Pinocho883/status/1353884798918553600","1353884798918553600")</f>
        <v>1353884798918553600</v>
      </c>
      <c r="F88" s="11" t="s">
        <v>2206</v>
      </c>
      <c r="G88" s="11" t="s">
        <v>2207</v>
      </c>
      <c r="H88" s="12"/>
      <c r="I88" s="13">
        <v>1.0</v>
      </c>
      <c r="J88" s="13">
        <v>1.0</v>
      </c>
      <c r="K88" s="9" t="str">
        <f t="shared" si="22"/>
        <v>Twitter for Android</v>
      </c>
      <c r="L88" s="14">
        <v>25.0</v>
      </c>
      <c r="M88" s="14">
        <v>78.0</v>
      </c>
      <c r="N88" s="14">
        <v>0.0</v>
      </c>
      <c r="O88" s="19"/>
      <c r="P88" s="16">
        <v>43977.59439814815</v>
      </c>
      <c r="Q88" s="12"/>
      <c r="R88" s="10" t="s">
        <v>2208</v>
      </c>
      <c r="S88" s="12"/>
      <c r="T88" s="12"/>
      <c r="U88" s="17" t="str">
        <f>HYPERLINK("https://pbs.twimg.com/profile_images/1265361495950532608/-V86_9-M.jpg","View")</f>
        <v>View</v>
      </c>
      <c r="V88" s="12"/>
      <c r="W88" s="12"/>
      <c r="X88" s="12"/>
      <c r="Y88" s="12"/>
      <c r="Z88" s="12"/>
    </row>
    <row r="89">
      <c r="A89" s="8">
        <v>44221.83085648148</v>
      </c>
      <c r="B89" s="9" t="str">
        <f>HYPERLINK("https://twitter.com/CesarVadillo","@CesarVadillo")</f>
        <v>@CesarVadillo</v>
      </c>
      <c r="C89" s="10" t="s">
        <v>2209</v>
      </c>
      <c r="D89" s="10" t="s">
        <v>2210</v>
      </c>
      <c r="E89" s="9" t="str">
        <f>HYPERLINK("https://twitter.com/CesarVadillo/status/1353884471494406146","1353884471494406146")</f>
        <v>1353884471494406146</v>
      </c>
      <c r="F89" s="12"/>
      <c r="G89" s="12"/>
      <c r="H89" s="12"/>
      <c r="I89" s="13">
        <v>0.0</v>
      </c>
      <c r="J89" s="13">
        <v>0.0</v>
      </c>
      <c r="K89" s="9" t="str">
        <f t="shared" si="22"/>
        <v>Twitter for Android</v>
      </c>
      <c r="L89" s="14">
        <v>1057.0</v>
      </c>
      <c r="M89" s="14">
        <v>1108.0</v>
      </c>
      <c r="N89" s="14">
        <v>0.0</v>
      </c>
      <c r="O89" s="19"/>
      <c r="P89" s="16">
        <v>40921.68534722222</v>
      </c>
      <c r="Q89" s="12"/>
      <c r="R89" s="10" t="s">
        <v>2211</v>
      </c>
      <c r="S89" s="12"/>
      <c r="T89" s="12"/>
      <c r="U89" s="17" t="str">
        <f>HYPERLINK("https://pbs.twimg.com/profile_images/1345159279641300992/Vm1Hbkop.jpg","View")</f>
        <v>View</v>
      </c>
      <c r="V89" s="12"/>
      <c r="W89" s="12"/>
      <c r="X89" s="12"/>
      <c r="Y89" s="12"/>
      <c r="Z89" s="12"/>
    </row>
    <row r="90">
      <c r="A90" s="8">
        <v>44221.81928240741</v>
      </c>
      <c r="B90" s="9" t="str">
        <f>HYPERLINK("https://twitter.com/JuanC_Plancarte","@JuanC_Plancarte")</f>
        <v>@JuanC_Plancarte</v>
      </c>
      <c r="C90" s="10" t="s">
        <v>2212</v>
      </c>
      <c r="D90" s="10" t="s">
        <v>2213</v>
      </c>
      <c r="E90" s="9" t="str">
        <f>HYPERLINK("https://twitter.com/JuanC_Plancarte/status/1353880276154413056","1353880276154413056")</f>
        <v>1353880276154413056</v>
      </c>
      <c r="F90" s="12"/>
      <c r="G90" s="12"/>
      <c r="H90" s="12"/>
      <c r="I90" s="13">
        <v>1.0</v>
      </c>
      <c r="J90" s="13">
        <v>2.0</v>
      </c>
      <c r="K90" s="9" t="str">
        <f t="shared" si="22"/>
        <v>Twitter for Android</v>
      </c>
      <c r="L90" s="14">
        <v>275.0</v>
      </c>
      <c r="M90" s="14">
        <v>770.0</v>
      </c>
      <c r="N90" s="14">
        <v>0.0</v>
      </c>
      <c r="O90" s="19"/>
      <c r="P90" s="16">
        <v>43796.67741898148</v>
      </c>
      <c r="Q90" s="12"/>
      <c r="R90" s="10" t="s">
        <v>2214</v>
      </c>
      <c r="S90" s="12"/>
      <c r="T90" s="12"/>
      <c r="U90" s="17" t="str">
        <f>HYPERLINK("https://pbs.twimg.com/profile_images/1200566002234183680/15Wd5Mlr.jpg","View")</f>
        <v>View</v>
      </c>
      <c r="V90" s="12"/>
      <c r="W90" s="12"/>
      <c r="X90" s="12"/>
      <c r="Y90" s="12"/>
      <c r="Z90" s="12"/>
    </row>
    <row r="91">
      <c r="A91" s="8">
        <v>44221.81559027778</v>
      </c>
      <c r="B91" s="9" t="str">
        <f>HYPERLINK("https://twitter.com/marcartonist","@marcartonist")</f>
        <v>@marcartonist</v>
      </c>
      <c r="C91" s="10" t="s">
        <v>2215</v>
      </c>
      <c r="D91" s="10" t="s">
        <v>2216</v>
      </c>
      <c r="E91" s="9" t="str">
        <f>HYPERLINK("https://twitter.com/marcartonist/status/1353878940704591874","1353878940704591874")</f>
        <v>1353878940704591874</v>
      </c>
      <c r="F91" s="12"/>
      <c r="G91" s="11" t="s">
        <v>2217</v>
      </c>
      <c r="H91" s="12"/>
      <c r="I91" s="13">
        <v>8.0</v>
      </c>
      <c r="J91" s="13">
        <v>14.0</v>
      </c>
      <c r="K91" s="9" t="str">
        <f t="shared" si="22"/>
        <v>Twitter for Android</v>
      </c>
      <c r="L91" s="14">
        <v>1635.0</v>
      </c>
      <c r="M91" s="14">
        <v>3575.0</v>
      </c>
      <c r="N91" s="14">
        <v>26.0</v>
      </c>
      <c r="O91" s="19"/>
      <c r="P91" s="16">
        <v>40235.64613425926</v>
      </c>
      <c r="Q91" s="10" t="s">
        <v>2218</v>
      </c>
      <c r="R91" s="10" t="s">
        <v>2219</v>
      </c>
      <c r="S91" s="11" t="s">
        <v>2220</v>
      </c>
      <c r="T91" s="12"/>
      <c r="U91" s="17" t="str">
        <f>HYPERLINK("https://pbs.twimg.com/profile_images/1346218184555302912/12NBev8P.jpg","View")</f>
        <v>View</v>
      </c>
      <c r="V91" s="12"/>
      <c r="W91" s="12"/>
      <c r="X91" s="12"/>
      <c r="Y91" s="12"/>
      <c r="Z91" s="12"/>
    </row>
    <row r="92">
      <c r="A92" s="8">
        <v>44221.81390046296</v>
      </c>
      <c r="B92" s="9" t="str">
        <f>HYPERLINK("https://twitter.com/cesarlags11","@cesarlags11")</f>
        <v>@cesarlags11</v>
      </c>
      <c r="C92" s="10" t="s">
        <v>2221</v>
      </c>
      <c r="D92" s="10" t="s">
        <v>2222</v>
      </c>
      <c r="E92" s="9" t="str">
        <f>HYPERLINK("https://twitter.com/cesarlags11/status/1353878325039689728","1353878325039689728")</f>
        <v>1353878325039689728</v>
      </c>
      <c r="F92" s="10" t="s">
        <v>2223</v>
      </c>
      <c r="G92" s="12"/>
      <c r="H92" s="12"/>
      <c r="I92" s="13">
        <v>0.0</v>
      </c>
      <c r="J92" s="13">
        <v>0.0</v>
      </c>
      <c r="K92" s="9" t="str">
        <f t="shared" ref="K92:K96" si="23">HYPERLINK("http://twitter.com/download/iphone","Twitter for iPhone")</f>
        <v>Twitter for iPhone</v>
      </c>
      <c r="L92" s="14">
        <v>84.0</v>
      </c>
      <c r="M92" s="14">
        <v>363.0</v>
      </c>
      <c r="N92" s="14">
        <v>0.0</v>
      </c>
      <c r="O92" s="19"/>
      <c r="P92" s="16">
        <v>40698.42454861111</v>
      </c>
      <c r="Q92" s="12"/>
      <c r="R92" s="10" t="s">
        <v>2224</v>
      </c>
      <c r="S92" s="12"/>
      <c r="T92" s="12"/>
      <c r="U92" s="17" t="str">
        <f>HYPERLINK("https://pbs.twimg.com/profile_images/1332919241482391553/SGDmK1gu.jpg","View")</f>
        <v>View</v>
      </c>
      <c r="V92" s="12"/>
      <c r="W92" s="12"/>
      <c r="X92" s="12"/>
      <c r="Y92" s="12"/>
      <c r="Z92" s="12"/>
    </row>
    <row r="93">
      <c r="A93" s="8">
        <v>44221.80700231482</v>
      </c>
      <c r="B93" s="9" t="str">
        <f>HYPERLINK("https://twitter.com/lenchuzerectus","@lenchuzerectus")</f>
        <v>@lenchuzerectus</v>
      </c>
      <c r="C93" s="10" t="s">
        <v>2225</v>
      </c>
      <c r="D93" s="10" t="s">
        <v>2226</v>
      </c>
      <c r="E93" s="9" t="str">
        <f>HYPERLINK("https://twitter.com/lenchuzerectus/status/1353875825301577728","1353875825301577728")</f>
        <v>1353875825301577728</v>
      </c>
      <c r="F93" s="10" t="s">
        <v>2223</v>
      </c>
      <c r="G93" s="12"/>
      <c r="H93" s="12"/>
      <c r="I93" s="13">
        <v>0.0</v>
      </c>
      <c r="J93" s="13">
        <v>0.0</v>
      </c>
      <c r="K93" s="9" t="str">
        <f t="shared" si="23"/>
        <v>Twitter for iPhone</v>
      </c>
      <c r="L93" s="14">
        <v>267.0</v>
      </c>
      <c r="M93" s="14">
        <v>294.0</v>
      </c>
      <c r="N93" s="14">
        <v>5.0</v>
      </c>
      <c r="O93" s="19"/>
      <c r="P93" s="16">
        <v>40373.86520833333</v>
      </c>
      <c r="Q93" s="12"/>
      <c r="R93" s="10" t="s">
        <v>2227</v>
      </c>
      <c r="S93" s="11" t="s">
        <v>2228</v>
      </c>
      <c r="T93" s="12"/>
      <c r="U93" s="17" t="str">
        <f>HYPERLINK("https://pbs.twimg.com/profile_images/1105938787618705408/DCp8XTS0.jpg","View")</f>
        <v>View</v>
      </c>
      <c r="V93" s="12"/>
      <c r="W93" s="12"/>
      <c r="X93" s="12"/>
      <c r="Y93" s="12"/>
      <c r="Z93" s="12"/>
    </row>
    <row r="94">
      <c r="A94" s="8">
        <v>44221.80354166667</v>
      </c>
      <c r="B94" s="9" t="str">
        <f>HYPERLINK("https://twitter.com/RicciardOGJ","@RicciardOGJ")</f>
        <v>@RicciardOGJ</v>
      </c>
      <c r="C94" s="10" t="s">
        <v>2229</v>
      </c>
      <c r="D94" s="10" t="s">
        <v>2230</v>
      </c>
      <c r="E94" s="9" t="str">
        <f>HYPERLINK("https://twitter.com/RicciardOGJ/status/1353874572479750145","1353874572479750145")</f>
        <v>1353874572479750145</v>
      </c>
      <c r="F94" s="10" t="s">
        <v>2223</v>
      </c>
      <c r="G94" s="12"/>
      <c r="H94" s="12"/>
      <c r="I94" s="13">
        <v>0.0</v>
      </c>
      <c r="J94" s="13">
        <v>0.0</v>
      </c>
      <c r="K94" s="9" t="str">
        <f t="shared" si="23"/>
        <v>Twitter for iPhone</v>
      </c>
      <c r="L94" s="14">
        <v>121.0</v>
      </c>
      <c r="M94" s="14">
        <v>392.0</v>
      </c>
      <c r="N94" s="14">
        <v>0.0</v>
      </c>
      <c r="O94" s="19"/>
      <c r="P94" s="16">
        <v>40324.45922453704</v>
      </c>
      <c r="Q94" s="10" t="s">
        <v>2231</v>
      </c>
      <c r="R94" s="10" t="s">
        <v>2232</v>
      </c>
      <c r="S94" s="12"/>
      <c r="T94" s="12"/>
      <c r="U94" s="17" t="str">
        <f>HYPERLINK("https://pbs.twimg.com/profile_images/1321553416120881153/fv5Lmo4C.jpg","View")</f>
        <v>View</v>
      </c>
      <c r="V94" s="12"/>
      <c r="W94" s="12"/>
      <c r="X94" s="12"/>
      <c r="Y94" s="12"/>
      <c r="Z94" s="12"/>
    </row>
    <row r="95">
      <c r="A95" s="8">
        <v>44221.789768518516</v>
      </c>
      <c r="B95" s="9" t="str">
        <f>HYPERLINK("https://twitter.com/El_Paulo27","@El_Paulo27")</f>
        <v>@El_Paulo27</v>
      </c>
      <c r="C95" s="10" t="s">
        <v>2233</v>
      </c>
      <c r="D95" s="10" t="s">
        <v>2234</v>
      </c>
      <c r="E95" s="9" t="str">
        <f>HYPERLINK("https://twitter.com/El_Paulo27/status/1353869582570725378","1353869582570725378")</f>
        <v>1353869582570725378</v>
      </c>
      <c r="F95" s="10" t="s">
        <v>2235</v>
      </c>
      <c r="G95" s="12"/>
      <c r="H95" s="12"/>
      <c r="I95" s="13">
        <v>0.0</v>
      </c>
      <c r="J95" s="13">
        <v>2.0</v>
      </c>
      <c r="K95" s="9" t="str">
        <f t="shared" si="23"/>
        <v>Twitter for iPhone</v>
      </c>
      <c r="L95" s="14">
        <v>2475.0</v>
      </c>
      <c r="M95" s="14">
        <v>2025.0</v>
      </c>
      <c r="N95" s="14">
        <v>6.0</v>
      </c>
      <c r="O95" s="19"/>
      <c r="P95" s="16">
        <v>40606.82409722223</v>
      </c>
      <c r="Q95" s="12"/>
      <c r="R95" s="10" t="s">
        <v>2236</v>
      </c>
      <c r="S95" s="12"/>
      <c r="T95" s="12"/>
      <c r="U95" s="17" t="str">
        <f>HYPERLINK("https://pbs.twimg.com/profile_images/1341444391953518592/VHOzWpY_.jpg","View")</f>
        <v>View</v>
      </c>
      <c r="V95" s="12"/>
      <c r="W95" s="12"/>
      <c r="X95" s="12"/>
      <c r="Y95" s="12"/>
      <c r="Z95" s="12"/>
    </row>
    <row r="96">
      <c r="A96" s="8">
        <v>44221.7728125</v>
      </c>
      <c r="B96" s="9" t="str">
        <f>HYPERLINK("https://twitter.com/espejohernandez","@espejohernandez")</f>
        <v>@espejohernandez</v>
      </c>
      <c r="C96" s="10" t="s">
        <v>1905</v>
      </c>
      <c r="D96" s="10" t="s">
        <v>2237</v>
      </c>
      <c r="E96" s="9" t="str">
        <f>HYPERLINK("https://twitter.com/espejohernandez/status/1353863438129270784","1353863438129270784")</f>
        <v>1353863438129270784</v>
      </c>
      <c r="F96" s="12"/>
      <c r="G96" s="11" t="s">
        <v>2238</v>
      </c>
      <c r="H96" s="12"/>
      <c r="I96" s="13">
        <v>0.0</v>
      </c>
      <c r="J96" s="13">
        <v>0.0</v>
      </c>
      <c r="K96" s="9" t="str">
        <f t="shared" si="23"/>
        <v>Twitter for iPhone</v>
      </c>
      <c r="L96" s="14">
        <v>2259.0</v>
      </c>
      <c r="M96" s="14">
        <v>708.0</v>
      </c>
      <c r="N96" s="14">
        <v>20.0</v>
      </c>
      <c r="O96" s="19"/>
      <c r="P96" s="16">
        <v>40187.52563657407</v>
      </c>
      <c r="Q96" s="10" t="s">
        <v>1908</v>
      </c>
      <c r="R96" s="10" t="s">
        <v>1909</v>
      </c>
      <c r="S96" s="11" t="s">
        <v>1910</v>
      </c>
      <c r="T96" s="12"/>
      <c r="U96" s="17" t="str">
        <f>HYPERLINK("https://pbs.twimg.com/profile_images/1346158371498577926/mtMa19QQ.jpg","View")</f>
        <v>View</v>
      </c>
      <c r="V96" s="12"/>
      <c r="W96" s="12"/>
      <c r="X96" s="12"/>
      <c r="Y96" s="12"/>
      <c r="Z96" s="12"/>
    </row>
    <row r="97">
      <c r="A97" s="8">
        <v>44221.767118055555</v>
      </c>
      <c r="B97" s="9" t="str">
        <f>HYPERLINK("https://twitter.com/NrchNuevo","@NrchNuevo")</f>
        <v>@NrchNuevo</v>
      </c>
      <c r="C97" s="10" t="s">
        <v>2239</v>
      </c>
      <c r="D97" s="10" t="s">
        <v>2240</v>
      </c>
      <c r="E97" s="9" t="str">
        <f>HYPERLINK("https://twitter.com/NrchNuevo/status/1353861373063790592","1353861373063790592")</f>
        <v>1353861373063790592</v>
      </c>
      <c r="F97" s="12"/>
      <c r="G97" s="11" t="s">
        <v>2241</v>
      </c>
      <c r="H97" s="12"/>
      <c r="I97" s="13">
        <v>4.0</v>
      </c>
      <c r="J97" s="13">
        <v>3.0</v>
      </c>
      <c r="K97" s="9" t="str">
        <f>HYPERLINK("https://mobile.twitter.com","Twitter Web App")</f>
        <v>Twitter Web App</v>
      </c>
      <c r="L97" s="14">
        <v>163.0</v>
      </c>
      <c r="M97" s="14">
        <v>139.0</v>
      </c>
      <c r="N97" s="14">
        <v>0.0</v>
      </c>
      <c r="O97" s="19"/>
      <c r="P97" s="16">
        <v>44059.68581018518</v>
      </c>
      <c r="Q97" s="10" t="s">
        <v>2242</v>
      </c>
      <c r="R97" s="10" t="s">
        <v>2243</v>
      </c>
      <c r="S97" s="11" t="s">
        <v>2244</v>
      </c>
      <c r="T97" s="12"/>
      <c r="U97" s="17" t="str">
        <f>HYPERLINK("https://pbs.twimg.com/profile_images/1295110290502287369/xmv8rvz3.jpg","View")</f>
        <v>View</v>
      </c>
      <c r="V97" s="12"/>
      <c r="W97" s="12"/>
      <c r="X97" s="12"/>
      <c r="Y97" s="12"/>
      <c r="Z97" s="12"/>
    </row>
    <row r="98">
      <c r="A98" s="8">
        <v>44221.75918981481</v>
      </c>
      <c r="B98" s="9" t="str">
        <f>HYPERLINK("https://twitter.com/narommfe","@narommfe")</f>
        <v>@narommfe</v>
      </c>
      <c r="C98" s="10" t="s">
        <v>2245</v>
      </c>
      <c r="D98" s="10" t="s">
        <v>2246</v>
      </c>
      <c r="E98" s="9" t="str">
        <f>HYPERLINK("https://twitter.com/narommfe/status/1353858498631757824","1353858498631757824")</f>
        <v>1353858498631757824</v>
      </c>
      <c r="F98" s="11" t="s">
        <v>2247</v>
      </c>
      <c r="G98" s="11" t="s">
        <v>2248</v>
      </c>
      <c r="H98" s="12"/>
      <c r="I98" s="13">
        <v>0.0</v>
      </c>
      <c r="J98" s="13">
        <v>0.0</v>
      </c>
      <c r="K98" s="9" t="str">
        <f>HYPERLINK("http://twitter.com/download/iphone","Twitter for iPhone")</f>
        <v>Twitter for iPhone</v>
      </c>
      <c r="L98" s="14">
        <v>84.0</v>
      </c>
      <c r="M98" s="14">
        <v>1837.0</v>
      </c>
      <c r="N98" s="14">
        <v>0.0</v>
      </c>
      <c r="O98" s="19"/>
      <c r="P98" s="16">
        <v>40970.787627314814</v>
      </c>
      <c r="Q98" s="10" t="s">
        <v>2249</v>
      </c>
      <c r="R98" s="12"/>
      <c r="S98" s="12"/>
      <c r="T98" s="12"/>
      <c r="U98" s="17" t="str">
        <f>HYPERLINK("https://pbs.twimg.com/profile_images/3213810726/bd798f09f89ae1b4d1889df19d78d0bb.jpeg","View")</f>
        <v>View</v>
      </c>
      <c r="V98" s="12"/>
      <c r="W98" s="12"/>
      <c r="X98" s="12"/>
      <c r="Y98" s="12"/>
      <c r="Z98" s="12"/>
    </row>
    <row r="99">
      <c r="A99" s="8">
        <v>44221.75033564815</v>
      </c>
      <c r="B99" s="9" t="str">
        <f>HYPERLINK("https://twitter.com/obradoristas4t","@obradoristas4t")</f>
        <v>@obradoristas4t</v>
      </c>
      <c r="C99" s="10" t="s">
        <v>2250</v>
      </c>
      <c r="D99" s="10" t="s">
        <v>2251</v>
      </c>
      <c r="E99" s="9" t="str">
        <f>HYPERLINK("https://twitter.com/obradoristas4t/status/1353855289213276169","1353855289213276169")</f>
        <v>1353855289213276169</v>
      </c>
      <c r="F99" s="11" t="s">
        <v>2252</v>
      </c>
      <c r="G99" s="12"/>
      <c r="H99" s="12"/>
      <c r="I99" s="13">
        <v>0.0</v>
      </c>
      <c r="J99" s="13">
        <v>1.0</v>
      </c>
      <c r="K99" s="9" t="str">
        <f>HYPERLINK("https://www.hootsuite.com","Hootsuite Inc.")</f>
        <v>Hootsuite Inc.</v>
      </c>
      <c r="L99" s="14">
        <v>342.0</v>
      </c>
      <c r="M99" s="14">
        <v>1380.0</v>
      </c>
      <c r="N99" s="14">
        <v>1.0</v>
      </c>
      <c r="O99" s="19"/>
      <c r="P99" s="16">
        <v>44091.40619212963</v>
      </c>
      <c r="Q99" s="10" t="s">
        <v>2253</v>
      </c>
      <c r="R99" s="10" t="s">
        <v>2254</v>
      </c>
      <c r="S99" s="12"/>
      <c r="T99" s="12"/>
      <c r="U99" s="17" t="str">
        <f>HYPERLINK("https://pbs.twimg.com/profile_images/1306660889857228801/9TQI5cAo.jpg","View")</f>
        <v>View</v>
      </c>
      <c r="V99" s="12"/>
      <c r="W99" s="12"/>
      <c r="X99" s="12"/>
      <c r="Y99" s="12"/>
      <c r="Z99" s="12"/>
    </row>
    <row r="100">
      <c r="A100" s="8">
        <v>44221.745300925926</v>
      </c>
      <c r="B100" s="9" t="str">
        <f>HYPERLINK("https://twitter.com/Macruz76701932","@Macruz76701932")</f>
        <v>@Macruz76701932</v>
      </c>
      <c r="C100" s="10" t="s">
        <v>1995</v>
      </c>
      <c r="D100" s="10" t="s">
        <v>2255</v>
      </c>
      <c r="E100" s="9" t="str">
        <f>HYPERLINK("https://twitter.com/Macruz76701932/status/1353853465483751427","1353853465483751427")</f>
        <v>1353853465483751427</v>
      </c>
      <c r="F100" s="11" t="s">
        <v>2256</v>
      </c>
      <c r="G100" s="12"/>
      <c r="H100" s="12"/>
      <c r="I100" s="13">
        <v>1.0</v>
      </c>
      <c r="J100" s="13">
        <v>2.0</v>
      </c>
      <c r="K100" s="9" t="str">
        <f t="shared" ref="K100:K101" si="24">HYPERLINK("http://twitter.com/download/android","Twitter for Android")</f>
        <v>Twitter for Android</v>
      </c>
      <c r="L100" s="14">
        <v>1692.0</v>
      </c>
      <c r="M100" s="14">
        <v>1252.0</v>
      </c>
      <c r="N100" s="14">
        <v>3.0</v>
      </c>
      <c r="O100" s="19"/>
      <c r="P100" s="16">
        <v>43544.66965277778</v>
      </c>
      <c r="Q100" s="12"/>
      <c r="R100" s="10" t="s">
        <v>1998</v>
      </c>
      <c r="S100" s="12"/>
      <c r="T100" s="12"/>
      <c r="U100" s="17" t="str">
        <f>HYPERLINK("https://pbs.twimg.com/profile_images/1327024418283945984/bPV95vmS.jpg","View")</f>
        <v>View</v>
      </c>
      <c r="V100" s="12"/>
      <c r="W100" s="12"/>
      <c r="X100" s="12"/>
      <c r="Y100" s="12"/>
      <c r="Z100" s="12"/>
    </row>
    <row r="101">
      <c r="A101" s="8">
        <v>44221.73780092593</v>
      </c>
      <c r="B101" s="9" t="str">
        <f>HYPERLINK("https://twitter.com/SoyMexicano_","@SoyMexicano_")</f>
        <v>@SoyMexicano_</v>
      </c>
      <c r="C101" s="10" t="s">
        <v>2257</v>
      </c>
      <c r="D101" s="10" t="s">
        <v>2258</v>
      </c>
      <c r="E101" s="9" t="str">
        <f>HYPERLINK("https://twitter.com/SoyMexicano_/status/1353850749457981441","1353850749457981441")</f>
        <v>1353850749457981441</v>
      </c>
      <c r="F101" s="10" t="s">
        <v>2160</v>
      </c>
      <c r="G101" s="12"/>
      <c r="H101" s="12"/>
      <c r="I101" s="13">
        <v>1.0</v>
      </c>
      <c r="J101" s="13">
        <v>0.0</v>
      </c>
      <c r="K101" s="9" t="str">
        <f t="shared" si="24"/>
        <v>Twitter for Android</v>
      </c>
      <c r="L101" s="14">
        <v>7821.0</v>
      </c>
      <c r="M101" s="14">
        <v>8328.0</v>
      </c>
      <c r="N101" s="14">
        <v>1.0</v>
      </c>
      <c r="O101" s="19"/>
      <c r="P101" s="16">
        <v>43300.668217592596</v>
      </c>
      <c r="Q101" s="12"/>
      <c r="R101" s="10" t="s">
        <v>2259</v>
      </c>
      <c r="S101" s="11" t="s">
        <v>2260</v>
      </c>
      <c r="T101" s="12"/>
      <c r="U101" s="17" t="str">
        <f>HYPERLINK("https://pbs.twimg.com/profile_images/1321156144400900099/lQQRL4CI.jpg","View")</f>
        <v>View</v>
      </c>
      <c r="V101" s="12"/>
      <c r="W101" s="12"/>
      <c r="X101" s="12"/>
      <c r="Y101" s="12"/>
      <c r="Z101" s="12"/>
    </row>
    <row r="102">
      <c r="A102" s="8">
        <v>44221.73606481482</v>
      </c>
      <c r="B102" s="9" t="str">
        <f>HYPERLINK("https://twitter.com/trishalastor","@trishalastor")</f>
        <v>@trishalastor</v>
      </c>
      <c r="C102" s="10" t="s">
        <v>2261</v>
      </c>
      <c r="D102" s="10" t="s">
        <v>2262</v>
      </c>
      <c r="E102" s="9" t="str">
        <f>HYPERLINK("https://twitter.com/trishalastor/status/1353850117833576449","1353850117833576449")</f>
        <v>1353850117833576449</v>
      </c>
      <c r="F102" s="11" t="s">
        <v>2263</v>
      </c>
      <c r="G102" s="11" t="s">
        <v>2264</v>
      </c>
      <c r="H102" s="12"/>
      <c r="I102" s="13">
        <v>0.0</v>
      </c>
      <c r="J102" s="13">
        <v>0.0</v>
      </c>
      <c r="K102" s="9" t="str">
        <f>HYPERLINK("https://mobile.twitter.com","Twitter Web App")</f>
        <v>Twitter Web App</v>
      </c>
      <c r="L102" s="14">
        <v>60.0</v>
      </c>
      <c r="M102" s="14">
        <v>182.0</v>
      </c>
      <c r="N102" s="14">
        <v>4.0</v>
      </c>
      <c r="O102" s="19"/>
      <c r="P102" s="16">
        <v>41360.760092592594</v>
      </c>
      <c r="Q102" s="12"/>
      <c r="R102" s="12"/>
      <c r="S102" s="12"/>
      <c r="T102" s="12"/>
      <c r="U102" s="17" t="str">
        <f>HYPERLINK("https://pbs.twimg.com/profile_images/590146007628808192/8sHNUMwy.jpg","View")</f>
        <v>View</v>
      </c>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sheetData>
  <hyperlinks>
    <hyperlink r:id="rId1" ref="F3"/>
    <hyperlink r:id="rId2" ref="G3"/>
    <hyperlink r:id="rId3" ref="S3"/>
    <hyperlink r:id="rId4" ref="F4"/>
    <hyperlink r:id="rId5" ref="S4"/>
    <hyperlink r:id="rId6" ref="G5"/>
    <hyperlink r:id="rId7" ref="S5"/>
    <hyperlink r:id="rId8" ref="F6"/>
    <hyperlink r:id="rId9" ref="F7"/>
    <hyperlink r:id="rId10" ref="S7"/>
    <hyperlink r:id="rId11" ref="S8"/>
    <hyperlink r:id="rId12" ref="G9"/>
    <hyperlink r:id="rId13" ref="S9"/>
    <hyperlink r:id="rId14" ref="S10"/>
    <hyperlink r:id="rId15" ref="G11"/>
    <hyperlink r:id="rId16" ref="F12"/>
    <hyperlink r:id="rId17" ref="G12"/>
    <hyperlink r:id="rId18" ref="G13"/>
    <hyperlink r:id="rId19" ref="S13"/>
    <hyperlink r:id="rId20" ref="F14"/>
    <hyperlink r:id="rId21" ref="S15"/>
    <hyperlink r:id="rId22" ref="F22"/>
    <hyperlink r:id="rId23" ref="G22"/>
    <hyperlink r:id="rId24" ref="F24"/>
    <hyperlink r:id="rId25" ref="G29"/>
    <hyperlink r:id="rId26" ref="G32"/>
    <hyperlink r:id="rId27" ref="F34"/>
    <hyperlink r:id="rId28" ref="G34"/>
    <hyperlink r:id="rId29" ref="G36"/>
    <hyperlink r:id="rId30" ref="S36"/>
    <hyperlink r:id="rId31" ref="F37"/>
    <hyperlink r:id="rId32" ref="F38"/>
    <hyperlink r:id="rId33" ref="G39"/>
    <hyperlink r:id="rId34" ref="S39"/>
    <hyperlink r:id="rId35" ref="G40"/>
    <hyperlink r:id="rId36" ref="G42"/>
    <hyperlink r:id="rId37" ref="S42"/>
    <hyperlink r:id="rId38" ref="F43"/>
    <hyperlink r:id="rId39" ref="G43"/>
    <hyperlink r:id="rId40" ref="F46"/>
    <hyperlink r:id="rId41" ref="S46"/>
    <hyperlink r:id="rId42" ref="F47"/>
    <hyperlink r:id="rId43" ref="F48"/>
    <hyperlink r:id="rId44" ref="S48"/>
    <hyperlink r:id="rId45" ref="G49"/>
    <hyperlink r:id="rId46" ref="S49"/>
    <hyperlink r:id="rId47" ref="G51"/>
    <hyperlink r:id="rId48" ref="S51"/>
    <hyperlink r:id="rId49" ref="F52"/>
    <hyperlink r:id="rId50" ref="G52"/>
    <hyperlink r:id="rId51" ref="S52"/>
    <hyperlink r:id="rId52" ref="F53"/>
    <hyperlink r:id="rId53" ref="F54"/>
    <hyperlink r:id="rId54" ref="S54"/>
    <hyperlink r:id="rId55" ref="F55"/>
    <hyperlink r:id="rId56" ref="S55"/>
    <hyperlink r:id="rId57" ref="F56"/>
    <hyperlink r:id="rId58" ref="S56"/>
    <hyperlink r:id="rId59" ref="F57"/>
    <hyperlink r:id="rId60" ref="S57"/>
    <hyperlink r:id="rId61" ref="F58"/>
    <hyperlink r:id="rId62" ref="F60"/>
    <hyperlink r:id="rId63" ref="Q60"/>
    <hyperlink r:id="rId64" ref="S60"/>
    <hyperlink r:id="rId65" ref="F61"/>
    <hyperlink r:id="rId66" ref="G61"/>
    <hyperlink r:id="rId67" ref="G62"/>
    <hyperlink r:id="rId68" ref="F63"/>
    <hyperlink r:id="rId69" ref="G63"/>
    <hyperlink r:id="rId70" ref="G65"/>
    <hyperlink r:id="rId71" ref="F66"/>
    <hyperlink r:id="rId72" ref="G66"/>
    <hyperlink r:id="rId73" ref="F67"/>
    <hyperlink r:id="rId74" ref="G67"/>
    <hyperlink r:id="rId75" ref="F68"/>
    <hyperlink r:id="rId76" ref="G68"/>
    <hyperlink r:id="rId77" ref="F69"/>
    <hyperlink r:id="rId78" ref="G69"/>
    <hyperlink r:id="rId79" ref="G72"/>
    <hyperlink r:id="rId80" ref="S72"/>
    <hyperlink r:id="rId81" ref="G73"/>
    <hyperlink r:id="rId82" ref="F74"/>
    <hyperlink r:id="rId83" ref="G74"/>
    <hyperlink r:id="rId84" ref="F75"/>
    <hyperlink r:id="rId85" ref="G75"/>
    <hyperlink r:id="rId86" ref="G76"/>
    <hyperlink r:id="rId87" ref="F78"/>
    <hyperlink r:id="rId88" ref="G78"/>
    <hyperlink r:id="rId89" ref="G79"/>
    <hyperlink r:id="rId90" ref="F80"/>
    <hyperlink r:id="rId91" ref="G80"/>
    <hyperlink r:id="rId92" ref="F81"/>
    <hyperlink r:id="rId93" ref="G81"/>
    <hyperlink r:id="rId94" ref="G83"/>
    <hyperlink r:id="rId95" ref="S83"/>
    <hyperlink r:id="rId96" ref="G84"/>
    <hyperlink r:id="rId97" ref="G85"/>
    <hyperlink r:id="rId98" ref="S85"/>
    <hyperlink r:id="rId99" ref="G86"/>
    <hyperlink r:id="rId100" ref="G87"/>
    <hyperlink r:id="rId101" ref="F88"/>
    <hyperlink r:id="rId102" ref="G88"/>
    <hyperlink r:id="rId103" ref="G91"/>
    <hyperlink r:id="rId104" ref="S91"/>
    <hyperlink r:id="rId105" ref="S93"/>
    <hyperlink r:id="rId106" ref="G96"/>
    <hyperlink r:id="rId107" ref="S96"/>
    <hyperlink r:id="rId108" ref="G97"/>
    <hyperlink r:id="rId109" ref="S97"/>
    <hyperlink r:id="rId110" ref="F98"/>
    <hyperlink r:id="rId111" ref="G98"/>
    <hyperlink r:id="rId112" ref="F99"/>
    <hyperlink r:id="rId113" ref="F100"/>
    <hyperlink r:id="rId114" ref="S101"/>
    <hyperlink r:id="rId115" ref="F102"/>
    <hyperlink r:id="rId116" ref="G102"/>
  </hyperlinks>
  <drawing r:id="rId117"/>
  <tableParts count="1">
    <tablePart r:id="rId119"/>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2265</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44222.582928240736</v>
      </c>
      <c r="B3" s="9" t="str">
        <f t="shared" ref="B3:B74" si="1">HYPERLINK("https://twitter.com/LillyTellez","@LillyTellez")</f>
        <v>@LillyTellez</v>
      </c>
      <c r="C3" s="10" t="s">
        <v>2266</v>
      </c>
      <c r="D3" s="10" t="s">
        <v>2267</v>
      </c>
      <c r="E3" s="9" t="str">
        <f>HYPERLINK("https://twitter.com/LillyTellez/status/1354157012649533440","1354157012649533440")</f>
        <v>1354157012649533440</v>
      </c>
      <c r="F3" s="10" t="s">
        <v>2268</v>
      </c>
      <c r="G3" s="12"/>
      <c r="H3" s="12"/>
      <c r="I3" s="13">
        <v>47.0</v>
      </c>
      <c r="J3" s="13">
        <v>152.0</v>
      </c>
      <c r="K3" s="9" t="str">
        <f t="shared" ref="K3:K74" si="2">HYPERLINK("http://twitter.com/download/iphone","Twitter for iPhone")</f>
        <v>Twitter for iPhone</v>
      </c>
      <c r="L3" s="14">
        <v>275190.0</v>
      </c>
      <c r="M3" s="14">
        <v>991.0</v>
      </c>
      <c r="N3" s="14">
        <v>664.0</v>
      </c>
      <c r="O3" s="15" t="s">
        <v>24</v>
      </c>
      <c r="P3" s="16">
        <v>40522.49474537037</v>
      </c>
      <c r="Q3" s="10" t="s">
        <v>325</v>
      </c>
      <c r="R3" s="10" t="s">
        <v>2269</v>
      </c>
      <c r="S3" s="11" t="s">
        <v>2270</v>
      </c>
      <c r="T3" s="12"/>
      <c r="U3" s="17" t="str">
        <f t="shared" ref="U3:U74" si="3">HYPERLINK("https://pbs.twimg.com/profile_images/1229608052741017602/Fb5vNQSj.jpg","View")</f>
        <v>View</v>
      </c>
      <c r="V3" s="12"/>
      <c r="W3" s="12"/>
      <c r="X3" s="12"/>
      <c r="Y3" s="12"/>
      <c r="Z3" s="12"/>
    </row>
    <row r="4">
      <c r="A4" s="8">
        <v>44222.52486111112</v>
      </c>
      <c r="B4" s="9" t="str">
        <f t="shared" si="1"/>
        <v>@LillyTellez</v>
      </c>
      <c r="C4" s="10" t="s">
        <v>2266</v>
      </c>
      <c r="D4" s="10" t="s">
        <v>2271</v>
      </c>
      <c r="E4" s="9" t="str">
        <f>HYPERLINK("https://twitter.com/LillyTellez/status/1354135968891035648","1354135968891035648")</f>
        <v>1354135968891035648</v>
      </c>
      <c r="F4" s="10" t="s">
        <v>2272</v>
      </c>
      <c r="G4" s="11" t="s">
        <v>2273</v>
      </c>
      <c r="H4" s="12"/>
      <c r="I4" s="13">
        <v>36.0</v>
      </c>
      <c r="J4" s="13">
        <v>220.0</v>
      </c>
      <c r="K4" s="9" t="str">
        <f t="shared" si="2"/>
        <v>Twitter for iPhone</v>
      </c>
      <c r="L4" s="14">
        <v>275190.0</v>
      </c>
      <c r="M4" s="14">
        <v>991.0</v>
      </c>
      <c r="N4" s="14">
        <v>664.0</v>
      </c>
      <c r="O4" s="15" t="s">
        <v>24</v>
      </c>
      <c r="P4" s="16">
        <v>40522.49474537037</v>
      </c>
      <c r="Q4" s="10" t="s">
        <v>325</v>
      </c>
      <c r="R4" s="10" t="s">
        <v>2269</v>
      </c>
      <c r="S4" s="11" t="s">
        <v>2270</v>
      </c>
      <c r="T4" s="12"/>
      <c r="U4" s="17" t="str">
        <f t="shared" si="3"/>
        <v>View</v>
      </c>
      <c r="V4" s="12"/>
      <c r="W4" s="12"/>
      <c r="X4" s="12"/>
      <c r="Y4" s="12"/>
      <c r="Z4" s="12"/>
    </row>
    <row r="5">
      <c r="A5" s="8">
        <v>44222.46638888889</v>
      </c>
      <c r="B5" s="9" t="str">
        <f t="shared" si="1"/>
        <v>@LillyTellez</v>
      </c>
      <c r="C5" s="10" t="s">
        <v>2266</v>
      </c>
      <c r="D5" s="10" t="s">
        <v>2274</v>
      </c>
      <c r="E5" s="9" t="str">
        <f>HYPERLINK("https://twitter.com/LillyTellez/status/1354114779095343110","1354114779095343110")</f>
        <v>1354114779095343110</v>
      </c>
      <c r="F5" s="12"/>
      <c r="G5" s="12"/>
      <c r="H5" s="12"/>
      <c r="I5" s="13">
        <v>1618.0</v>
      </c>
      <c r="J5" s="13">
        <v>5088.0</v>
      </c>
      <c r="K5" s="9" t="str">
        <f t="shared" si="2"/>
        <v>Twitter for iPhone</v>
      </c>
      <c r="L5" s="14">
        <v>275190.0</v>
      </c>
      <c r="M5" s="14">
        <v>991.0</v>
      </c>
      <c r="N5" s="14">
        <v>664.0</v>
      </c>
      <c r="O5" s="15" t="s">
        <v>24</v>
      </c>
      <c r="P5" s="16">
        <v>40522.49474537037</v>
      </c>
      <c r="Q5" s="10" t="s">
        <v>325</v>
      </c>
      <c r="R5" s="10" t="s">
        <v>2269</v>
      </c>
      <c r="S5" s="11" t="s">
        <v>2270</v>
      </c>
      <c r="T5" s="12"/>
      <c r="U5" s="17" t="str">
        <f t="shared" si="3"/>
        <v>View</v>
      </c>
      <c r="V5" s="12"/>
      <c r="W5" s="12"/>
      <c r="X5" s="12"/>
      <c r="Y5" s="12"/>
      <c r="Z5" s="12"/>
    </row>
    <row r="6">
      <c r="A6" s="8">
        <v>44222.45018518518</v>
      </c>
      <c r="B6" s="9" t="str">
        <f t="shared" si="1"/>
        <v>@LillyTellez</v>
      </c>
      <c r="C6" s="10" t="s">
        <v>2266</v>
      </c>
      <c r="D6" s="10" t="s">
        <v>2275</v>
      </c>
      <c r="E6" s="9" t="str">
        <f>HYPERLINK("https://twitter.com/LillyTellez/status/1354108908470558720","1354108908470558720")</f>
        <v>1354108908470558720</v>
      </c>
      <c r="F6" s="11" t="s">
        <v>2276</v>
      </c>
      <c r="G6" s="12"/>
      <c r="H6" s="12"/>
      <c r="I6" s="13">
        <v>108.0</v>
      </c>
      <c r="J6" s="13">
        <v>312.0</v>
      </c>
      <c r="K6" s="9" t="str">
        <f t="shared" si="2"/>
        <v>Twitter for iPhone</v>
      </c>
      <c r="L6" s="14">
        <v>275190.0</v>
      </c>
      <c r="M6" s="14">
        <v>991.0</v>
      </c>
      <c r="N6" s="14">
        <v>664.0</v>
      </c>
      <c r="O6" s="15" t="s">
        <v>24</v>
      </c>
      <c r="P6" s="16">
        <v>40522.49474537037</v>
      </c>
      <c r="Q6" s="10" t="s">
        <v>325</v>
      </c>
      <c r="R6" s="10" t="s">
        <v>2269</v>
      </c>
      <c r="S6" s="11" t="s">
        <v>2270</v>
      </c>
      <c r="T6" s="12"/>
      <c r="U6" s="17" t="str">
        <f t="shared" si="3"/>
        <v>View</v>
      </c>
      <c r="V6" s="12"/>
      <c r="W6" s="12"/>
      <c r="X6" s="12"/>
      <c r="Y6" s="12"/>
      <c r="Z6" s="12"/>
    </row>
    <row r="7">
      <c r="A7" s="8">
        <v>44222.39321759259</v>
      </c>
      <c r="B7" s="9" t="str">
        <f t="shared" si="1"/>
        <v>@LillyTellez</v>
      </c>
      <c r="C7" s="10" t="s">
        <v>2266</v>
      </c>
      <c r="D7" s="10" t="s">
        <v>2277</v>
      </c>
      <c r="E7" s="9" t="str">
        <f>HYPERLINK("https://twitter.com/LillyTellez/status/1354088264240607234","1354088264240607234")</f>
        <v>1354088264240607234</v>
      </c>
      <c r="F7" s="11" t="s">
        <v>2278</v>
      </c>
      <c r="G7" s="11" t="s">
        <v>2279</v>
      </c>
      <c r="H7" s="12"/>
      <c r="I7" s="13">
        <v>400.0</v>
      </c>
      <c r="J7" s="13">
        <v>1638.0</v>
      </c>
      <c r="K7" s="9" t="str">
        <f t="shared" si="2"/>
        <v>Twitter for iPhone</v>
      </c>
      <c r="L7" s="14">
        <v>275190.0</v>
      </c>
      <c r="M7" s="14">
        <v>991.0</v>
      </c>
      <c r="N7" s="14">
        <v>664.0</v>
      </c>
      <c r="O7" s="15" t="s">
        <v>24</v>
      </c>
      <c r="P7" s="16">
        <v>40522.49474537037</v>
      </c>
      <c r="Q7" s="10" t="s">
        <v>325</v>
      </c>
      <c r="R7" s="10" t="s">
        <v>2269</v>
      </c>
      <c r="S7" s="11" t="s">
        <v>2270</v>
      </c>
      <c r="T7" s="12"/>
      <c r="U7" s="17" t="str">
        <f t="shared" si="3"/>
        <v>View</v>
      </c>
      <c r="V7" s="12"/>
      <c r="W7" s="12"/>
      <c r="X7" s="12"/>
      <c r="Y7" s="12"/>
      <c r="Z7" s="12"/>
    </row>
    <row r="8">
      <c r="A8" s="8">
        <v>44222.379791666666</v>
      </c>
      <c r="B8" s="9" t="str">
        <f t="shared" si="1"/>
        <v>@LillyTellez</v>
      </c>
      <c r="C8" s="10" t="s">
        <v>2266</v>
      </c>
      <c r="D8" s="10" t="s">
        <v>2280</v>
      </c>
      <c r="E8" s="9" t="str">
        <f>HYPERLINK("https://twitter.com/LillyTellez/status/1354083397723947015","1354083397723947015")</f>
        <v>1354083397723947015</v>
      </c>
      <c r="F8" s="11" t="s">
        <v>2281</v>
      </c>
      <c r="G8" s="12"/>
      <c r="H8" s="12"/>
      <c r="I8" s="13">
        <v>289.0</v>
      </c>
      <c r="J8" s="13">
        <v>829.0</v>
      </c>
      <c r="K8" s="9" t="str">
        <f t="shared" si="2"/>
        <v>Twitter for iPhone</v>
      </c>
      <c r="L8" s="14">
        <v>275190.0</v>
      </c>
      <c r="M8" s="14">
        <v>991.0</v>
      </c>
      <c r="N8" s="14">
        <v>664.0</v>
      </c>
      <c r="O8" s="15" t="s">
        <v>24</v>
      </c>
      <c r="P8" s="16">
        <v>40522.49474537037</v>
      </c>
      <c r="Q8" s="10" t="s">
        <v>325</v>
      </c>
      <c r="R8" s="10" t="s">
        <v>2269</v>
      </c>
      <c r="S8" s="11" t="s">
        <v>2270</v>
      </c>
      <c r="T8" s="12"/>
      <c r="U8" s="17" t="str">
        <f t="shared" si="3"/>
        <v>View</v>
      </c>
      <c r="V8" s="12"/>
      <c r="W8" s="12"/>
      <c r="X8" s="12"/>
      <c r="Y8" s="12"/>
      <c r="Z8" s="12"/>
    </row>
    <row r="9">
      <c r="A9" s="8">
        <v>44222.36903935185</v>
      </c>
      <c r="B9" s="9" t="str">
        <f t="shared" si="1"/>
        <v>@LillyTellez</v>
      </c>
      <c r="C9" s="10" t="s">
        <v>2266</v>
      </c>
      <c r="D9" s="10" t="s">
        <v>2282</v>
      </c>
      <c r="E9" s="9" t="str">
        <f>HYPERLINK("https://twitter.com/LillyTellez/status/1354079501110681606","1354079501110681606")</f>
        <v>1354079501110681606</v>
      </c>
      <c r="F9" s="12"/>
      <c r="G9" s="12"/>
      <c r="H9" s="12"/>
      <c r="I9" s="13">
        <v>2984.0</v>
      </c>
      <c r="J9" s="13">
        <v>9031.0</v>
      </c>
      <c r="K9" s="9" t="str">
        <f t="shared" si="2"/>
        <v>Twitter for iPhone</v>
      </c>
      <c r="L9" s="14">
        <v>275190.0</v>
      </c>
      <c r="M9" s="14">
        <v>991.0</v>
      </c>
      <c r="N9" s="14">
        <v>664.0</v>
      </c>
      <c r="O9" s="15" t="s">
        <v>24</v>
      </c>
      <c r="P9" s="16">
        <v>40522.49474537037</v>
      </c>
      <c r="Q9" s="10" t="s">
        <v>325</v>
      </c>
      <c r="R9" s="10" t="s">
        <v>2269</v>
      </c>
      <c r="S9" s="11" t="s">
        <v>2270</v>
      </c>
      <c r="T9" s="12"/>
      <c r="U9" s="17" t="str">
        <f t="shared" si="3"/>
        <v>View</v>
      </c>
      <c r="V9" s="12"/>
      <c r="W9" s="12"/>
      <c r="X9" s="12"/>
      <c r="Y9" s="12"/>
      <c r="Z9" s="12"/>
    </row>
    <row r="10">
      <c r="A10" s="8">
        <v>44222.35570601852</v>
      </c>
      <c r="B10" s="9" t="str">
        <f t="shared" si="1"/>
        <v>@LillyTellez</v>
      </c>
      <c r="C10" s="10" t="s">
        <v>2266</v>
      </c>
      <c r="D10" s="10" t="s">
        <v>2283</v>
      </c>
      <c r="E10" s="9" t="str">
        <f>HYPERLINK("https://twitter.com/LillyTellez/status/1354074671411458048","1354074671411458048")</f>
        <v>1354074671411458048</v>
      </c>
      <c r="F10" s="12"/>
      <c r="G10" s="12"/>
      <c r="H10" s="12"/>
      <c r="I10" s="13">
        <v>1336.0</v>
      </c>
      <c r="J10" s="13">
        <v>4739.0</v>
      </c>
      <c r="K10" s="9" t="str">
        <f t="shared" si="2"/>
        <v>Twitter for iPhone</v>
      </c>
      <c r="L10" s="14">
        <v>275190.0</v>
      </c>
      <c r="M10" s="14">
        <v>991.0</v>
      </c>
      <c r="N10" s="14">
        <v>664.0</v>
      </c>
      <c r="O10" s="15" t="s">
        <v>24</v>
      </c>
      <c r="P10" s="16">
        <v>40522.49474537037</v>
      </c>
      <c r="Q10" s="10" t="s">
        <v>325</v>
      </c>
      <c r="R10" s="10" t="s">
        <v>2269</v>
      </c>
      <c r="S10" s="11" t="s">
        <v>2270</v>
      </c>
      <c r="T10" s="12"/>
      <c r="U10" s="17" t="str">
        <f t="shared" si="3"/>
        <v>View</v>
      </c>
      <c r="V10" s="12"/>
      <c r="W10" s="12"/>
      <c r="X10" s="12"/>
      <c r="Y10" s="12"/>
      <c r="Z10" s="12"/>
    </row>
    <row r="11">
      <c r="A11" s="8">
        <v>44222.332083333335</v>
      </c>
      <c r="B11" s="9" t="str">
        <f t="shared" si="1"/>
        <v>@LillyTellez</v>
      </c>
      <c r="C11" s="10" t="s">
        <v>2266</v>
      </c>
      <c r="D11" s="10" t="s">
        <v>2284</v>
      </c>
      <c r="E11" s="9" t="str">
        <f>HYPERLINK("https://twitter.com/LillyTellez/status/1354066108739842052","1354066108739842052")</f>
        <v>1354066108739842052</v>
      </c>
      <c r="F11" s="11" t="s">
        <v>2285</v>
      </c>
      <c r="G11" s="12"/>
      <c r="H11" s="12"/>
      <c r="I11" s="13">
        <v>109.0</v>
      </c>
      <c r="J11" s="13">
        <v>394.0</v>
      </c>
      <c r="K11" s="9" t="str">
        <f t="shared" si="2"/>
        <v>Twitter for iPhone</v>
      </c>
      <c r="L11" s="14">
        <v>275190.0</v>
      </c>
      <c r="M11" s="14">
        <v>991.0</v>
      </c>
      <c r="N11" s="14">
        <v>664.0</v>
      </c>
      <c r="O11" s="15" t="s">
        <v>24</v>
      </c>
      <c r="P11" s="16">
        <v>40522.49474537037</v>
      </c>
      <c r="Q11" s="10" t="s">
        <v>325</v>
      </c>
      <c r="R11" s="10" t="s">
        <v>2269</v>
      </c>
      <c r="S11" s="11" t="s">
        <v>2270</v>
      </c>
      <c r="T11" s="12"/>
      <c r="U11" s="17" t="str">
        <f t="shared" si="3"/>
        <v>View</v>
      </c>
      <c r="V11" s="12"/>
      <c r="W11" s="12"/>
      <c r="X11" s="12"/>
      <c r="Y11" s="12"/>
      <c r="Z11" s="12"/>
    </row>
    <row r="12">
      <c r="A12" s="8">
        <v>44221.497187500005</v>
      </c>
      <c r="B12" s="9" t="str">
        <f t="shared" si="1"/>
        <v>@LillyTellez</v>
      </c>
      <c r="C12" s="10" t="s">
        <v>2266</v>
      </c>
      <c r="D12" s="10" t="s">
        <v>2286</v>
      </c>
      <c r="E12" s="9" t="str">
        <f>HYPERLINK("https://twitter.com/LillyTellez/status/1353763553895845888","1353763553895845888")</f>
        <v>1353763553895845888</v>
      </c>
      <c r="F12" s="12"/>
      <c r="G12" s="12"/>
      <c r="H12" s="12"/>
      <c r="I12" s="13">
        <v>1044.0</v>
      </c>
      <c r="J12" s="13">
        <v>3042.0</v>
      </c>
      <c r="K12" s="9" t="str">
        <f t="shared" si="2"/>
        <v>Twitter for iPhone</v>
      </c>
      <c r="L12" s="14">
        <v>275190.0</v>
      </c>
      <c r="M12" s="14">
        <v>991.0</v>
      </c>
      <c r="N12" s="14">
        <v>664.0</v>
      </c>
      <c r="O12" s="15" t="s">
        <v>24</v>
      </c>
      <c r="P12" s="16">
        <v>40522.49474537037</v>
      </c>
      <c r="Q12" s="10" t="s">
        <v>325</v>
      </c>
      <c r="R12" s="10" t="s">
        <v>2269</v>
      </c>
      <c r="S12" s="11" t="s">
        <v>2270</v>
      </c>
      <c r="T12" s="12"/>
      <c r="U12" s="17" t="str">
        <f t="shared" si="3"/>
        <v>View</v>
      </c>
      <c r="V12" s="12"/>
      <c r="W12" s="12"/>
      <c r="X12" s="12"/>
      <c r="Y12" s="12"/>
      <c r="Z12" s="12"/>
    </row>
    <row r="13">
      <c r="A13" s="8">
        <v>44221.479212962964</v>
      </c>
      <c r="B13" s="9" t="str">
        <f t="shared" si="1"/>
        <v>@LillyTellez</v>
      </c>
      <c r="C13" s="10" t="s">
        <v>2266</v>
      </c>
      <c r="D13" s="10" t="s">
        <v>2287</v>
      </c>
      <c r="E13" s="9" t="str">
        <f>HYPERLINK("https://twitter.com/LillyTellez/status/1353757038581440513","1353757038581440513")</f>
        <v>1353757038581440513</v>
      </c>
      <c r="F13" s="12"/>
      <c r="G13" s="12"/>
      <c r="H13" s="12"/>
      <c r="I13" s="13">
        <v>2799.0</v>
      </c>
      <c r="J13" s="13">
        <v>10790.0</v>
      </c>
      <c r="K13" s="9" t="str">
        <f t="shared" si="2"/>
        <v>Twitter for iPhone</v>
      </c>
      <c r="L13" s="14">
        <v>275190.0</v>
      </c>
      <c r="M13" s="14">
        <v>991.0</v>
      </c>
      <c r="N13" s="14">
        <v>664.0</v>
      </c>
      <c r="O13" s="15" t="s">
        <v>24</v>
      </c>
      <c r="P13" s="16">
        <v>40522.49474537037</v>
      </c>
      <c r="Q13" s="10" t="s">
        <v>325</v>
      </c>
      <c r="R13" s="10" t="s">
        <v>2269</v>
      </c>
      <c r="S13" s="11" t="s">
        <v>2270</v>
      </c>
      <c r="T13" s="12"/>
      <c r="U13" s="17" t="str">
        <f t="shared" si="3"/>
        <v>View</v>
      </c>
      <c r="V13" s="12"/>
      <c r="W13" s="12"/>
      <c r="X13" s="12"/>
      <c r="Y13" s="12"/>
      <c r="Z13" s="12"/>
    </row>
    <row r="14">
      <c r="A14" s="8">
        <v>44221.471192129626</v>
      </c>
      <c r="B14" s="9" t="str">
        <f t="shared" si="1"/>
        <v>@LillyTellez</v>
      </c>
      <c r="C14" s="10" t="s">
        <v>2266</v>
      </c>
      <c r="D14" s="10" t="s">
        <v>2288</v>
      </c>
      <c r="E14" s="9" t="str">
        <f>HYPERLINK("https://twitter.com/LillyTellez/status/1353754133824643072","1353754133824643072")</f>
        <v>1353754133824643072</v>
      </c>
      <c r="F14" s="12"/>
      <c r="G14" s="12"/>
      <c r="H14" s="12"/>
      <c r="I14" s="13">
        <v>2015.0</v>
      </c>
      <c r="J14" s="13">
        <v>5575.0</v>
      </c>
      <c r="K14" s="9" t="str">
        <f t="shared" si="2"/>
        <v>Twitter for iPhone</v>
      </c>
      <c r="L14" s="14">
        <v>275190.0</v>
      </c>
      <c r="M14" s="14">
        <v>991.0</v>
      </c>
      <c r="N14" s="14">
        <v>664.0</v>
      </c>
      <c r="O14" s="15" t="s">
        <v>24</v>
      </c>
      <c r="P14" s="16">
        <v>40522.49474537037</v>
      </c>
      <c r="Q14" s="10" t="s">
        <v>325</v>
      </c>
      <c r="R14" s="10" t="s">
        <v>2269</v>
      </c>
      <c r="S14" s="11" t="s">
        <v>2270</v>
      </c>
      <c r="T14" s="12"/>
      <c r="U14" s="17" t="str">
        <f t="shared" si="3"/>
        <v>View</v>
      </c>
      <c r="V14" s="12"/>
      <c r="W14" s="12"/>
      <c r="X14" s="12"/>
      <c r="Y14" s="12"/>
      <c r="Z14" s="12"/>
    </row>
    <row r="15">
      <c r="A15" s="8">
        <v>44221.44986111111</v>
      </c>
      <c r="B15" s="9" t="str">
        <f t="shared" si="1"/>
        <v>@LillyTellez</v>
      </c>
      <c r="C15" s="10" t="s">
        <v>2266</v>
      </c>
      <c r="D15" s="10" t="s">
        <v>2289</v>
      </c>
      <c r="E15" s="9" t="str">
        <f>HYPERLINK("https://twitter.com/LillyTellez/status/1353746403873308680","1353746403873308680")</f>
        <v>1353746403873308680</v>
      </c>
      <c r="F15" s="10" t="s">
        <v>2290</v>
      </c>
      <c r="G15" s="12"/>
      <c r="H15" s="12"/>
      <c r="I15" s="13">
        <v>176.0</v>
      </c>
      <c r="J15" s="13">
        <v>496.0</v>
      </c>
      <c r="K15" s="9" t="str">
        <f t="shared" si="2"/>
        <v>Twitter for iPhone</v>
      </c>
      <c r="L15" s="14">
        <v>275190.0</v>
      </c>
      <c r="M15" s="14">
        <v>991.0</v>
      </c>
      <c r="N15" s="14">
        <v>664.0</v>
      </c>
      <c r="O15" s="15" t="s">
        <v>24</v>
      </c>
      <c r="P15" s="16">
        <v>40522.49474537037</v>
      </c>
      <c r="Q15" s="10" t="s">
        <v>325</v>
      </c>
      <c r="R15" s="10" t="s">
        <v>2269</v>
      </c>
      <c r="S15" s="11" t="s">
        <v>2270</v>
      </c>
      <c r="T15" s="12"/>
      <c r="U15" s="17" t="str">
        <f t="shared" si="3"/>
        <v>View</v>
      </c>
      <c r="V15" s="12"/>
      <c r="W15" s="12"/>
      <c r="X15" s="12"/>
      <c r="Y15" s="12"/>
      <c r="Z15" s="12"/>
    </row>
    <row r="16">
      <c r="A16" s="8">
        <v>44221.436678240745</v>
      </c>
      <c r="B16" s="9" t="str">
        <f t="shared" si="1"/>
        <v>@LillyTellez</v>
      </c>
      <c r="C16" s="10" t="s">
        <v>2266</v>
      </c>
      <c r="D16" s="10" t="s">
        <v>2291</v>
      </c>
      <c r="E16" s="9" t="str">
        <f>HYPERLINK("https://twitter.com/LillyTellez/status/1353741627576127490","1353741627576127490")</f>
        <v>1353741627576127490</v>
      </c>
      <c r="F16" s="12"/>
      <c r="G16" s="12"/>
      <c r="H16" s="12"/>
      <c r="I16" s="13">
        <v>3914.0</v>
      </c>
      <c r="J16" s="13">
        <v>15501.0</v>
      </c>
      <c r="K16" s="9" t="str">
        <f t="shared" si="2"/>
        <v>Twitter for iPhone</v>
      </c>
      <c r="L16" s="14">
        <v>275190.0</v>
      </c>
      <c r="M16" s="14">
        <v>991.0</v>
      </c>
      <c r="N16" s="14">
        <v>664.0</v>
      </c>
      <c r="O16" s="15" t="s">
        <v>24</v>
      </c>
      <c r="P16" s="16">
        <v>40522.49474537037</v>
      </c>
      <c r="Q16" s="10" t="s">
        <v>325</v>
      </c>
      <c r="R16" s="10" t="s">
        <v>2269</v>
      </c>
      <c r="S16" s="11" t="s">
        <v>2270</v>
      </c>
      <c r="T16" s="12"/>
      <c r="U16" s="17" t="str">
        <f t="shared" si="3"/>
        <v>View</v>
      </c>
      <c r="V16" s="12"/>
      <c r="W16" s="12"/>
      <c r="X16" s="12"/>
      <c r="Y16" s="12"/>
      <c r="Z16" s="12"/>
    </row>
    <row r="17">
      <c r="A17" s="8">
        <v>44221.39064814815</v>
      </c>
      <c r="B17" s="9" t="str">
        <f t="shared" si="1"/>
        <v>@LillyTellez</v>
      </c>
      <c r="C17" s="10" t="s">
        <v>2266</v>
      </c>
      <c r="D17" s="10" t="s">
        <v>2292</v>
      </c>
      <c r="E17" s="9" t="str">
        <f>HYPERLINK("https://twitter.com/LillyTellez/status/1353724946829037568","1353724946829037568")</f>
        <v>1353724946829037568</v>
      </c>
      <c r="F17" s="12"/>
      <c r="G17" s="11" t="s">
        <v>2293</v>
      </c>
      <c r="H17" s="12"/>
      <c r="I17" s="13">
        <v>1437.0</v>
      </c>
      <c r="J17" s="13">
        <v>3950.0</v>
      </c>
      <c r="K17" s="9" t="str">
        <f t="shared" si="2"/>
        <v>Twitter for iPhone</v>
      </c>
      <c r="L17" s="14">
        <v>275190.0</v>
      </c>
      <c r="M17" s="14">
        <v>991.0</v>
      </c>
      <c r="N17" s="14">
        <v>664.0</v>
      </c>
      <c r="O17" s="15" t="s">
        <v>24</v>
      </c>
      <c r="P17" s="16">
        <v>40522.49474537037</v>
      </c>
      <c r="Q17" s="10" t="s">
        <v>325</v>
      </c>
      <c r="R17" s="10" t="s">
        <v>2269</v>
      </c>
      <c r="S17" s="11" t="s">
        <v>2270</v>
      </c>
      <c r="T17" s="12"/>
      <c r="U17" s="17" t="str">
        <f t="shared" si="3"/>
        <v>View</v>
      </c>
      <c r="V17" s="12"/>
      <c r="W17" s="12"/>
      <c r="X17" s="12"/>
      <c r="Y17" s="12"/>
      <c r="Z17" s="12"/>
    </row>
    <row r="18">
      <c r="A18" s="8">
        <v>44221.351805555554</v>
      </c>
      <c r="B18" s="9" t="str">
        <f t="shared" si="1"/>
        <v>@LillyTellez</v>
      </c>
      <c r="C18" s="10" t="s">
        <v>2266</v>
      </c>
      <c r="D18" s="10" t="s">
        <v>2294</v>
      </c>
      <c r="E18" s="9" t="str">
        <f>HYPERLINK("https://twitter.com/LillyTellez/status/1353710868035375105","1353710868035375105")</f>
        <v>1353710868035375105</v>
      </c>
      <c r="F18" s="11" t="s">
        <v>2295</v>
      </c>
      <c r="G18" s="12"/>
      <c r="H18" s="12"/>
      <c r="I18" s="13">
        <v>245.0</v>
      </c>
      <c r="J18" s="13">
        <v>786.0</v>
      </c>
      <c r="K18" s="9" t="str">
        <f t="shared" si="2"/>
        <v>Twitter for iPhone</v>
      </c>
      <c r="L18" s="14">
        <v>275190.0</v>
      </c>
      <c r="M18" s="14">
        <v>991.0</v>
      </c>
      <c r="N18" s="14">
        <v>664.0</v>
      </c>
      <c r="O18" s="15" t="s">
        <v>24</v>
      </c>
      <c r="P18" s="16">
        <v>40522.49474537037</v>
      </c>
      <c r="Q18" s="10" t="s">
        <v>325</v>
      </c>
      <c r="R18" s="10" t="s">
        <v>2269</v>
      </c>
      <c r="S18" s="11" t="s">
        <v>2270</v>
      </c>
      <c r="T18" s="12"/>
      <c r="U18" s="17" t="str">
        <f t="shared" si="3"/>
        <v>View</v>
      </c>
      <c r="V18" s="12"/>
      <c r="W18" s="12"/>
      <c r="X18" s="12"/>
      <c r="Y18" s="12"/>
      <c r="Z18" s="12"/>
    </row>
    <row r="19">
      <c r="A19" s="8">
        <v>44220.79033564815</v>
      </c>
      <c r="B19" s="9" t="str">
        <f t="shared" si="1"/>
        <v>@LillyTellez</v>
      </c>
      <c r="C19" s="10" t="s">
        <v>2266</v>
      </c>
      <c r="D19" s="10" t="s">
        <v>2296</v>
      </c>
      <c r="E19" s="9" t="str">
        <f>HYPERLINK("https://twitter.com/LillyTellez/status/1353507398061707264","1353507398061707264")</f>
        <v>1353507398061707264</v>
      </c>
      <c r="F19" s="12"/>
      <c r="G19" s="12"/>
      <c r="H19" s="12"/>
      <c r="I19" s="13">
        <v>382.0</v>
      </c>
      <c r="J19" s="13">
        <v>5638.0</v>
      </c>
      <c r="K19" s="9" t="str">
        <f t="shared" si="2"/>
        <v>Twitter for iPhone</v>
      </c>
      <c r="L19" s="14">
        <v>275190.0</v>
      </c>
      <c r="M19" s="14">
        <v>991.0</v>
      </c>
      <c r="N19" s="14">
        <v>664.0</v>
      </c>
      <c r="O19" s="15" t="s">
        <v>24</v>
      </c>
      <c r="P19" s="16">
        <v>40522.49474537037</v>
      </c>
      <c r="Q19" s="10" t="s">
        <v>325</v>
      </c>
      <c r="R19" s="10" t="s">
        <v>2269</v>
      </c>
      <c r="S19" s="11" t="s">
        <v>2270</v>
      </c>
      <c r="T19" s="12"/>
      <c r="U19" s="17" t="str">
        <f t="shared" si="3"/>
        <v>View</v>
      </c>
      <c r="V19" s="12"/>
      <c r="W19" s="12"/>
      <c r="X19" s="12"/>
      <c r="Y19" s="12"/>
      <c r="Z19" s="12"/>
    </row>
    <row r="20">
      <c r="A20" s="8">
        <v>44219.57003472222</v>
      </c>
      <c r="B20" s="9" t="str">
        <f t="shared" si="1"/>
        <v>@LillyTellez</v>
      </c>
      <c r="C20" s="10" t="s">
        <v>2266</v>
      </c>
      <c r="D20" s="10" t="s">
        <v>2297</v>
      </c>
      <c r="E20" s="9" t="str">
        <f>HYPERLINK("https://twitter.com/LillyTellez/status/1353065174668722176","1353065174668722176")</f>
        <v>1353065174668722176</v>
      </c>
      <c r="F20" s="11" t="s">
        <v>2298</v>
      </c>
      <c r="G20" s="12"/>
      <c r="H20" s="12"/>
      <c r="I20" s="13">
        <v>113.0</v>
      </c>
      <c r="J20" s="13">
        <v>416.0</v>
      </c>
      <c r="K20" s="9" t="str">
        <f t="shared" si="2"/>
        <v>Twitter for iPhone</v>
      </c>
      <c r="L20" s="14">
        <v>275190.0</v>
      </c>
      <c r="M20" s="14">
        <v>991.0</v>
      </c>
      <c r="N20" s="14">
        <v>664.0</v>
      </c>
      <c r="O20" s="15" t="s">
        <v>24</v>
      </c>
      <c r="P20" s="16">
        <v>40522.49474537037</v>
      </c>
      <c r="Q20" s="10" t="s">
        <v>325</v>
      </c>
      <c r="R20" s="10" t="s">
        <v>2269</v>
      </c>
      <c r="S20" s="11" t="s">
        <v>2270</v>
      </c>
      <c r="T20" s="12"/>
      <c r="U20" s="17" t="str">
        <f t="shared" si="3"/>
        <v>View</v>
      </c>
      <c r="V20" s="12"/>
      <c r="W20" s="12"/>
      <c r="X20" s="12"/>
      <c r="Y20" s="12"/>
      <c r="Z20" s="12"/>
    </row>
    <row r="21">
      <c r="A21" s="8">
        <v>44218.51898148148</v>
      </c>
      <c r="B21" s="9" t="str">
        <f t="shared" si="1"/>
        <v>@LillyTellez</v>
      </c>
      <c r="C21" s="10" t="s">
        <v>2266</v>
      </c>
      <c r="D21" s="10" t="s">
        <v>2299</v>
      </c>
      <c r="E21" s="9" t="str">
        <f>HYPERLINK("https://twitter.com/LillyTellez/status/1352684286642540544","1352684286642540544")</f>
        <v>1352684286642540544</v>
      </c>
      <c r="F21" s="12"/>
      <c r="G21" s="12"/>
      <c r="H21" s="12"/>
      <c r="I21" s="13">
        <v>4646.0</v>
      </c>
      <c r="J21" s="13">
        <v>32719.0</v>
      </c>
      <c r="K21" s="9" t="str">
        <f t="shared" si="2"/>
        <v>Twitter for iPhone</v>
      </c>
      <c r="L21" s="14">
        <v>275190.0</v>
      </c>
      <c r="M21" s="14">
        <v>991.0</v>
      </c>
      <c r="N21" s="14">
        <v>664.0</v>
      </c>
      <c r="O21" s="15" t="s">
        <v>24</v>
      </c>
      <c r="P21" s="16">
        <v>40522.49474537037</v>
      </c>
      <c r="Q21" s="10" t="s">
        <v>325</v>
      </c>
      <c r="R21" s="10" t="s">
        <v>2269</v>
      </c>
      <c r="S21" s="11" t="s">
        <v>2270</v>
      </c>
      <c r="T21" s="12"/>
      <c r="U21" s="17" t="str">
        <f t="shared" si="3"/>
        <v>View</v>
      </c>
      <c r="V21" s="12"/>
      <c r="W21" s="12"/>
      <c r="X21" s="12"/>
      <c r="Y21" s="12"/>
      <c r="Z21" s="12"/>
    </row>
    <row r="22">
      <c r="A22" s="8">
        <v>44217.69300925926</v>
      </c>
      <c r="B22" s="9" t="str">
        <f t="shared" si="1"/>
        <v>@LillyTellez</v>
      </c>
      <c r="C22" s="10" t="s">
        <v>2266</v>
      </c>
      <c r="D22" s="10" t="s">
        <v>2300</v>
      </c>
      <c r="E22" s="9" t="str">
        <f>HYPERLINK("https://twitter.com/LillyTellez/status/1352384967418933248","1352384967418933248")</f>
        <v>1352384967418933248</v>
      </c>
      <c r="F22" s="12"/>
      <c r="G22" s="12"/>
      <c r="H22" s="12"/>
      <c r="I22" s="13">
        <v>1464.0</v>
      </c>
      <c r="J22" s="13">
        <v>4401.0</v>
      </c>
      <c r="K22" s="9" t="str">
        <f t="shared" si="2"/>
        <v>Twitter for iPhone</v>
      </c>
      <c r="L22" s="14">
        <v>275190.0</v>
      </c>
      <c r="M22" s="14">
        <v>991.0</v>
      </c>
      <c r="N22" s="14">
        <v>664.0</v>
      </c>
      <c r="O22" s="15" t="s">
        <v>24</v>
      </c>
      <c r="P22" s="16">
        <v>40522.49474537037</v>
      </c>
      <c r="Q22" s="10" t="s">
        <v>325</v>
      </c>
      <c r="R22" s="10" t="s">
        <v>2269</v>
      </c>
      <c r="S22" s="11" t="s">
        <v>2270</v>
      </c>
      <c r="T22" s="12"/>
      <c r="U22" s="17" t="str">
        <f t="shared" si="3"/>
        <v>View</v>
      </c>
      <c r="V22" s="12"/>
      <c r="W22" s="12"/>
      <c r="X22" s="12"/>
      <c r="Y22" s="12"/>
      <c r="Z22" s="12"/>
    </row>
    <row r="23">
      <c r="A23" s="8">
        <v>44217.38858796297</v>
      </c>
      <c r="B23" s="9" t="str">
        <f t="shared" si="1"/>
        <v>@LillyTellez</v>
      </c>
      <c r="C23" s="10" t="s">
        <v>2266</v>
      </c>
      <c r="D23" s="10" t="s">
        <v>2301</v>
      </c>
      <c r="E23" s="9" t="str">
        <f>HYPERLINK("https://twitter.com/LillyTellez/status/1352274645517361154","1352274645517361154")</f>
        <v>1352274645517361154</v>
      </c>
      <c r="F23" s="12"/>
      <c r="G23" s="11" t="s">
        <v>2302</v>
      </c>
      <c r="H23" s="12"/>
      <c r="I23" s="13">
        <v>62.0</v>
      </c>
      <c r="J23" s="13">
        <v>379.0</v>
      </c>
      <c r="K23" s="9" t="str">
        <f t="shared" si="2"/>
        <v>Twitter for iPhone</v>
      </c>
      <c r="L23" s="14">
        <v>275190.0</v>
      </c>
      <c r="M23" s="14">
        <v>991.0</v>
      </c>
      <c r="N23" s="14">
        <v>664.0</v>
      </c>
      <c r="O23" s="15" t="s">
        <v>24</v>
      </c>
      <c r="P23" s="16">
        <v>40522.49474537037</v>
      </c>
      <c r="Q23" s="10" t="s">
        <v>325</v>
      </c>
      <c r="R23" s="10" t="s">
        <v>2269</v>
      </c>
      <c r="S23" s="11" t="s">
        <v>2270</v>
      </c>
      <c r="T23" s="12"/>
      <c r="U23" s="17" t="str">
        <f t="shared" si="3"/>
        <v>View</v>
      </c>
      <c r="V23" s="12"/>
      <c r="W23" s="12"/>
      <c r="X23" s="12"/>
      <c r="Y23" s="12"/>
      <c r="Z23" s="12"/>
    </row>
    <row r="24">
      <c r="A24" s="8">
        <v>44216.7334375</v>
      </c>
      <c r="B24" s="9" t="str">
        <f t="shared" si="1"/>
        <v>@LillyTellez</v>
      </c>
      <c r="C24" s="10" t="s">
        <v>2266</v>
      </c>
      <c r="D24" s="10" t="s">
        <v>2303</v>
      </c>
      <c r="E24" s="9" t="str">
        <f>HYPERLINK("https://twitter.com/LillyTellez/status/1352037226692059137","1352037226692059137")</f>
        <v>1352037226692059137</v>
      </c>
      <c r="F24" s="10" t="s">
        <v>2304</v>
      </c>
      <c r="G24" s="12"/>
      <c r="H24" s="12"/>
      <c r="I24" s="13">
        <v>802.0</v>
      </c>
      <c r="J24" s="13">
        <v>2812.0</v>
      </c>
      <c r="K24" s="9" t="str">
        <f t="shared" si="2"/>
        <v>Twitter for iPhone</v>
      </c>
      <c r="L24" s="14">
        <v>275190.0</v>
      </c>
      <c r="M24" s="14">
        <v>991.0</v>
      </c>
      <c r="N24" s="14">
        <v>664.0</v>
      </c>
      <c r="O24" s="15" t="s">
        <v>24</v>
      </c>
      <c r="P24" s="16">
        <v>40522.49474537037</v>
      </c>
      <c r="Q24" s="10" t="s">
        <v>325</v>
      </c>
      <c r="R24" s="10" t="s">
        <v>2269</v>
      </c>
      <c r="S24" s="11" t="s">
        <v>2270</v>
      </c>
      <c r="T24" s="12"/>
      <c r="U24" s="17" t="str">
        <f t="shared" si="3"/>
        <v>View</v>
      </c>
      <c r="V24" s="12"/>
      <c r="W24" s="12"/>
      <c r="X24" s="12"/>
      <c r="Y24" s="12"/>
      <c r="Z24" s="12"/>
    </row>
    <row r="25">
      <c r="A25" s="8">
        <v>44216.686956018515</v>
      </c>
      <c r="B25" s="9" t="str">
        <f t="shared" si="1"/>
        <v>@LillyTellez</v>
      </c>
      <c r="C25" s="10" t="s">
        <v>2266</v>
      </c>
      <c r="D25" s="10" t="s">
        <v>2305</v>
      </c>
      <c r="E25" s="9" t="str">
        <f>HYPERLINK("https://twitter.com/LillyTellez/status/1352020385726779394","1352020385726779394")</f>
        <v>1352020385726779394</v>
      </c>
      <c r="F25" s="12"/>
      <c r="G25" s="12"/>
      <c r="H25" s="12"/>
      <c r="I25" s="13">
        <v>1362.0</v>
      </c>
      <c r="J25" s="13">
        <v>14297.0</v>
      </c>
      <c r="K25" s="9" t="str">
        <f t="shared" si="2"/>
        <v>Twitter for iPhone</v>
      </c>
      <c r="L25" s="14">
        <v>275190.0</v>
      </c>
      <c r="M25" s="14">
        <v>991.0</v>
      </c>
      <c r="N25" s="14">
        <v>664.0</v>
      </c>
      <c r="O25" s="15" t="s">
        <v>24</v>
      </c>
      <c r="P25" s="16">
        <v>40522.49474537037</v>
      </c>
      <c r="Q25" s="10" t="s">
        <v>325</v>
      </c>
      <c r="R25" s="10" t="s">
        <v>2269</v>
      </c>
      <c r="S25" s="11" t="s">
        <v>2270</v>
      </c>
      <c r="T25" s="12"/>
      <c r="U25" s="17" t="str">
        <f t="shared" si="3"/>
        <v>View</v>
      </c>
      <c r="V25" s="12"/>
      <c r="W25" s="12"/>
      <c r="X25" s="12"/>
      <c r="Y25" s="12"/>
      <c r="Z25" s="12"/>
    </row>
    <row r="26">
      <c r="A26" s="8">
        <v>44216.60329861111</v>
      </c>
      <c r="B26" s="9" t="str">
        <f t="shared" si="1"/>
        <v>@LillyTellez</v>
      </c>
      <c r="C26" s="10" t="s">
        <v>2266</v>
      </c>
      <c r="D26" s="10" t="s">
        <v>2306</v>
      </c>
      <c r="E26" s="9" t="str">
        <f>HYPERLINK("https://twitter.com/LillyTellez/status/1351990068118921216","1351990068118921216")</f>
        <v>1351990068118921216</v>
      </c>
      <c r="F26" s="12"/>
      <c r="G26" s="11" t="s">
        <v>2307</v>
      </c>
      <c r="H26" s="12"/>
      <c r="I26" s="13">
        <v>809.0</v>
      </c>
      <c r="J26" s="13">
        <v>1752.0</v>
      </c>
      <c r="K26" s="9" t="str">
        <f t="shared" si="2"/>
        <v>Twitter for iPhone</v>
      </c>
      <c r="L26" s="14">
        <v>275190.0</v>
      </c>
      <c r="M26" s="14">
        <v>991.0</v>
      </c>
      <c r="N26" s="14">
        <v>664.0</v>
      </c>
      <c r="O26" s="15" t="s">
        <v>24</v>
      </c>
      <c r="P26" s="16">
        <v>40522.49474537037</v>
      </c>
      <c r="Q26" s="10" t="s">
        <v>325</v>
      </c>
      <c r="R26" s="10" t="s">
        <v>2269</v>
      </c>
      <c r="S26" s="11" t="s">
        <v>2270</v>
      </c>
      <c r="T26" s="12"/>
      <c r="U26" s="17" t="str">
        <f t="shared" si="3"/>
        <v>View</v>
      </c>
      <c r="V26" s="12"/>
      <c r="W26" s="12"/>
      <c r="X26" s="12"/>
      <c r="Y26" s="12"/>
      <c r="Z26" s="12"/>
    </row>
    <row r="27">
      <c r="A27" s="8">
        <v>44215.94396990741</v>
      </c>
      <c r="B27" s="9" t="str">
        <f t="shared" si="1"/>
        <v>@LillyTellez</v>
      </c>
      <c r="C27" s="10" t="s">
        <v>2266</v>
      </c>
      <c r="D27" s="10" t="s">
        <v>2308</v>
      </c>
      <c r="E27" s="9" t="str">
        <f>HYPERLINK("https://twitter.com/LillyTellez/status/1351751134222852099","1351751134222852099")</f>
        <v>1351751134222852099</v>
      </c>
      <c r="F27" s="12"/>
      <c r="G27" s="11" t="s">
        <v>2309</v>
      </c>
      <c r="H27" s="12"/>
      <c r="I27" s="13">
        <v>2996.0</v>
      </c>
      <c r="J27" s="13">
        <v>7904.0</v>
      </c>
      <c r="K27" s="9" t="str">
        <f t="shared" si="2"/>
        <v>Twitter for iPhone</v>
      </c>
      <c r="L27" s="14">
        <v>275190.0</v>
      </c>
      <c r="M27" s="14">
        <v>991.0</v>
      </c>
      <c r="N27" s="14">
        <v>664.0</v>
      </c>
      <c r="O27" s="15" t="s">
        <v>24</v>
      </c>
      <c r="P27" s="16">
        <v>40522.49474537037</v>
      </c>
      <c r="Q27" s="10" t="s">
        <v>325</v>
      </c>
      <c r="R27" s="10" t="s">
        <v>2269</v>
      </c>
      <c r="S27" s="11" t="s">
        <v>2270</v>
      </c>
      <c r="T27" s="12"/>
      <c r="U27" s="17" t="str">
        <f t="shared" si="3"/>
        <v>View</v>
      </c>
      <c r="V27" s="12"/>
      <c r="W27" s="12"/>
      <c r="X27" s="12"/>
      <c r="Y27" s="12"/>
      <c r="Z27" s="12"/>
    </row>
    <row r="28">
      <c r="A28" s="8">
        <v>44215.4528587963</v>
      </c>
      <c r="B28" s="9" t="str">
        <f t="shared" si="1"/>
        <v>@LillyTellez</v>
      </c>
      <c r="C28" s="10" t="s">
        <v>2266</v>
      </c>
      <c r="D28" s="10" t="s">
        <v>2310</v>
      </c>
      <c r="E28" s="9" t="str">
        <f>HYPERLINK("https://twitter.com/LillyTellez/status/1351573161926553601","1351573161926553601")</f>
        <v>1351573161926553601</v>
      </c>
      <c r="F28" s="12"/>
      <c r="G28" s="11" t="s">
        <v>2311</v>
      </c>
      <c r="H28" s="12"/>
      <c r="I28" s="13">
        <v>450.0</v>
      </c>
      <c r="J28" s="13">
        <v>2341.0</v>
      </c>
      <c r="K28" s="9" t="str">
        <f t="shared" si="2"/>
        <v>Twitter for iPhone</v>
      </c>
      <c r="L28" s="14">
        <v>275190.0</v>
      </c>
      <c r="M28" s="14">
        <v>991.0</v>
      </c>
      <c r="N28" s="14">
        <v>664.0</v>
      </c>
      <c r="O28" s="15" t="s">
        <v>24</v>
      </c>
      <c r="P28" s="16">
        <v>40522.49474537037</v>
      </c>
      <c r="Q28" s="10" t="s">
        <v>325</v>
      </c>
      <c r="R28" s="10" t="s">
        <v>2269</v>
      </c>
      <c r="S28" s="11" t="s">
        <v>2270</v>
      </c>
      <c r="T28" s="12"/>
      <c r="U28" s="17" t="str">
        <f t="shared" si="3"/>
        <v>View</v>
      </c>
      <c r="V28" s="12"/>
      <c r="W28" s="12"/>
      <c r="X28" s="12"/>
      <c r="Y28" s="12"/>
      <c r="Z28" s="12"/>
    </row>
    <row r="29">
      <c r="A29" s="8">
        <v>44214.84569444445</v>
      </c>
      <c r="B29" s="9" t="str">
        <f t="shared" si="1"/>
        <v>@LillyTellez</v>
      </c>
      <c r="C29" s="10" t="s">
        <v>2266</v>
      </c>
      <c r="D29" s="10" t="s">
        <v>2312</v>
      </c>
      <c r="E29" s="9" t="str">
        <f>HYPERLINK("https://twitter.com/LillyTellez/status/1351353131154644994","1351353131154644994")</f>
        <v>1351353131154644994</v>
      </c>
      <c r="F29" s="12"/>
      <c r="G29" s="12"/>
      <c r="H29" s="12"/>
      <c r="I29" s="13">
        <v>285.0</v>
      </c>
      <c r="J29" s="13">
        <v>1464.0</v>
      </c>
      <c r="K29" s="9" t="str">
        <f t="shared" si="2"/>
        <v>Twitter for iPhone</v>
      </c>
      <c r="L29" s="14">
        <v>275190.0</v>
      </c>
      <c r="M29" s="14">
        <v>991.0</v>
      </c>
      <c r="N29" s="14">
        <v>664.0</v>
      </c>
      <c r="O29" s="15" t="s">
        <v>24</v>
      </c>
      <c r="P29" s="16">
        <v>40522.49474537037</v>
      </c>
      <c r="Q29" s="10" t="s">
        <v>325</v>
      </c>
      <c r="R29" s="10" t="s">
        <v>2269</v>
      </c>
      <c r="S29" s="11" t="s">
        <v>2270</v>
      </c>
      <c r="T29" s="12"/>
      <c r="U29" s="17" t="str">
        <f t="shared" si="3"/>
        <v>View</v>
      </c>
      <c r="V29" s="12"/>
      <c r="W29" s="12"/>
      <c r="X29" s="12"/>
      <c r="Y29" s="12"/>
      <c r="Z29" s="12"/>
    </row>
    <row r="30">
      <c r="A30" s="8">
        <v>44214.84541666666</v>
      </c>
      <c r="B30" s="9" t="str">
        <f t="shared" si="1"/>
        <v>@LillyTellez</v>
      </c>
      <c r="C30" s="10" t="s">
        <v>2266</v>
      </c>
      <c r="D30" s="10" t="s">
        <v>2313</v>
      </c>
      <c r="E30" s="9" t="str">
        <f>HYPERLINK("https://twitter.com/LillyTellez/status/1351353032970125313","1351353032970125313")</f>
        <v>1351353032970125313</v>
      </c>
      <c r="F30" s="12"/>
      <c r="G30" s="12"/>
      <c r="H30" s="12"/>
      <c r="I30" s="13">
        <v>59.0</v>
      </c>
      <c r="J30" s="13">
        <v>236.0</v>
      </c>
      <c r="K30" s="9" t="str">
        <f t="shared" si="2"/>
        <v>Twitter for iPhone</v>
      </c>
      <c r="L30" s="14">
        <v>275190.0</v>
      </c>
      <c r="M30" s="14">
        <v>991.0</v>
      </c>
      <c r="N30" s="14">
        <v>664.0</v>
      </c>
      <c r="O30" s="15" t="s">
        <v>24</v>
      </c>
      <c r="P30" s="16">
        <v>40522.49474537037</v>
      </c>
      <c r="Q30" s="10" t="s">
        <v>325</v>
      </c>
      <c r="R30" s="10" t="s">
        <v>2269</v>
      </c>
      <c r="S30" s="11" t="s">
        <v>2270</v>
      </c>
      <c r="T30" s="12"/>
      <c r="U30" s="17" t="str">
        <f t="shared" si="3"/>
        <v>View</v>
      </c>
      <c r="V30" s="12"/>
      <c r="W30" s="12"/>
      <c r="X30" s="12"/>
      <c r="Y30" s="12"/>
      <c r="Z30" s="12"/>
    </row>
    <row r="31">
      <c r="A31" s="8">
        <v>44214.845196759255</v>
      </c>
      <c r="B31" s="9" t="str">
        <f t="shared" si="1"/>
        <v>@LillyTellez</v>
      </c>
      <c r="C31" s="10" t="s">
        <v>2266</v>
      </c>
      <c r="D31" s="10" t="s">
        <v>2314</v>
      </c>
      <c r="E31" s="9" t="str">
        <f>HYPERLINK("https://twitter.com/LillyTellez/status/1351352952825417728","1351352952825417728")</f>
        <v>1351352952825417728</v>
      </c>
      <c r="F31" s="12"/>
      <c r="G31" s="12"/>
      <c r="H31" s="12"/>
      <c r="I31" s="13">
        <v>76.0</v>
      </c>
      <c r="J31" s="13">
        <v>324.0</v>
      </c>
      <c r="K31" s="9" t="str">
        <f t="shared" si="2"/>
        <v>Twitter for iPhone</v>
      </c>
      <c r="L31" s="14">
        <v>275190.0</v>
      </c>
      <c r="M31" s="14">
        <v>991.0</v>
      </c>
      <c r="N31" s="14">
        <v>664.0</v>
      </c>
      <c r="O31" s="15" t="s">
        <v>24</v>
      </c>
      <c r="P31" s="16">
        <v>40522.49474537037</v>
      </c>
      <c r="Q31" s="10" t="s">
        <v>325</v>
      </c>
      <c r="R31" s="10" t="s">
        <v>2269</v>
      </c>
      <c r="S31" s="11" t="s">
        <v>2270</v>
      </c>
      <c r="T31" s="12"/>
      <c r="U31" s="17" t="str">
        <f t="shared" si="3"/>
        <v>View</v>
      </c>
      <c r="V31" s="12"/>
      <c r="W31" s="12"/>
      <c r="X31" s="12"/>
      <c r="Y31" s="12"/>
      <c r="Z31" s="12"/>
    </row>
    <row r="32">
      <c r="A32" s="8">
        <v>44214.84497685185</v>
      </c>
      <c r="B32" s="9" t="str">
        <f t="shared" si="1"/>
        <v>@LillyTellez</v>
      </c>
      <c r="C32" s="10" t="s">
        <v>2266</v>
      </c>
      <c r="D32" s="10" t="s">
        <v>2315</v>
      </c>
      <c r="E32" s="9" t="str">
        <f>HYPERLINK("https://twitter.com/LillyTellez/status/1351352873439805441","1351352873439805441")</f>
        <v>1351352873439805441</v>
      </c>
      <c r="F32" s="12"/>
      <c r="G32" s="12"/>
      <c r="H32" s="12"/>
      <c r="I32" s="13">
        <v>49.0</v>
      </c>
      <c r="J32" s="13">
        <v>197.0</v>
      </c>
      <c r="K32" s="9" t="str">
        <f t="shared" si="2"/>
        <v>Twitter for iPhone</v>
      </c>
      <c r="L32" s="14">
        <v>275190.0</v>
      </c>
      <c r="M32" s="14">
        <v>991.0</v>
      </c>
      <c r="N32" s="14">
        <v>664.0</v>
      </c>
      <c r="O32" s="15" t="s">
        <v>24</v>
      </c>
      <c r="P32" s="16">
        <v>40522.49474537037</v>
      </c>
      <c r="Q32" s="10" t="s">
        <v>325</v>
      </c>
      <c r="R32" s="10" t="s">
        <v>2269</v>
      </c>
      <c r="S32" s="11" t="s">
        <v>2270</v>
      </c>
      <c r="T32" s="12"/>
      <c r="U32" s="17" t="str">
        <f t="shared" si="3"/>
        <v>View</v>
      </c>
      <c r="V32" s="12"/>
      <c r="W32" s="12"/>
      <c r="X32" s="12"/>
      <c r="Y32" s="12"/>
      <c r="Z32" s="12"/>
    </row>
    <row r="33">
      <c r="A33" s="8">
        <v>44214.8446412037</v>
      </c>
      <c r="B33" s="9" t="str">
        <f t="shared" si="1"/>
        <v>@LillyTellez</v>
      </c>
      <c r="C33" s="10" t="s">
        <v>2266</v>
      </c>
      <c r="D33" s="10" t="s">
        <v>2316</v>
      </c>
      <c r="E33" s="9" t="str">
        <f>HYPERLINK("https://twitter.com/LillyTellez/status/1351352751523917826","1351352751523917826")</f>
        <v>1351352751523917826</v>
      </c>
      <c r="F33" s="12"/>
      <c r="G33" s="12"/>
      <c r="H33" s="12"/>
      <c r="I33" s="13">
        <v>52.0</v>
      </c>
      <c r="J33" s="13">
        <v>207.0</v>
      </c>
      <c r="K33" s="9" t="str">
        <f t="shared" si="2"/>
        <v>Twitter for iPhone</v>
      </c>
      <c r="L33" s="14">
        <v>275190.0</v>
      </c>
      <c r="M33" s="14">
        <v>991.0</v>
      </c>
      <c r="N33" s="14">
        <v>664.0</v>
      </c>
      <c r="O33" s="15" t="s">
        <v>24</v>
      </c>
      <c r="P33" s="16">
        <v>40522.49474537037</v>
      </c>
      <c r="Q33" s="10" t="s">
        <v>325</v>
      </c>
      <c r="R33" s="10" t="s">
        <v>2269</v>
      </c>
      <c r="S33" s="11" t="s">
        <v>2270</v>
      </c>
      <c r="T33" s="12"/>
      <c r="U33" s="17" t="str">
        <f t="shared" si="3"/>
        <v>View</v>
      </c>
      <c r="V33" s="12"/>
      <c r="W33" s="12"/>
      <c r="X33" s="12"/>
      <c r="Y33" s="12"/>
      <c r="Z33" s="12"/>
    </row>
    <row r="34">
      <c r="A34" s="8">
        <v>44214.843993055554</v>
      </c>
      <c r="B34" s="9" t="str">
        <f t="shared" si="1"/>
        <v>@LillyTellez</v>
      </c>
      <c r="C34" s="10" t="s">
        <v>2266</v>
      </c>
      <c r="D34" s="10" t="s">
        <v>2317</v>
      </c>
      <c r="E34" s="9" t="str">
        <f>HYPERLINK("https://twitter.com/LillyTellez/status/1351352517309829121","1351352517309829121")</f>
        <v>1351352517309829121</v>
      </c>
      <c r="F34" s="12"/>
      <c r="G34" s="12"/>
      <c r="H34" s="12"/>
      <c r="I34" s="13">
        <v>53.0</v>
      </c>
      <c r="J34" s="13">
        <v>239.0</v>
      </c>
      <c r="K34" s="9" t="str">
        <f t="shared" si="2"/>
        <v>Twitter for iPhone</v>
      </c>
      <c r="L34" s="14">
        <v>275190.0</v>
      </c>
      <c r="M34" s="14">
        <v>991.0</v>
      </c>
      <c r="N34" s="14">
        <v>664.0</v>
      </c>
      <c r="O34" s="15" t="s">
        <v>24</v>
      </c>
      <c r="P34" s="16">
        <v>40522.49474537037</v>
      </c>
      <c r="Q34" s="10" t="s">
        <v>325</v>
      </c>
      <c r="R34" s="10" t="s">
        <v>2269</v>
      </c>
      <c r="S34" s="11" t="s">
        <v>2270</v>
      </c>
      <c r="T34" s="12"/>
      <c r="U34" s="17" t="str">
        <f t="shared" si="3"/>
        <v>View</v>
      </c>
      <c r="V34" s="12"/>
      <c r="W34" s="12"/>
      <c r="X34" s="12"/>
      <c r="Y34" s="12"/>
      <c r="Z34" s="12"/>
    </row>
    <row r="35">
      <c r="A35" s="8">
        <v>44214.84377314815</v>
      </c>
      <c r="B35" s="9" t="str">
        <f t="shared" si="1"/>
        <v>@LillyTellez</v>
      </c>
      <c r="C35" s="10" t="s">
        <v>2266</v>
      </c>
      <c r="D35" s="10" t="s">
        <v>2318</v>
      </c>
      <c r="E35" s="9" t="str">
        <f>HYPERLINK("https://twitter.com/LillyTellez/status/1351352438024929282","1351352438024929282")</f>
        <v>1351352438024929282</v>
      </c>
      <c r="F35" s="12"/>
      <c r="G35" s="12"/>
      <c r="H35" s="12"/>
      <c r="I35" s="13">
        <v>32.0</v>
      </c>
      <c r="J35" s="13">
        <v>185.0</v>
      </c>
      <c r="K35" s="9" t="str">
        <f t="shared" si="2"/>
        <v>Twitter for iPhone</v>
      </c>
      <c r="L35" s="14">
        <v>275190.0</v>
      </c>
      <c r="M35" s="14">
        <v>991.0</v>
      </c>
      <c r="N35" s="14">
        <v>664.0</v>
      </c>
      <c r="O35" s="15" t="s">
        <v>24</v>
      </c>
      <c r="P35" s="16">
        <v>40522.49474537037</v>
      </c>
      <c r="Q35" s="10" t="s">
        <v>325</v>
      </c>
      <c r="R35" s="10" t="s">
        <v>2269</v>
      </c>
      <c r="S35" s="11" t="s">
        <v>2270</v>
      </c>
      <c r="T35" s="12"/>
      <c r="U35" s="17" t="str">
        <f t="shared" si="3"/>
        <v>View</v>
      </c>
      <c r="V35" s="12"/>
      <c r="W35" s="12"/>
      <c r="X35" s="12"/>
      <c r="Y35" s="12"/>
      <c r="Z35" s="12"/>
    </row>
    <row r="36">
      <c r="A36" s="8">
        <v>44214.843576388885</v>
      </c>
      <c r="B36" s="9" t="str">
        <f t="shared" si="1"/>
        <v>@LillyTellez</v>
      </c>
      <c r="C36" s="10" t="s">
        <v>2266</v>
      </c>
      <c r="D36" s="10" t="s">
        <v>2319</v>
      </c>
      <c r="E36" s="9" t="str">
        <f>HYPERLINK("https://twitter.com/LillyTellez/status/1351352363446013953","1351352363446013953")</f>
        <v>1351352363446013953</v>
      </c>
      <c r="F36" s="12"/>
      <c r="G36" s="12"/>
      <c r="H36" s="12"/>
      <c r="I36" s="13">
        <v>44.0</v>
      </c>
      <c r="J36" s="13">
        <v>193.0</v>
      </c>
      <c r="K36" s="9" t="str">
        <f t="shared" si="2"/>
        <v>Twitter for iPhone</v>
      </c>
      <c r="L36" s="14">
        <v>275190.0</v>
      </c>
      <c r="M36" s="14">
        <v>991.0</v>
      </c>
      <c r="N36" s="14">
        <v>664.0</v>
      </c>
      <c r="O36" s="15" t="s">
        <v>24</v>
      </c>
      <c r="P36" s="16">
        <v>40522.49474537037</v>
      </c>
      <c r="Q36" s="10" t="s">
        <v>325</v>
      </c>
      <c r="R36" s="10" t="s">
        <v>2269</v>
      </c>
      <c r="S36" s="11" t="s">
        <v>2270</v>
      </c>
      <c r="T36" s="12"/>
      <c r="U36" s="17" t="str">
        <f t="shared" si="3"/>
        <v>View</v>
      </c>
      <c r="V36" s="12"/>
      <c r="W36" s="12"/>
      <c r="X36" s="12"/>
      <c r="Y36" s="12"/>
      <c r="Z36" s="12"/>
    </row>
    <row r="37">
      <c r="A37" s="8">
        <v>44214.84334490741</v>
      </c>
      <c r="B37" s="9" t="str">
        <f t="shared" si="1"/>
        <v>@LillyTellez</v>
      </c>
      <c r="C37" s="10" t="s">
        <v>2266</v>
      </c>
      <c r="D37" s="10" t="s">
        <v>2320</v>
      </c>
      <c r="E37" s="9" t="str">
        <f>HYPERLINK("https://twitter.com/LillyTellez/status/1351352283066339331","1351352283066339331")</f>
        <v>1351352283066339331</v>
      </c>
      <c r="F37" s="12"/>
      <c r="G37" s="12"/>
      <c r="H37" s="12"/>
      <c r="I37" s="13">
        <v>43.0</v>
      </c>
      <c r="J37" s="13">
        <v>188.0</v>
      </c>
      <c r="K37" s="9" t="str">
        <f t="shared" si="2"/>
        <v>Twitter for iPhone</v>
      </c>
      <c r="L37" s="14">
        <v>275190.0</v>
      </c>
      <c r="M37" s="14">
        <v>991.0</v>
      </c>
      <c r="N37" s="14">
        <v>664.0</v>
      </c>
      <c r="O37" s="15" t="s">
        <v>24</v>
      </c>
      <c r="P37" s="16">
        <v>40522.49474537037</v>
      </c>
      <c r="Q37" s="10" t="s">
        <v>325</v>
      </c>
      <c r="R37" s="10" t="s">
        <v>2269</v>
      </c>
      <c r="S37" s="11" t="s">
        <v>2270</v>
      </c>
      <c r="T37" s="12"/>
      <c r="U37" s="17" t="str">
        <f t="shared" si="3"/>
        <v>View</v>
      </c>
      <c r="V37" s="12"/>
      <c r="W37" s="12"/>
      <c r="X37" s="12"/>
      <c r="Y37" s="12"/>
      <c r="Z37" s="12"/>
    </row>
    <row r="38">
      <c r="A38" s="8">
        <v>44214.84314814815</v>
      </c>
      <c r="B38" s="9" t="str">
        <f t="shared" si="1"/>
        <v>@LillyTellez</v>
      </c>
      <c r="C38" s="10" t="s">
        <v>2266</v>
      </c>
      <c r="D38" s="10" t="s">
        <v>2321</v>
      </c>
      <c r="E38" s="9" t="str">
        <f>HYPERLINK("https://twitter.com/LillyTellez/status/1351352208445435904","1351352208445435904")</f>
        <v>1351352208445435904</v>
      </c>
      <c r="F38" s="12"/>
      <c r="G38" s="12"/>
      <c r="H38" s="12"/>
      <c r="I38" s="13">
        <v>42.0</v>
      </c>
      <c r="J38" s="13">
        <v>190.0</v>
      </c>
      <c r="K38" s="9" t="str">
        <f t="shared" si="2"/>
        <v>Twitter for iPhone</v>
      </c>
      <c r="L38" s="14">
        <v>275190.0</v>
      </c>
      <c r="M38" s="14">
        <v>991.0</v>
      </c>
      <c r="N38" s="14">
        <v>664.0</v>
      </c>
      <c r="O38" s="15" t="s">
        <v>24</v>
      </c>
      <c r="P38" s="16">
        <v>40522.49474537037</v>
      </c>
      <c r="Q38" s="10" t="s">
        <v>325</v>
      </c>
      <c r="R38" s="10" t="s">
        <v>2269</v>
      </c>
      <c r="S38" s="11" t="s">
        <v>2270</v>
      </c>
      <c r="T38" s="12"/>
      <c r="U38" s="17" t="str">
        <f t="shared" si="3"/>
        <v>View</v>
      </c>
      <c r="V38" s="12"/>
      <c r="W38" s="12"/>
      <c r="X38" s="12"/>
      <c r="Y38" s="12"/>
      <c r="Z38" s="12"/>
    </row>
    <row r="39">
      <c r="A39" s="8">
        <v>44214.842928240745</v>
      </c>
      <c r="B39" s="9" t="str">
        <f t="shared" si="1"/>
        <v>@LillyTellez</v>
      </c>
      <c r="C39" s="10" t="s">
        <v>2266</v>
      </c>
      <c r="D39" s="10" t="s">
        <v>2322</v>
      </c>
      <c r="E39" s="9" t="str">
        <f>HYPERLINK("https://twitter.com/LillyTellez/status/1351352131085688832","1351352131085688832")</f>
        <v>1351352131085688832</v>
      </c>
      <c r="F39" s="12"/>
      <c r="G39" s="12"/>
      <c r="H39" s="12"/>
      <c r="I39" s="13">
        <v>40.0</v>
      </c>
      <c r="J39" s="13">
        <v>238.0</v>
      </c>
      <c r="K39" s="9" t="str">
        <f t="shared" si="2"/>
        <v>Twitter for iPhone</v>
      </c>
      <c r="L39" s="14">
        <v>275190.0</v>
      </c>
      <c r="M39" s="14">
        <v>991.0</v>
      </c>
      <c r="N39" s="14">
        <v>664.0</v>
      </c>
      <c r="O39" s="15" t="s">
        <v>24</v>
      </c>
      <c r="P39" s="16">
        <v>40522.49474537037</v>
      </c>
      <c r="Q39" s="10" t="s">
        <v>325</v>
      </c>
      <c r="R39" s="10" t="s">
        <v>2269</v>
      </c>
      <c r="S39" s="11" t="s">
        <v>2270</v>
      </c>
      <c r="T39" s="12"/>
      <c r="U39" s="17" t="str">
        <f t="shared" si="3"/>
        <v>View</v>
      </c>
      <c r="V39" s="12"/>
      <c r="W39" s="12"/>
      <c r="X39" s="12"/>
      <c r="Y39" s="12"/>
      <c r="Z39" s="12"/>
    </row>
    <row r="40">
      <c r="A40" s="8">
        <v>44214.84271990741</v>
      </c>
      <c r="B40" s="9" t="str">
        <f t="shared" si="1"/>
        <v>@LillyTellez</v>
      </c>
      <c r="C40" s="10" t="s">
        <v>2266</v>
      </c>
      <c r="D40" s="10" t="s">
        <v>2323</v>
      </c>
      <c r="E40" s="9" t="str">
        <f>HYPERLINK("https://twitter.com/LillyTellez/status/1351352054757826560","1351352054757826560")</f>
        <v>1351352054757826560</v>
      </c>
      <c r="F40" s="12"/>
      <c r="G40" s="12"/>
      <c r="H40" s="12"/>
      <c r="I40" s="13">
        <v>50.0</v>
      </c>
      <c r="J40" s="13">
        <v>273.0</v>
      </c>
      <c r="K40" s="9" t="str">
        <f t="shared" si="2"/>
        <v>Twitter for iPhone</v>
      </c>
      <c r="L40" s="14">
        <v>275190.0</v>
      </c>
      <c r="M40" s="14">
        <v>991.0</v>
      </c>
      <c r="N40" s="14">
        <v>664.0</v>
      </c>
      <c r="O40" s="15" t="s">
        <v>24</v>
      </c>
      <c r="P40" s="16">
        <v>40522.49474537037</v>
      </c>
      <c r="Q40" s="10" t="s">
        <v>325</v>
      </c>
      <c r="R40" s="10" t="s">
        <v>2269</v>
      </c>
      <c r="S40" s="11" t="s">
        <v>2270</v>
      </c>
      <c r="T40" s="12"/>
      <c r="U40" s="17" t="str">
        <f t="shared" si="3"/>
        <v>View</v>
      </c>
      <c r="V40" s="12"/>
      <c r="W40" s="12"/>
      <c r="X40" s="12"/>
      <c r="Y40" s="12"/>
      <c r="Z40" s="12"/>
    </row>
    <row r="41">
      <c r="A41" s="8">
        <v>44214.84243055555</v>
      </c>
      <c r="B41" s="9" t="str">
        <f t="shared" si="1"/>
        <v>@LillyTellez</v>
      </c>
      <c r="C41" s="10" t="s">
        <v>2266</v>
      </c>
      <c r="D41" s="10" t="s">
        <v>2324</v>
      </c>
      <c r="E41" s="9" t="str">
        <f>HYPERLINK("https://twitter.com/LillyTellez/status/1351351950801944576","1351351950801944576")</f>
        <v>1351351950801944576</v>
      </c>
      <c r="F41" s="12"/>
      <c r="G41" s="12"/>
      <c r="H41" s="12"/>
      <c r="I41" s="13">
        <v>70.0</v>
      </c>
      <c r="J41" s="13">
        <v>336.0</v>
      </c>
      <c r="K41" s="9" t="str">
        <f t="shared" si="2"/>
        <v>Twitter for iPhone</v>
      </c>
      <c r="L41" s="14">
        <v>275190.0</v>
      </c>
      <c r="M41" s="14">
        <v>991.0</v>
      </c>
      <c r="N41" s="14">
        <v>664.0</v>
      </c>
      <c r="O41" s="15" t="s">
        <v>24</v>
      </c>
      <c r="P41" s="16">
        <v>40522.49474537037</v>
      </c>
      <c r="Q41" s="10" t="s">
        <v>325</v>
      </c>
      <c r="R41" s="10" t="s">
        <v>2269</v>
      </c>
      <c r="S41" s="11" t="s">
        <v>2270</v>
      </c>
      <c r="T41" s="12"/>
      <c r="U41" s="17" t="str">
        <f t="shared" si="3"/>
        <v>View</v>
      </c>
      <c r="V41" s="12"/>
      <c r="W41" s="12"/>
      <c r="X41" s="12"/>
      <c r="Y41" s="12"/>
      <c r="Z41" s="12"/>
    </row>
    <row r="42">
      <c r="A42" s="8">
        <v>44214.842199074075</v>
      </c>
      <c r="B42" s="9" t="str">
        <f t="shared" si="1"/>
        <v>@LillyTellez</v>
      </c>
      <c r="C42" s="10" t="s">
        <v>2266</v>
      </c>
      <c r="D42" s="10" t="s">
        <v>2325</v>
      </c>
      <c r="E42" s="9" t="str">
        <f>HYPERLINK("https://twitter.com/LillyTellez/status/1351351865531777025","1351351865531777025")</f>
        <v>1351351865531777025</v>
      </c>
      <c r="F42" s="12"/>
      <c r="G42" s="12"/>
      <c r="H42" s="12"/>
      <c r="I42" s="13">
        <v>61.0</v>
      </c>
      <c r="J42" s="13">
        <v>262.0</v>
      </c>
      <c r="K42" s="9" t="str">
        <f t="shared" si="2"/>
        <v>Twitter for iPhone</v>
      </c>
      <c r="L42" s="14">
        <v>275190.0</v>
      </c>
      <c r="M42" s="14">
        <v>991.0</v>
      </c>
      <c r="N42" s="14">
        <v>664.0</v>
      </c>
      <c r="O42" s="15" t="s">
        <v>24</v>
      </c>
      <c r="P42" s="16">
        <v>40522.49474537037</v>
      </c>
      <c r="Q42" s="10" t="s">
        <v>325</v>
      </c>
      <c r="R42" s="10" t="s">
        <v>2269</v>
      </c>
      <c r="S42" s="11" t="s">
        <v>2270</v>
      </c>
      <c r="T42" s="12"/>
      <c r="U42" s="17" t="str">
        <f t="shared" si="3"/>
        <v>View</v>
      </c>
      <c r="V42" s="12"/>
      <c r="W42" s="12"/>
      <c r="X42" s="12"/>
      <c r="Y42" s="12"/>
      <c r="Z42" s="12"/>
    </row>
    <row r="43">
      <c r="A43" s="8">
        <v>44214.8419675926</v>
      </c>
      <c r="B43" s="9" t="str">
        <f t="shared" si="1"/>
        <v>@LillyTellez</v>
      </c>
      <c r="C43" s="10" t="s">
        <v>2266</v>
      </c>
      <c r="D43" s="10" t="s">
        <v>2326</v>
      </c>
      <c r="E43" s="9" t="str">
        <f>HYPERLINK("https://twitter.com/LillyTellez/status/1351351781419216896","1351351781419216896")</f>
        <v>1351351781419216896</v>
      </c>
      <c r="F43" s="12"/>
      <c r="G43" s="12"/>
      <c r="H43" s="12"/>
      <c r="I43" s="13">
        <v>43.0</v>
      </c>
      <c r="J43" s="13">
        <v>192.0</v>
      </c>
      <c r="K43" s="9" t="str">
        <f t="shared" si="2"/>
        <v>Twitter for iPhone</v>
      </c>
      <c r="L43" s="14">
        <v>275190.0</v>
      </c>
      <c r="M43" s="14">
        <v>991.0</v>
      </c>
      <c r="N43" s="14">
        <v>664.0</v>
      </c>
      <c r="O43" s="15" t="s">
        <v>24</v>
      </c>
      <c r="P43" s="16">
        <v>40522.49474537037</v>
      </c>
      <c r="Q43" s="10" t="s">
        <v>325</v>
      </c>
      <c r="R43" s="10" t="s">
        <v>2269</v>
      </c>
      <c r="S43" s="11" t="s">
        <v>2270</v>
      </c>
      <c r="T43" s="12"/>
      <c r="U43" s="17" t="str">
        <f t="shared" si="3"/>
        <v>View</v>
      </c>
      <c r="V43" s="12"/>
      <c r="W43" s="12"/>
      <c r="X43" s="12"/>
      <c r="Y43" s="12"/>
      <c r="Z43" s="12"/>
    </row>
    <row r="44">
      <c r="A44" s="8">
        <v>44214.841736111106</v>
      </c>
      <c r="B44" s="9" t="str">
        <f t="shared" si="1"/>
        <v>@LillyTellez</v>
      </c>
      <c r="C44" s="10" t="s">
        <v>2266</v>
      </c>
      <c r="D44" s="10" t="s">
        <v>2327</v>
      </c>
      <c r="E44" s="9" t="str">
        <f>HYPERLINK("https://twitter.com/LillyTellez/status/1351351699592527872","1351351699592527872")</f>
        <v>1351351699592527872</v>
      </c>
      <c r="F44" s="12"/>
      <c r="G44" s="12"/>
      <c r="H44" s="12"/>
      <c r="I44" s="13">
        <v>48.0</v>
      </c>
      <c r="J44" s="13">
        <v>193.0</v>
      </c>
      <c r="K44" s="9" t="str">
        <f t="shared" si="2"/>
        <v>Twitter for iPhone</v>
      </c>
      <c r="L44" s="14">
        <v>275190.0</v>
      </c>
      <c r="M44" s="14">
        <v>991.0</v>
      </c>
      <c r="N44" s="14">
        <v>664.0</v>
      </c>
      <c r="O44" s="15" t="s">
        <v>24</v>
      </c>
      <c r="P44" s="16">
        <v>40522.49474537037</v>
      </c>
      <c r="Q44" s="10" t="s">
        <v>325</v>
      </c>
      <c r="R44" s="10" t="s">
        <v>2269</v>
      </c>
      <c r="S44" s="11" t="s">
        <v>2270</v>
      </c>
      <c r="T44" s="12"/>
      <c r="U44" s="17" t="str">
        <f t="shared" si="3"/>
        <v>View</v>
      </c>
      <c r="V44" s="12"/>
      <c r="W44" s="12"/>
      <c r="X44" s="12"/>
      <c r="Y44" s="12"/>
      <c r="Z44" s="12"/>
    </row>
    <row r="45">
      <c r="A45" s="8">
        <v>44214.84150462963</v>
      </c>
      <c r="B45" s="9" t="str">
        <f t="shared" si="1"/>
        <v>@LillyTellez</v>
      </c>
      <c r="C45" s="10" t="s">
        <v>2266</v>
      </c>
      <c r="D45" s="10" t="s">
        <v>2328</v>
      </c>
      <c r="E45" s="9" t="str">
        <f>HYPERLINK("https://twitter.com/LillyTellez/status/1351351614162964481","1351351614162964481")</f>
        <v>1351351614162964481</v>
      </c>
      <c r="F45" s="12"/>
      <c r="G45" s="12"/>
      <c r="H45" s="12"/>
      <c r="I45" s="13">
        <v>48.0</v>
      </c>
      <c r="J45" s="13">
        <v>186.0</v>
      </c>
      <c r="K45" s="9" t="str">
        <f t="shared" si="2"/>
        <v>Twitter for iPhone</v>
      </c>
      <c r="L45" s="14">
        <v>275190.0</v>
      </c>
      <c r="M45" s="14">
        <v>991.0</v>
      </c>
      <c r="N45" s="14">
        <v>664.0</v>
      </c>
      <c r="O45" s="15" t="s">
        <v>24</v>
      </c>
      <c r="P45" s="16">
        <v>40522.49474537037</v>
      </c>
      <c r="Q45" s="10" t="s">
        <v>325</v>
      </c>
      <c r="R45" s="10" t="s">
        <v>2269</v>
      </c>
      <c r="S45" s="11" t="s">
        <v>2270</v>
      </c>
      <c r="T45" s="12"/>
      <c r="U45" s="17" t="str">
        <f t="shared" si="3"/>
        <v>View</v>
      </c>
      <c r="V45" s="12"/>
      <c r="W45" s="12"/>
      <c r="X45" s="12"/>
      <c r="Y45" s="12"/>
      <c r="Z45" s="12"/>
    </row>
    <row r="46">
      <c r="A46" s="8">
        <v>44214.84112268519</v>
      </c>
      <c r="B46" s="9" t="str">
        <f t="shared" si="1"/>
        <v>@LillyTellez</v>
      </c>
      <c r="C46" s="10" t="s">
        <v>2266</v>
      </c>
      <c r="D46" s="10" t="s">
        <v>2329</v>
      </c>
      <c r="E46" s="9" t="str">
        <f>HYPERLINK("https://twitter.com/LillyTellez/status/1351351476644265985","1351351476644265985")</f>
        <v>1351351476644265985</v>
      </c>
      <c r="F46" s="11" t="s">
        <v>2330</v>
      </c>
      <c r="G46" s="12"/>
      <c r="H46" s="12"/>
      <c r="I46" s="13">
        <v>63.0</v>
      </c>
      <c r="J46" s="13">
        <v>231.0</v>
      </c>
      <c r="K46" s="9" t="str">
        <f t="shared" si="2"/>
        <v>Twitter for iPhone</v>
      </c>
      <c r="L46" s="14">
        <v>275190.0</v>
      </c>
      <c r="M46" s="14">
        <v>991.0</v>
      </c>
      <c r="N46" s="14">
        <v>664.0</v>
      </c>
      <c r="O46" s="15" t="s">
        <v>24</v>
      </c>
      <c r="P46" s="16">
        <v>40522.49474537037</v>
      </c>
      <c r="Q46" s="10" t="s">
        <v>325</v>
      </c>
      <c r="R46" s="10" t="s">
        <v>2269</v>
      </c>
      <c r="S46" s="11" t="s">
        <v>2270</v>
      </c>
      <c r="T46" s="12"/>
      <c r="U46" s="17" t="str">
        <f t="shared" si="3"/>
        <v>View</v>
      </c>
      <c r="V46" s="12"/>
      <c r="W46" s="12"/>
      <c r="X46" s="12"/>
      <c r="Y46" s="12"/>
      <c r="Z46" s="12"/>
    </row>
    <row r="47">
      <c r="A47" s="8">
        <v>44214.84034722223</v>
      </c>
      <c r="B47" s="9" t="str">
        <f t="shared" si="1"/>
        <v>@LillyTellez</v>
      </c>
      <c r="C47" s="10" t="s">
        <v>2266</v>
      </c>
      <c r="D47" s="10" t="s">
        <v>2331</v>
      </c>
      <c r="E47" s="9" t="str">
        <f>HYPERLINK("https://twitter.com/LillyTellez/status/1351351196586446848","1351351196586446848")</f>
        <v>1351351196586446848</v>
      </c>
      <c r="F47" s="12"/>
      <c r="G47" s="12"/>
      <c r="H47" s="12"/>
      <c r="I47" s="13">
        <v>65.0</v>
      </c>
      <c r="J47" s="13">
        <v>250.0</v>
      </c>
      <c r="K47" s="9" t="str">
        <f t="shared" si="2"/>
        <v>Twitter for iPhone</v>
      </c>
      <c r="L47" s="14">
        <v>275190.0</v>
      </c>
      <c r="M47" s="14">
        <v>991.0</v>
      </c>
      <c r="N47" s="14">
        <v>664.0</v>
      </c>
      <c r="O47" s="15" t="s">
        <v>24</v>
      </c>
      <c r="P47" s="16">
        <v>40522.49474537037</v>
      </c>
      <c r="Q47" s="10" t="s">
        <v>325</v>
      </c>
      <c r="R47" s="10" t="s">
        <v>2269</v>
      </c>
      <c r="S47" s="11" t="s">
        <v>2270</v>
      </c>
      <c r="T47" s="12"/>
      <c r="U47" s="17" t="str">
        <f t="shared" si="3"/>
        <v>View</v>
      </c>
      <c r="V47" s="12"/>
      <c r="W47" s="12"/>
      <c r="X47" s="12"/>
      <c r="Y47" s="12"/>
      <c r="Z47" s="12"/>
    </row>
    <row r="48">
      <c r="A48" s="8">
        <v>44214.840104166666</v>
      </c>
      <c r="B48" s="9" t="str">
        <f t="shared" si="1"/>
        <v>@LillyTellez</v>
      </c>
      <c r="C48" s="10" t="s">
        <v>2266</v>
      </c>
      <c r="D48" s="10" t="s">
        <v>2332</v>
      </c>
      <c r="E48" s="9" t="str">
        <f>HYPERLINK("https://twitter.com/LillyTellez/status/1351351106408910850","1351351106408910850")</f>
        <v>1351351106408910850</v>
      </c>
      <c r="F48" s="12"/>
      <c r="G48" s="12"/>
      <c r="H48" s="12"/>
      <c r="I48" s="13">
        <v>42.0</v>
      </c>
      <c r="J48" s="13">
        <v>174.0</v>
      </c>
      <c r="K48" s="9" t="str">
        <f t="shared" si="2"/>
        <v>Twitter for iPhone</v>
      </c>
      <c r="L48" s="14">
        <v>275190.0</v>
      </c>
      <c r="M48" s="14">
        <v>991.0</v>
      </c>
      <c r="N48" s="14">
        <v>664.0</v>
      </c>
      <c r="O48" s="15" t="s">
        <v>24</v>
      </c>
      <c r="P48" s="16">
        <v>40522.49474537037</v>
      </c>
      <c r="Q48" s="10" t="s">
        <v>325</v>
      </c>
      <c r="R48" s="10" t="s">
        <v>2269</v>
      </c>
      <c r="S48" s="11" t="s">
        <v>2270</v>
      </c>
      <c r="T48" s="12"/>
      <c r="U48" s="17" t="str">
        <f t="shared" si="3"/>
        <v>View</v>
      </c>
      <c r="V48" s="12"/>
      <c r="W48" s="12"/>
      <c r="X48" s="12"/>
      <c r="Y48" s="12"/>
      <c r="Z48" s="12"/>
    </row>
    <row r="49">
      <c r="A49" s="8">
        <v>44214.83987268519</v>
      </c>
      <c r="B49" s="9" t="str">
        <f t="shared" si="1"/>
        <v>@LillyTellez</v>
      </c>
      <c r="C49" s="10" t="s">
        <v>2266</v>
      </c>
      <c r="D49" s="10" t="s">
        <v>2333</v>
      </c>
      <c r="E49" s="9" t="str">
        <f>HYPERLINK("https://twitter.com/LillyTellez/status/1351351023877586946","1351351023877586946")</f>
        <v>1351351023877586946</v>
      </c>
      <c r="F49" s="12"/>
      <c r="G49" s="12"/>
      <c r="H49" s="12"/>
      <c r="I49" s="13">
        <v>749.0</v>
      </c>
      <c r="J49" s="13">
        <v>3786.0</v>
      </c>
      <c r="K49" s="9" t="str">
        <f t="shared" si="2"/>
        <v>Twitter for iPhone</v>
      </c>
      <c r="L49" s="14">
        <v>275190.0</v>
      </c>
      <c r="M49" s="14">
        <v>991.0</v>
      </c>
      <c r="N49" s="14">
        <v>664.0</v>
      </c>
      <c r="O49" s="15" t="s">
        <v>24</v>
      </c>
      <c r="P49" s="16">
        <v>40522.49474537037</v>
      </c>
      <c r="Q49" s="10" t="s">
        <v>325</v>
      </c>
      <c r="R49" s="10" t="s">
        <v>2269</v>
      </c>
      <c r="S49" s="11" t="s">
        <v>2270</v>
      </c>
      <c r="T49" s="12"/>
      <c r="U49" s="17" t="str">
        <f t="shared" si="3"/>
        <v>View</v>
      </c>
      <c r="V49" s="12"/>
      <c r="W49" s="12"/>
      <c r="X49" s="12"/>
      <c r="Y49" s="12"/>
      <c r="Z49" s="12"/>
    </row>
    <row r="50">
      <c r="A50" s="8">
        <v>44214.83944444444</v>
      </c>
      <c r="B50" s="9" t="str">
        <f t="shared" si="1"/>
        <v>@LillyTellez</v>
      </c>
      <c r="C50" s="10" t="s">
        <v>2266</v>
      </c>
      <c r="D50" s="10" t="s">
        <v>2334</v>
      </c>
      <c r="E50" s="9" t="str">
        <f>HYPERLINK("https://twitter.com/LillyTellez/status/1351350867778129920","1351350867778129920")</f>
        <v>1351350867778129920</v>
      </c>
      <c r="F50" s="12"/>
      <c r="G50" s="12"/>
      <c r="H50" s="12"/>
      <c r="I50" s="13">
        <v>66.0</v>
      </c>
      <c r="J50" s="13">
        <v>212.0</v>
      </c>
      <c r="K50" s="9" t="str">
        <f t="shared" si="2"/>
        <v>Twitter for iPhone</v>
      </c>
      <c r="L50" s="14">
        <v>275190.0</v>
      </c>
      <c r="M50" s="14">
        <v>991.0</v>
      </c>
      <c r="N50" s="14">
        <v>664.0</v>
      </c>
      <c r="O50" s="15" t="s">
        <v>24</v>
      </c>
      <c r="P50" s="16">
        <v>40522.49474537037</v>
      </c>
      <c r="Q50" s="10" t="s">
        <v>325</v>
      </c>
      <c r="R50" s="10" t="s">
        <v>2269</v>
      </c>
      <c r="S50" s="11" t="s">
        <v>2270</v>
      </c>
      <c r="T50" s="12"/>
      <c r="U50" s="17" t="str">
        <f t="shared" si="3"/>
        <v>View</v>
      </c>
      <c r="V50" s="12"/>
      <c r="W50" s="12"/>
      <c r="X50" s="12"/>
      <c r="Y50" s="12"/>
      <c r="Z50" s="12"/>
    </row>
    <row r="51">
      <c r="A51" s="8">
        <v>44214.83865740741</v>
      </c>
      <c r="B51" s="9" t="str">
        <f t="shared" si="1"/>
        <v>@LillyTellez</v>
      </c>
      <c r="C51" s="10" t="s">
        <v>2266</v>
      </c>
      <c r="D51" s="10" t="s">
        <v>2335</v>
      </c>
      <c r="E51" s="9" t="str">
        <f>HYPERLINK("https://twitter.com/LillyTellez/status/1351350584696193024","1351350584696193024")</f>
        <v>1351350584696193024</v>
      </c>
      <c r="F51" s="12"/>
      <c r="G51" s="12"/>
      <c r="H51" s="12"/>
      <c r="I51" s="13">
        <v>82.0</v>
      </c>
      <c r="J51" s="13">
        <v>302.0</v>
      </c>
      <c r="K51" s="9" t="str">
        <f t="shared" si="2"/>
        <v>Twitter for iPhone</v>
      </c>
      <c r="L51" s="14">
        <v>275190.0</v>
      </c>
      <c r="M51" s="14">
        <v>991.0</v>
      </c>
      <c r="N51" s="14">
        <v>664.0</v>
      </c>
      <c r="O51" s="15" t="s">
        <v>24</v>
      </c>
      <c r="P51" s="16">
        <v>40522.49474537037</v>
      </c>
      <c r="Q51" s="10" t="s">
        <v>325</v>
      </c>
      <c r="R51" s="10" t="s">
        <v>2269</v>
      </c>
      <c r="S51" s="11" t="s">
        <v>2270</v>
      </c>
      <c r="T51" s="12"/>
      <c r="U51" s="17" t="str">
        <f t="shared" si="3"/>
        <v>View</v>
      </c>
      <c r="V51" s="12"/>
      <c r="W51" s="12"/>
      <c r="X51" s="12"/>
      <c r="Y51" s="12"/>
      <c r="Z51" s="12"/>
    </row>
    <row r="52">
      <c r="A52" s="8">
        <v>44214.83846064815</v>
      </c>
      <c r="B52" s="9" t="str">
        <f t="shared" si="1"/>
        <v>@LillyTellez</v>
      </c>
      <c r="C52" s="10" t="s">
        <v>2266</v>
      </c>
      <c r="D52" s="10" t="s">
        <v>2336</v>
      </c>
      <c r="E52" s="9" t="str">
        <f>HYPERLINK("https://twitter.com/LillyTellez/status/1351350510784167937","1351350510784167937")</f>
        <v>1351350510784167937</v>
      </c>
      <c r="F52" s="12"/>
      <c r="G52" s="12"/>
      <c r="H52" s="12"/>
      <c r="I52" s="13">
        <v>72.0</v>
      </c>
      <c r="J52" s="13">
        <v>274.0</v>
      </c>
      <c r="K52" s="9" t="str">
        <f t="shared" si="2"/>
        <v>Twitter for iPhone</v>
      </c>
      <c r="L52" s="14">
        <v>275190.0</v>
      </c>
      <c r="M52" s="14">
        <v>991.0</v>
      </c>
      <c r="N52" s="14">
        <v>664.0</v>
      </c>
      <c r="O52" s="15" t="s">
        <v>24</v>
      </c>
      <c r="P52" s="16">
        <v>40522.49474537037</v>
      </c>
      <c r="Q52" s="10" t="s">
        <v>325</v>
      </c>
      <c r="R52" s="10" t="s">
        <v>2269</v>
      </c>
      <c r="S52" s="11" t="s">
        <v>2270</v>
      </c>
      <c r="T52" s="12"/>
      <c r="U52" s="17" t="str">
        <f t="shared" si="3"/>
        <v>View</v>
      </c>
      <c r="V52" s="12"/>
      <c r="W52" s="12"/>
      <c r="X52" s="12"/>
      <c r="Y52" s="12"/>
      <c r="Z52" s="12"/>
    </row>
    <row r="53">
      <c r="A53" s="8">
        <v>44214.838229166664</v>
      </c>
      <c r="B53" s="9" t="str">
        <f t="shared" si="1"/>
        <v>@LillyTellez</v>
      </c>
      <c r="C53" s="10" t="s">
        <v>2266</v>
      </c>
      <c r="D53" s="10" t="s">
        <v>2337</v>
      </c>
      <c r="E53" s="9" t="str">
        <f>HYPERLINK("https://twitter.com/LillyTellez/status/1351350426499616775","1351350426499616775")</f>
        <v>1351350426499616775</v>
      </c>
      <c r="F53" s="12"/>
      <c r="G53" s="12"/>
      <c r="H53" s="12"/>
      <c r="I53" s="13">
        <v>58.0</v>
      </c>
      <c r="J53" s="13">
        <v>201.0</v>
      </c>
      <c r="K53" s="9" t="str">
        <f t="shared" si="2"/>
        <v>Twitter for iPhone</v>
      </c>
      <c r="L53" s="14">
        <v>275190.0</v>
      </c>
      <c r="M53" s="14">
        <v>991.0</v>
      </c>
      <c r="N53" s="14">
        <v>664.0</v>
      </c>
      <c r="O53" s="15" t="s">
        <v>24</v>
      </c>
      <c r="P53" s="16">
        <v>40522.49474537037</v>
      </c>
      <c r="Q53" s="10" t="s">
        <v>325</v>
      </c>
      <c r="R53" s="10" t="s">
        <v>2269</v>
      </c>
      <c r="S53" s="11" t="s">
        <v>2270</v>
      </c>
      <c r="T53" s="12"/>
      <c r="U53" s="17" t="str">
        <f t="shared" si="3"/>
        <v>View</v>
      </c>
      <c r="V53" s="12"/>
      <c r="W53" s="12"/>
      <c r="X53" s="12"/>
      <c r="Y53" s="12"/>
      <c r="Z53" s="12"/>
    </row>
    <row r="54">
      <c r="A54" s="8">
        <v>44214.83798611111</v>
      </c>
      <c r="B54" s="9" t="str">
        <f t="shared" si="1"/>
        <v>@LillyTellez</v>
      </c>
      <c r="C54" s="10" t="s">
        <v>2266</v>
      </c>
      <c r="D54" s="10" t="s">
        <v>2338</v>
      </c>
      <c r="E54" s="9" t="str">
        <f>HYPERLINK("https://twitter.com/LillyTellez/status/1351350340470284289","1351350340470284289")</f>
        <v>1351350340470284289</v>
      </c>
      <c r="F54" s="12"/>
      <c r="G54" s="12"/>
      <c r="H54" s="12"/>
      <c r="I54" s="13">
        <v>91.0</v>
      </c>
      <c r="J54" s="13">
        <v>356.0</v>
      </c>
      <c r="K54" s="9" t="str">
        <f t="shared" si="2"/>
        <v>Twitter for iPhone</v>
      </c>
      <c r="L54" s="14">
        <v>275190.0</v>
      </c>
      <c r="M54" s="14">
        <v>991.0</v>
      </c>
      <c r="N54" s="14">
        <v>664.0</v>
      </c>
      <c r="O54" s="15" t="s">
        <v>24</v>
      </c>
      <c r="P54" s="16">
        <v>40522.49474537037</v>
      </c>
      <c r="Q54" s="10" t="s">
        <v>325</v>
      </c>
      <c r="R54" s="10" t="s">
        <v>2269</v>
      </c>
      <c r="S54" s="11" t="s">
        <v>2270</v>
      </c>
      <c r="T54" s="12"/>
      <c r="U54" s="17" t="str">
        <f t="shared" si="3"/>
        <v>View</v>
      </c>
      <c r="V54" s="12"/>
      <c r="W54" s="12"/>
      <c r="X54" s="12"/>
      <c r="Y54" s="12"/>
      <c r="Z54" s="12"/>
    </row>
    <row r="55">
      <c r="A55" s="8">
        <v>44214.837731481486</v>
      </c>
      <c r="B55" s="9" t="str">
        <f t="shared" si="1"/>
        <v>@LillyTellez</v>
      </c>
      <c r="C55" s="10" t="s">
        <v>2266</v>
      </c>
      <c r="D55" s="10" t="s">
        <v>2339</v>
      </c>
      <c r="E55" s="9" t="str">
        <f>HYPERLINK("https://twitter.com/LillyTellez/status/1351350247130189825","1351350247130189825")</f>
        <v>1351350247130189825</v>
      </c>
      <c r="F55" s="12"/>
      <c r="G55" s="12"/>
      <c r="H55" s="12"/>
      <c r="I55" s="13">
        <v>129.0</v>
      </c>
      <c r="J55" s="13">
        <v>581.0</v>
      </c>
      <c r="K55" s="9" t="str">
        <f t="shared" si="2"/>
        <v>Twitter for iPhone</v>
      </c>
      <c r="L55" s="14">
        <v>275190.0</v>
      </c>
      <c r="M55" s="14">
        <v>991.0</v>
      </c>
      <c r="N55" s="14">
        <v>664.0</v>
      </c>
      <c r="O55" s="15" t="s">
        <v>24</v>
      </c>
      <c r="P55" s="16">
        <v>40522.49474537037</v>
      </c>
      <c r="Q55" s="10" t="s">
        <v>325</v>
      </c>
      <c r="R55" s="10" t="s">
        <v>2269</v>
      </c>
      <c r="S55" s="11" t="s">
        <v>2270</v>
      </c>
      <c r="T55" s="12"/>
      <c r="U55" s="17" t="str">
        <f t="shared" si="3"/>
        <v>View</v>
      </c>
      <c r="V55" s="12"/>
      <c r="W55" s="12"/>
      <c r="X55" s="12"/>
      <c r="Y55" s="12"/>
      <c r="Z55" s="12"/>
    </row>
    <row r="56">
      <c r="A56" s="8">
        <v>44214.837476851855</v>
      </c>
      <c r="B56" s="9" t="str">
        <f t="shared" si="1"/>
        <v>@LillyTellez</v>
      </c>
      <c r="C56" s="10" t="s">
        <v>2266</v>
      </c>
      <c r="D56" s="10" t="s">
        <v>2340</v>
      </c>
      <c r="E56" s="9" t="str">
        <f>HYPERLINK("https://twitter.com/LillyTellez/status/1351350153169432576","1351350153169432576")</f>
        <v>1351350153169432576</v>
      </c>
      <c r="F56" s="12"/>
      <c r="G56" s="12"/>
      <c r="H56" s="12"/>
      <c r="I56" s="13">
        <v>64.0</v>
      </c>
      <c r="J56" s="13">
        <v>216.0</v>
      </c>
      <c r="K56" s="9" t="str">
        <f t="shared" si="2"/>
        <v>Twitter for iPhone</v>
      </c>
      <c r="L56" s="14">
        <v>275190.0</v>
      </c>
      <c r="M56" s="14">
        <v>991.0</v>
      </c>
      <c r="N56" s="14">
        <v>664.0</v>
      </c>
      <c r="O56" s="15" t="s">
        <v>24</v>
      </c>
      <c r="P56" s="16">
        <v>40522.49474537037</v>
      </c>
      <c r="Q56" s="10" t="s">
        <v>325</v>
      </c>
      <c r="R56" s="10" t="s">
        <v>2269</v>
      </c>
      <c r="S56" s="11" t="s">
        <v>2270</v>
      </c>
      <c r="T56" s="12"/>
      <c r="U56" s="17" t="str">
        <f t="shared" si="3"/>
        <v>View</v>
      </c>
      <c r="V56" s="12"/>
      <c r="W56" s="12"/>
      <c r="X56" s="12"/>
      <c r="Y56" s="12"/>
      <c r="Z56" s="12"/>
    </row>
    <row r="57">
      <c r="A57" s="8">
        <v>44214.83726851852</v>
      </c>
      <c r="B57" s="9" t="str">
        <f t="shared" si="1"/>
        <v>@LillyTellez</v>
      </c>
      <c r="C57" s="10" t="s">
        <v>2266</v>
      </c>
      <c r="D57" s="10" t="s">
        <v>2341</v>
      </c>
      <c r="E57" s="9" t="str">
        <f>HYPERLINK("https://twitter.com/LillyTellez/status/1351350079093764096","1351350079093764096")</f>
        <v>1351350079093764096</v>
      </c>
      <c r="F57" s="12"/>
      <c r="G57" s="12"/>
      <c r="H57" s="12"/>
      <c r="I57" s="13">
        <v>69.0</v>
      </c>
      <c r="J57" s="13">
        <v>248.0</v>
      </c>
      <c r="K57" s="9" t="str">
        <f t="shared" si="2"/>
        <v>Twitter for iPhone</v>
      </c>
      <c r="L57" s="14">
        <v>275190.0</v>
      </c>
      <c r="M57" s="14">
        <v>991.0</v>
      </c>
      <c r="N57" s="14">
        <v>664.0</v>
      </c>
      <c r="O57" s="15" t="s">
        <v>24</v>
      </c>
      <c r="P57" s="16">
        <v>40522.49474537037</v>
      </c>
      <c r="Q57" s="10" t="s">
        <v>325</v>
      </c>
      <c r="R57" s="10" t="s">
        <v>2269</v>
      </c>
      <c r="S57" s="11" t="s">
        <v>2270</v>
      </c>
      <c r="T57" s="12"/>
      <c r="U57" s="17" t="str">
        <f t="shared" si="3"/>
        <v>View</v>
      </c>
      <c r="V57" s="12"/>
      <c r="W57" s="12"/>
      <c r="X57" s="12"/>
      <c r="Y57" s="12"/>
      <c r="Z57" s="12"/>
    </row>
    <row r="58">
      <c r="A58" s="8">
        <v>44214.837060185186</v>
      </c>
      <c r="B58" s="9" t="str">
        <f t="shared" si="1"/>
        <v>@LillyTellez</v>
      </c>
      <c r="C58" s="10" t="s">
        <v>2266</v>
      </c>
      <c r="D58" s="10" t="s">
        <v>2342</v>
      </c>
      <c r="E58" s="9" t="str">
        <f>HYPERLINK("https://twitter.com/LillyTellez/status/1351350002824593408","1351350002824593408")</f>
        <v>1351350002824593408</v>
      </c>
      <c r="F58" s="12"/>
      <c r="G58" s="12"/>
      <c r="H58" s="12"/>
      <c r="I58" s="13">
        <v>61.0</v>
      </c>
      <c r="J58" s="13">
        <v>203.0</v>
      </c>
      <c r="K58" s="9" t="str">
        <f t="shared" si="2"/>
        <v>Twitter for iPhone</v>
      </c>
      <c r="L58" s="14">
        <v>275190.0</v>
      </c>
      <c r="M58" s="14">
        <v>991.0</v>
      </c>
      <c r="N58" s="14">
        <v>664.0</v>
      </c>
      <c r="O58" s="15" t="s">
        <v>24</v>
      </c>
      <c r="P58" s="16">
        <v>40522.49474537037</v>
      </c>
      <c r="Q58" s="10" t="s">
        <v>325</v>
      </c>
      <c r="R58" s="10" t="s">
        <v>2269</v>
      </c>
      <c r="S58" s="11" t="s">
        <v>2270</v>
      </c>
      <c r="T58" s="12"/>
      <c r="U58" s="17" t="str">
        <f t="shared" si="3"/>
        <v>View</v>
      </c>
      <c r="V58" s="12"/>
      <c r="W58" s="12"/>
      <c r="X58" s="12"/>
      <c r="Y58" s="12"/>
      <c r="Z58" s="12"/>
    </row>
    <row r="59">
      <c r="A59" s="8">
        <v>44214.836805555555</v>
      </c>
      <c r="B59" s="9" t="str">
        <f t="shared" si="1"/>
        <v>@LillyTellez</v>
      </c>
      <c r="C59" s="10" t="s">
        <v>2266</v>
      </c>
      <c r="D59" s="10" t="s">
        <v>2343</v>
      </c>
      <c r="E59" s="9" t="str">
        <f>HYPERLINK("https://twitter.com/LillyTellez/status/1351349913154588672","1351349913154588672")</f>
        <v>1351349913154588672</v>
      </c>
      <c r="F59" s="12"/>
      <c r="G59" s="12"/>
      <c r="H59" s="12"/>
      <c r="I59" s="13">
        <v>66.0</v>
      </c>
      <c r="J59" s="13">
        <v>231.0</v>
      </c>
      <c r="K59" s="9" t="str">
        <f t="shared" si="2"/>
        <v>Twitter for iPhone</v>
      </c>
      <c r="L59" s="14">
        <v>275190.0</v>
      </c>
      <c r="M59" s="14">
        <v>991.0</v>
      </c>
      <c r="N59" s="14">
        <v>664.0</v>
      </c>
      <c r="O59" s="15" t="s">
        <v>24</v>
      </c>
      <c r="P59" s="16">
        <v>40522.49474537037</v>
      </c>
      <c r="Q59" s="10" t="s">
        <v>325</v>
      </c>
      <c r="R59" s="10" t="s">
        <v>2269</v>
      </c>
      <c r="S59" s="11" t="s">
        <v>2270</v>
      </c>
      <c r="T59" s="12"/>
      <c r="U59" s="17" t="str">
        <f t="shared" si="3"/>
        <v>View</v>
      </c>
      <c r="V59" s="12"/>
      <c r="W59" s="12"/>
      <c r="X59" s="12"/>
      <c r="Y59" s="12"/>
      <c r="Z59" s="12"/>
    </row>
    <row r="60">
      <c r="A60" s="8">
        <v>44214.8365625</v>
      </c>
      <c r="B60" s="9" t="str">
        <f t="shared" si="1"/>
        <v>@LillyTellez</v>
      </c>
      <c r="C60" s="10" t="s">
        <v>2266</v>
      </c>
      <c r="D60" s="10" t="s">
        <v>2344</v>
      </c>
      <c r="E60" s="9" t="str">
        <f>HYPERLINK("https://twitter.com/LillyTellez/status/1351349823601971202","1351349823601971202")</f>
        <v>1351349823601971202</v>
      </c>
      <c r="F60" s="12"/>
      <c r="G60" s="12"/>
      <c r="H60" s="12"/>
      <c r="I60" s="13">
        <v>55.0</v>
      </c>
      <c r="J60" s="13">
        <v>215.0</v>
      </c>
      <c r="K60" s="9" t="str">
        <f t="shared" si="2"/>
        <v>Twitter for iPhone</v>
      </c>
      <c r="L60" s="14">
        <v>275190.0</v>
      </c>
      <c r="M60" s="14">
        <v>991.0</v>
      </c>
      <c r="N60" s="14">
        <v>664.0</v>
      </c>
      <c r="O60" s="15" t="s">
        <v>24</v>
      </c>
      <c r="P60" s="16">
        <v>40522.49474537037</v>
      </c>
      <c r="Q60" s="10" t="s">
        <v>325</v>
      </c>
      <c r="R60" s="10" t="s">
        <v>2269</v>
      </c>
      <c r="S60" s="11" t="s">
        <v>2270</v>
      </c>
      <c r="T60" s="12"/>
      <c r="U60" s="17" t="str">
        <f t="shared" si="3"/>
        <v>View</v>
      </c>
      <c r="V60" s="12"/>
      <c r="W60" s="12"/>
      <c r="X60" s="12"/>
      <c r="Y60" s="12"/>
      <c r="Z60" s="12"/>
    </row>
    <row r="61">
      <c r="A61" s="8">
        <v>44214.8362962963</v>
      </c>
      <c r="B61" s="9" t="str">
        <f t="shared" si="1"/>
        <v>@LillyTellez</v>
      </c>
      <c r="C61" s="10" t="s">
        <v>2266</v>
      </c>
      <c r="D61" s="10" t="s">
        <v>2345</v>
      </c>
      <c r="E61" s="9" t="str">
        <f>HYPERLINK("https://twitter.com/LillyTellez/status/1351349727523008512","1351349727523008512")</f>
        <v>1351349727523008512</v>
      </c>
      <c r="F61" s="12"/>
      <c r="G61" s="12"/>
      <c r="H61" s="12"/>
      <c r="I61" s="13">
        <v>63.0</v>
      </c>
      <c r="J61" s="13">
        <v>235.0</v>
      </c>
      <c r="K61" s="9" t="str">
        <f t="shared" si="2"/>
        <v>Twitter for iPhone</v>
      </c>
      <c r="L61" s="14">
        <v>275190.0</v>
      </c>
      <c r="M61" s="14">
        <v>991.0</v>
      </c>
      <c r="N61" s="14">
        <v>664.0</v>
      </c>
      <c r="O61" s="15" t="s">
        <v>24</v>
      </c>
      <c r="P61" s="16">
        <v>40522.49474537037</v>
      </c>
      <c r="Q61" s="10" t="s">
        <v>325</v>
      </c>
      <c r="R61" s="10" t="s">
        <v>2269</v>
      </c>
      <c r="S61" s="11" t="s">
        <v>2270</v>
      </c>
      <c r="T61" s="12"/>
      <c r="U61" s="17" t="str">
        <f t="shared" si="3"/>
        <v>View</v>
      </c>
      <c r="V61" s="12"/>
      <c r="W61" s="12"/>
      <c r="X61" s="12"/>
      <c r="Y61" s="12"/>
      <c r="Z61" s="12"/>
    </row>
    <row r="62">
      <c r="A62" s="8">
        <v>44214.83597222222</v>
      </c>
      <c r="B62" s="9" t="str">
        <f t="shared" si="1"/>
        <v>@LillyTellez</v>
      </c>
      <c r="C62" s="10" t="s">
        <v>2266</v>
      </c>
      <c r="D62" s="10" t="s">
        <v>2346</v>
      </c>
      <c r="E62" s="9" t="str">
        <f>HYPERLINK("https://twitter.com/LillyTellez/status/1351349609918996480","1351349609918996480")</f>
        <v>1351349609918996480</v>
      </c>
      <c r="F62" s="12"/>
      <c r="G62" s="12"/>
      <c r="H62" s="12"/>
      <c r="I62" s="13">
        <v>86.0</v>
      </c>
      <c r="J62" s="13">
        <v>386.0</v>
      </c>
      <c r="K62" s="9" t="str">
        <f t="shared" si="2"/>
        <v>Twitter for iPhone</v>
      </c>
      <c r="L62" s="14">
        <v>275190.0</v>
      </c>
      <c r="M62" s="14">
        <v>991.0</v>
      </c>
      <c r="N62" s="14">
        <v>664.0</v>
      </c>
      <c r="O62" s="15" t="s">
        <v>24</v>
      </c>
      <c r="P62" s="16">
        <v>40522.49474537037</v>
      </c>
      <c r="Q62" s="10" t="s">
        <v>325</v>
      </c>
      <c r="R62" s="10" t="s">
        <v>2269</v>
      </c>
      <c r="S62" s="11" t="s">
        <v>2270</v>
      </c>
      <c r="T62" s="12"/>
      <c r="U62" s="17" t="str">
        <f t="shared" si="3"/>
        <v>View</v>
      </c>
      <c r="V62" s="12"/>
      <c r="W62" s="12"/>
      <c r="X62" s="12"/>
      <c r="Y62" s="12"/>
      <c r="Z62" s="12"/>
    </row>
    <row r="63">
      <c r="A63" s="8">
        <v>44214.835694444446</v>
      </c>
      <c r="B63" s="9" t="str">
        <f t="shared" si="1"/>
        <v>@LillyTellez</v>
      </c>
      <c r="C63" s="10" t="s">
        <v>2266</v>
      </c>
      <c r="D63" s="10" t="s">
        <v>2347</v>
      </c>
      <c r="E63" s="9" t="str">
        <f>HYPERLINK("https://twitter.com/LillyTellez/status/1351349509838708736","1351349509838708736")</f>
        <v>1351349509838708736</v>
      </c>
      <c r="F63" s="12"/>
      <c r="G63" s="12"/>
      <c r="H63" s="12"/>
      <c r="I63" s="13">
        <v>150.0</v>
      </c>
      <c r="J63" s="13">
        <v>523.0</v>
      </c>
      <c r="K63" s="9" t="str">
        <f t="shared" si="2"/>
        <v>Twitter for iPhone</v>
      </c>
      <c r="L63" s="14">
        <v>275190.0</v>
      </c>
      <c r="M63" s="14">
        <v>991.0</v>
      </c>
      <c r="N63" s="14">
        <v>664.0</v>
      </c>
      <c r="O63" s="15" t="s">
        <v>24</v>
      </c>
      <c r="P63" s="16">
        <v>40522.49474537037</v>
      </c>
      <c r="Q63" s="10" t="s">
        <v>325</v>
      </c>
      <c r="R63" s="10" t="s">
        <v>2269</v>
      </c>
      <c r="S63" s="11" t="s">
        <v>2270</v>
      </c>
      <c r="T63" s="12"/>
      <c r="U63" s="17" t="str">
        <f t="shared" si="3"/>
        <v>View</v>
      </c>
      <c r="V63" s="12"/>
      <c r="W63" s="12"/>
      <c r="X63" s="12"/>
      <c r="Y63" s="12"/>
      <c r="Z63" s="12"/>
    </row>
    <row r="64">
      <c r="A64" s="8">
        <v>44214.83542824074</v>
      </c>
      <c r="B64" s="9" t="str">
        <f t="shared" si="1"/>
        <v>@LillyTellez</v>
      </c>
      <c r="C64" s="10" t="s">
        <v>2266</v>
      </c>
      <c r="D64" s="10" t="s">
        <v>2348</v>
      </c>
      <c r="E64" s="9" t="str">
        <f>HYPERLINK("https://twitter.com/LillyTellez/status/1351349411012509696","1351349411012509696")</f>
        <v>1351349411012509696</v>
      </c>
      <c r="F64" s="12"/>
      <c r="G64" s="12"/>
      <c r="H64" s="12"/>
      <c r="I64" s="13">
        <v>68.0</v>
      </c>
      <c r="J64" s="13">
        <v>287.0</v>
      </c>
      <c r="K64" s="9" t="str">
        <f t="shared" si="2"/>
        <v>Twitter for iPhone</v>
      </c>
      <c r="L64" s="14">
        <v>275190.0</v>
      </c>
      <c r="M64" s="14">
        <v>991.0</v>
      </c>
      <c r="N64" s="14">
        <v>664.0</v>
      </c>
      <c r="O64" s="15" t="s">
        <v>24</v>
      </c>
      <c r="P64" s="16">
        <v>40522.49474537037</v>
      </c>
      <c r="Q64" s="10" t="s">
        <v>325</v>
      </c>
      <c r="R64" s="10" t="s">
        <v>2269</v>
      </c>
      <c r="S64" s="11" t="s">
        <v>2270</v>
      </c>
      <c r="T64" s="12"/>
      <c r="U64" s="17" t="str">
        <f t="shared" si="3"/>
        <v>View</v>
      </c>
      <c r="V64" s="12"/>
      <c r="W64" s="12"/>
      <c r="X64" s="12"/>
      <c r="Y64" s="12"/>
      <c r="Z64" s="12"/>
    </row>
    <row r="65">
      <c r="A65" s="8">
        <v>44214.8350462963</v>
      </c>
      <c r="B65" s="9" t="str">
        <f t="shared" si="1"/>
        <v>@LillyTellez</v>
      </c>
      <c r="C65" s="10" t="s">
        <v>2266</v>
      </c>
      <c r="D65" s="10" t="s">
        <v>2349</v>
      </c>
      <c r="E65" s="9" t="str">
        <f>HYPERLINK("https://twitter.com/LillyTellez/status/1351349274554978304","1351349274554978304")</f>
        <v>1351349274554978304</v>
      </c>
      <c r="F65" s="12"/>
      <c r="G65" s="12"/>
      <c r="H65" s="12"/>
      <c r="I65" s="13">
        <v>66.0</v>
      </c>
      <c r="J65" s="13">
        <v>232.0</v>
      </c>
      <c r="K65" s="9" t="str">
        <f t="shared" si="2"/>
        <v>Twitter for iPhone</v>
      </c>
      <c r="L65" s="14">
        <v>275190.0</v>
      </c>
      <c r="M65" s="14">
        <v>991.0</v>
      </c>
      <c r="N65" s="14">
        <v>664.0</v>
      </c>
      <c r="O65" s="15" t="s">
        <v>24</v>
      </c>
      <c r="P65" s="16">
        <v>40522.49474537037</v>
      </c>
      <c r="Q65" s="10" t="s">
        <v>325</v>
      </c>
      <c r="R65" s="10" t="s">
        <v>2269</v>
      </c>
      <c r="S65" s="11" t="s">
        <v>2270</v>
      </c>
      <c r="T65" s="12"/>
      <c r="U65" s="17" t="str">
        <f t="shared" si="3"/>
        <v>View</v>
      </c>
      <c r="V65" s="12"/>
      <c r="W65" s="12"/>
      <c r="X65" s="12"/>
      <c r="Y65" s="12"/>
      <c r="Z65" s="12"/>
    </row>
    <row r="66">
      <c r="A66" s="8">
        <v>44214.83479166667</v>
      </c>
      <c r="B66" s="9" t="str">
        <f t="shared" si="1"/>
        <v>@LillyTellez</v>
      </c>
      <c r="C66" s="10" t="s">
        <v>2266</v>
      </c>
      <c r="D66" s="10" t="s">
        <v>2350</v>
      </c>
      <c r="E66" s="9" t="str">
        <f>HYPERLINK("https://twitter.com/LillyTellez/status/1351349183605661696","1351349183605661696")</f>
        <v>1351349183605661696</v>
      </c>
      <c r="F66" s="12"/>
      <c r="G66" s="12"/>
      <c r="H66" s="12"/>
      <c r="I66" s="13">
        <v>83.0</v>
      </c>
      <c r="J66" s="13">
        <v>357.0</v>
      </c>
      <c r="K66" s="9" t="str">
        <f t="shared" si="2"/>
        <v>Twitter for iPhone</v>
      </c>
      <c r="L66" s="14">
        <v>275190.0</v>
      </c>
      <c r="M66" s="14">
        <v>991.0</v>
      </c>
      <c r="N66" s="14">
        <v>664.0</v>
      </c>
      <c r="O66" s="15" t="s">
        <v>24</v>
      </c>
      <c r="P66" s="16">
        <v>40522.49474537037</v>
      </c>
      <c r="Q66" s="10" t="s">
        <v>325</v>
      </c>
      <c r="R66" s="10" t="s">
        <v>2269</v>
      </c>
      <c r="S66" s="11" t="s">
        <v>2270</v>
      </c>
      <c r="T66" s="12"/>
      <c r="U66" s="17" t="str">
        <f t="shared" si="3"/>
        <v>View</v>
      </c>
      <c r="V66" s="12"/>
      <c r="W66" s="12"/>
      <c r="X66" s="12"/>
      <c r="Y66" s="12"/>
      <c r="Z66" s="12"/>
    </row>
    <row r="67">
      <c r="A67" s="8">
        <v>44214.83458333333</v>
      </c>
      <c r="B67" s="9" t="str">
        <f t="shared" si="1"/>
        <v>@LillyTellez</v>
      </c>
      <c r="C67" s="10" t="s">
        <v>2266</v>
      </c>
      <c r="D67" s="10" t="s">
        <v>2351</v>
      </c>
      <c r="E67" s="9" t="str">
        <f>HYPERLINK("https://twitter.com/LillyTellez/status/1351349105537110016","1351349105537110016")</f>
        <v>1351349105537110016</v>
      </c>
      <c r="F67" s="12"/>
      <c r="G67" s="12"/>
      <c r="H67" s="12"/>
      <c r="I67" s="13">
        <v>61.0</v>
      </c>
      <c r="J67" s="13">
        <v>257.0</v>
      </c>
      <c r="K67" s="9" t="str">
        <f t="shared" si="2"/>
        <v>Twitter for iPhone</v>
      </c>
      <c r="L67" s="14">
        <v>275190.0</v>
      </c>
      <c r="M67" s="14">
        <v>991.0</v>
      </c>
      <c r="N67" s="14">
        <v>664.0</v>
      </c>
      <c r="O67" s="15" t="s">
        <v>24</v>
      </c>
      <c r="P67" s="16">
        <v>40522.49474537037</v>
      </c>
      <c r="Q67" s="10" t="s">
        <v>325</v>
      </c>
      <c r="R67" s="10" t="s">
        <v>2269</v>
      </c>
      <c r="S67" s="11" t="s">
        <v>2270</v>
      </c>
      <c r="T67" s="12"/>
      <c r="U67" s="17" t="str">
        <f t="shared" si="3"/>
        <v>View</v>
      </c>
      <c r="V67" s="12"/>
      <c r="W67" s="12"/>
      <c r="X67" s="12"/>
      <c r="Y67" s="12"/>
      <c r="Z67" s="12"/>
    </row>
    <row r="68">
      <c r="A68" s="8">
        <v>44214.83427083334</v>
      </c>
      <c r="B68" s="9" t="str">
        <f t="shared" si="1"/>
        <v>@LillyTellez</v>
      </c>
      <c r="C68" s="10" t="s">
        <v>2266</v>
      </c>
      <c r="D68" s="10" t="s">
        <v>2352</v>
      </c>
      <c r="E68" s="9" t="str">
        <f>HYPERLINK("https://twitter.com/LillyTellez/status/1351348994832785410","1351348994832785410")</f>
        <v>1351348994832785410</v>
      </c>
      <c r="F68" s="12"/>
      <c r="G68" s="12"/>
      <c r="H68" s="12"/>
      <c r="I68" s="13">
        <v>59.0</v>
      </c>
      <c r="J68" s="13">
        <v>220.0</v>
      </c>
      <c r="K68" s="9" t="str">
        <f t="shared" si="2"/>
        <v>Twitter for iPhone</v>
      </c>
      <c r="L68" s="14">
        <v>275190.0</v>
      </c>
      <c r="M68" s="14">
        <v>991.0</v>
      </c>
      <c r="N68" s="14">
        <v>664.0</v>
      </c>
      <c r="O68" s="15" t="s">
        <v>24</v>
      </c>
      <c r="P68" s="16">
        <v>40522.49474537037</v>
      </c>
      <c r="Q68" s="10" t="s">
        <v>325</v>
      </c>
      <c r="R68" s="10" t="s">
        <v>2269</v>
      </c>
      <c r="S68" s="11" t="s">
        <v>2270</v>
      </c>
      <c r="T68" s="12"/>
      <c r="U68" s="17" t="str">
        <f t="shared" si="3"/>
        <v>View</v>
      </c>
      <c r="V68" s="12"/>
      <c r="W68" s="12"/>
      <c r="X68" s="12"/>
      <c r="Y68" s="12"/>
      <c r="Z68" s="12"/>
    </row>
    <row r="69">
      <c r="A69" s="8">
        <v>44214.83387731481</v>
      </c>
      <c r="B69" s="9" t="str">
        <f t="shared" si="1"/>
        <v>@LillyTellez</v>
      </c>
      <c r="C69" s="10" t="s">
        <v>2266</v>
      </c>
      <c r="D69" s="10" t="s">
        <v>2353</v>
      </c>
      <c r="E69" s="9" t="str">
        <f>HYPERLINK("https://twitter.com/LillyTellez/status/1351348851844628483","1351348851844628483")</f>
        <v>1351348851844628483</v>
      </c>
      <c r="F69" s="12"/>
      <c r="G69" s="12"/>
      <c r="H69" s="12"/>
      <c r="I69" s="13">
        <v>53.0</v>
      </c>
      <c r="J69" s="13">
        <v>213.0</v>
      </c>
      <c r="K69" s="9" t="str">
        <f t="shared" si="2"/>
        <v>Twitter for iPhone</v>
      </c>
      <c r="L69" s="14">
        <v>275190.0</v>
      </c>
      <c r="M69" s="14">
        <v>991.0</v>
      </c>
      <c r="N69" s="14">
        <v>664.0</v>
      </c>
      <c r="O69" s="15" t="s">
        <v>24</v>
      </c>
      <c r="P69" s="16">
        <v>40522.49474537037</v>
      </c>
      <c r="Q69" s="10" t="s">
        <v>325</v>
      </c>
      <c r="R69" s="10" t="s">
        <v>2269</v>
      </c>
      <c r="S69" s="11" t="s">
        <v>2270</v>
      </c>
      <c r="T69" s="12"/>
      <c r="U69" s="17" t="str">
        <f t="shared" si="3"/>
        <v>View</v>
      </c>
      <c r="V69" s="12"/>
      <c r="W69" s="12"/>
      <c r="X69" s="12"/>
      <c r="Y69" s="12"/>
      <c r="Z69" s="12"/>
    </row>
    <row r="70">
      <c r="A70" s="8">
        <v>44214.83356481481</v>
      </c>
      <c r="B70" s="9" t="str">
        <f t="shared" si="1"/>
        <v>@LillyTellez</v>
      </c>
      <c r="C70" s="10" t="s">
        <v>2266</v>
      </c>
      <c r="D70" s="10" t="s">
        <v>2354</v>
      </c>
      <c r="E70" s="9" t="str">
        <f>HYPERLINK("https://twitter.com/LillyTellez/status/1351348738346766339","1351348738346766339")</f>
        <v>1351348738346766339</v>
      </c>
      <c r="F70" s="12"/>
      <c r="G70" s="12"/>
      <c r="H70" s="12"/>
      <c r="I70" s="13">
        <v>178.0</v>
      </c>
      <c r="J70" s="13">
        <v>541.0</v>
      </c>
      <c r="K70" s="9" t="str">
        <f t="shared" si="2"/>
        <v>Twitter for iPhone</v>
      </c>
      <c r="L70" s="14">
        <v>275190.0</v>
      </c>
      <c r="M70" s="14">
        <v>991.0</v>
      </c>
      <c r="N70" s="14">
        <v>664.0</v>
      </c>
      <c r="O70" s="15" t="s">
        <v>24</v>
      </c>
      <c r="P70" s="16">
        <v>40522.49474537037</v>
      </c>
      <c r="Q70" s="10" t="s">
        <v>325</v>
      </c>
      <c r="R70" s="10" t="s">
        <v>2269</v>
      </c>
      <c r="S70" s="11" t="s">
        <v>2270</v>
      </c>
      <c r="T70" s="12"/>
      <c r="U70" s="17" t="str">
        <f t="shared" si="3"/>
        <v>View</v>
      </c>
      <c r="V70" s="12"/>
      <c r="W70" s="12"/>
      <c r="X70" s="12"/>
      <c r="Y70" s="12"/>
      <c r="Z70" s="12"/>
    </row>
    <row r="71">
      <c r="A71" s="8">
        <v>44214.83326388889</v>
      </c>
      <c r="B71" s="9" t="str">
        <f t="shared" si="1"/>
        <v>@LillyTellez</v>
      </c>
      <c r="C71" s="10" t="s">
        <v>2266</v>
      </c>
      <c r="D71" s="10" t="s">
        <v>2355</v>
      </c>
      <c r="E71" s="9" t="str">
        <f>HYPERLINK("https://twitter.com/LillyTellez/status/1351348629164892161","1351348629164892161")</f>
        <v>1351348629164892161</v>
      </c>
      <c r="F71" s="12"/>
      <c r="G71" s="12"/>
      <c r="H71" s="12"/>
      <c r="I71" s="13">
        <v>133.0</v>
      </c>
      <c r="J71" s="13">
        <v>553.0</v>
      </c>
      <c r="K71" s="9" t="str">
        <f t="shared" si="2"/>
        <v>Twitter for iPhone</v>
      </c>
      <c r="L71" s="14">
        <v>275190.0</v>
      </c>
      <c r="M71" s="14">
        <v>991.0</v>
      </c>
      <c r="N71" s="14">
        <v>664.0</v>
      </c>
      <c r="O71" s="15" t="s">
        <v>24</v>
      </c>
      <c r="P71" s="16">
        <v>40522.49474537037</v>
      </c>
      <c r="Q71" s="10" t="s">
        <v>325</v>
      </c>
      <c r="R71" s="10" t="s">
        <v>2269</v>
      </c>
      <c r="S71" s="11" t="s">
        <v>2270</v>
      </c>
      <c r="T71" s="12"/>
      <c r="U71" s="17" t="str">
        <f t="shared" si="3"/>
        <v>View</v>
      </c>
      <c r="V71" s="12"/>
      <c r="W71" s="12"/>
      <c r="X71" s="12"/>
      <c r="Y71" s="12"/>
      <c r="Z71" s="12"/>
    </row>
    <row r="72">
      <c r="A72" s="8">
        <v>44214.83295138889</v>
      </c>
      <c r="B72" s="9" t="str">
        <f t="shared" si="1"/>
        <v>@LillyTellez</v>
      </c>
      <c r="C72" s="10" t="s">
        <v>2266</v>
      </c>
      <c r="D72" s="10" t="s">
        <v>2356</v>
      </c>
      <c r="E72" s="9" t="str">
        <f>HYPERLINK("https://twitter.com/LillyTellez/status/1351348515016908800","1351348515016908800")</f>
        <v>1351348515016908800</v>
      </c>
      <c r="F72" s="12"/>
      <c r="G72" s="12"/>
      <c r="H72" s="12"/>
      <c r="I72" s="13">
        <v>148.0</v>
      </c>
      <c r="J72" s="13">
        <v>623.0</v>
      </c>
      <c r="K72" s="9" t="str">
        <f t="shared" si="2"/>
        <v>Twitter for iPhone</v>
      </c>
      <c r="L72" s="14">
        <v>275190.0</v>
      </c>
      <c r="M72" s="14">
        <v>991.0</v>
      </c>
      <c r="N72" s="14">
        <v>664.0</v>
      </c>
      <c r="O72" s="15" t="s">
        <v>24</v>
      </c>
      <c r="P72" s="16">
        <v>40522.49474537037</v>
      </c>
      <c r="Q72" s="10" t="s">
        <v>325</v>
      </c>
      <c r="R72" s="10" t="s">
        <v>2269</v>
      </c>
      <c r="S72" s="11" t="s">
        <v>2270</v>
      </c>
      <c r="T72" s="12"/>
      <c r="U72" s="17" t="str">
        <f t="shared" si="3"/>
        <v>View</v>
      </c>
      <c r="V72" s="12"/>
      <c r="W72" s="12"/>
      <c r="X72" s="12"/>
      <c r="Y72" s="12"/>
      <c r="Z72" s="12"/>
    </row>
    <row r="73">
      <c r="A73" s="8">
        <v>44214.8325462963</v>
      </c>
      <c r="B73" s="9" t="str">
        <f t="shared" si="1"/>
        <v>@LillyTellez</v>
      </c>
      <c r="C73" s="10" t="s">
        <v>2266</v>
      </c>
      <c r="D73" s="10" t="s">
        <v>2357</v>
      </c>
      <c r="E73" s="9" t="str">
        <f>HYPERLINK("https://twitter.com/LillyTellez/status/1351348368736358404","1351348368736358404")</f>
        <v>1351348368736358404</v>
      </c>
      <c r="F73" s="12"/>
      <c r="G73" s="12"/>
      <c r="H73" s="12"/>
      <c r="I73" s="13">
        <v>388.0</v>
      </c>
      <c r="J73" s="13">
        <v>1391.0</v>
      </c>
      <c r="K73" s="9" t="str">
        <f t="shared" si="2"/>
        <v>Twitter for iPhone</v>
      </c>
      <c r="L73" s="14">
        <v>275190.0</v>
      </c>
      <c r="M73" s="14">
        <v>991.0</v>
      </c>
      <c r="N73" s="14">
        <v>664.0</v>
      </c>
      <c r="O73" s="15" t="s">
        <v>24</v>
      </c>
      <c r="P73" s="16">
        <v>40522.49474537037</v>
      </c>
      <c r="Q73" s="10" t="s">
        <v>325</v>
      </c>
      <c r="R73" s="10" t="s">
        <v>2269</v>
      </c>
      <c r="S73" s="11" t="s">
        <v>2270</v>
      </c>
      <c r="T73" s="12"/>
      <c r="U73" s="17" t="str">
        <f t="shared" si="3"/>
        <v>View</v>
      </c>
      <c r="V73" s="12"/>
      <c r="W73" s="12"/>
      <c r="X73" s="12"/>
      <c r="Y73" s="12"/>
      <c r="Z73" s="12"/>
    </row>
    <row r="74">
      <c r="A74" s="8">
        <v>44214.83189814815</v>
      </c>
      <c r="B74" s="9" t="str">
        <f t="shared" si="1"/>
        <v>@LillyTellez</v>
      </c>
      <c r="C74" s="10" t="s">
        <v>2266</v>
      </c>
      <c r="D74" s="10" t="s">
        <v>2358</v>
      </c>
      <c r="E74" s="9" t="str">
        <f>HYPERLINK("https://twitter.com/LillyTellez/status/1351348135063298048","1351348135063298048")</f>
        <v>1351348135063298048</v>
      </c>
      <c r="F74" s="12"/>
      <c r="G74" s="12"/>
      <c r="H74" s="12"/>
      <c r="I74" s="13">
        <v>3603.0</v>
      </c>
      <c r="J74" s="13">
        <v>12289.0</v>
      </c>
      <c r="K74" s="9" t="str">
        <f t="shared" si="2"/>
        <v>Twitter for iPhone</v>
      </c>
      <c r="L74" s="14">
        <v>275190.0</v>
      </c>
      <c r="M74" s="14">
        <v>991.0</v>
      </c>
      <c r="N74" s="14">
        <v>664.0</v>
      </c>
      <c r="O74" s="15" t="s">
        <v>24</v>
      </c>
      <c r="P74" s="16">
        <v>40522.49474537037</v>
      </c>
      <c r="Q74" s="10" t="s">
        <v>325</v>
      </c>
      <c r="R74" s="10" t="s">
        <v>2269</v>
      </c>
      <c r="S74" s="11" t="s">
        <v>2270</v>
      </c>
      <c r="T74" s="12"/>
      <c r="U74" s="17" t="str">
        <f t="shared" si="3"/>
        <v>View</v>
      </c>
      <c r="V74" s="12"/>
      <c r="W74" s="12"/>
      <c r="X74" s="12"/>
      <c r="Y74" s="12"/>
      <c r="Z74" s="12"/>
    </row>
    <row r="75">
      <c r="A75" s="18"/>
      <c r="B75" s="12"/>
      <c r="C75" s="12"/>
      <c r="D75" s="12"/>
      <c r="E75" s="12"/>
      <c r="F75" s="12"/>
      <c r="G75" s="12"/>
      <c r="H75" s="12"/>
      <c r="I75" s="12"/>
      <c r="J75" s="12"/>
      <c r="K75" s="12"/>
      <c r="L75" s="19"/>
      <c r="M75" s="19"/>
      <c r="N75" s="19"/>
      <c r="O75" s="19"/>
      <c r="P75" s="19"/>
      <c r="Q75" s="12"/>
      <c r="R75" s="12"/>
      <c r="S75" s="12"/>
      <c r="T75" s="12"/>
      <c r="U75" s="19"/>
      <c r="V75" s="12"/>
      <c r="W75" s="12"/>
      <c r="X75" s="12"/>
      <c r="Y75" s="12"/>
      <c r="Z75" s="12"/>
    </row>
    <row r="76">
      <c r="A76" s="18"/>
      <c r="B76" s="12"/>
      <c r="C76" s="12"/>
      <c r="D76" s="12"/>
      <c r="E76" s="12"/>
      <c r="F76" s="12"/>
      <c r="G76" s="12"/>
      <c r="H76" s="12"/>
      <c r="I76" s="12"/>
      <c r="J76" s="12"/>
      <c r="K76" s="12"/>
      <c r="L76" s="19"/>
      <c r="M76" s="19"/>
      <c r="N76" s="19"/>
      <c r="O76" s="19"/>
      <c r="P76" s="19"/>
      <c r="Q76" s="12"/>
      <c r="R76" s="12"/>
      <c r="S76" s="12"/>
      <c r="T76" s="12"/>
      <c r="U76" s="19"/>
      <c r="V76" s="12"/>
      <c r="W76" s="12"/>
      <c r="X76" s="12"/>
      <c r="Y76" s="12"/>
      <c r="Z76" s="12"/>
    </row>
    <row r="77">
      <c r="A77" s="18"/>
      <c r="B77" s="12"/>
      <c r="C77" s="12"/>
      <c r="D77" s="12"/>
      <c r="E77" s="12"/>
      <c r="F77" s="12"/>
      <c r="G77" s="12"/>
      <c r="H77" s="12"/>
      <c r="I77" s="12"/>
      <c r="J77" s="12"/>
      <c r="K77" s="12"/>
      <c r="L77" s="19"/>
      <c r="M77" s="19"/>
      <c r="N77" s="19"/>
      <c r="O77" s="19"/>
      <c r="P77" s="19"/>
      <c r="Q77" s="12"/>
      <c r="R77" s="12"/>
      <c r="S77" s="12"/>
      <c r="T77" s="12"/>
      <c r="U77" s="19"/>
      <c r="V77" s="12"/>
      <c r="W77" s="12"/>
      <c r="X77" s="12"/>
      <c r="Y77" s="12"/>
      <c r="Z77" s="12"/>
    </row>
    <row r="78">
      <c r="A78" s="18"/>
      <c r="B78" s="12"/>
      <c r="C78" s="12"/>
      <c r="D78" s="12"/>
      <c r="E78" s="12"/>
      <c r="F78" s="12"/>
      <c r="G78" s="12"/>
      <c r="H78" s="12"/>
      <c r="I78" s="12"/>
      <c r="J78" s="12"/>
      <c r="K78" s="12"/>
      <c r="L78" s="19"/>
      <c r="M78" s="19"/>
      <c r="N78" s="19"/>
      <c r="O78" s="19"/>
      <c r="P78" s="19"/>
      <c r="Q78" s="12"/>
      <c r="R78" s="12"/>
      <c r="S78" s="12"/>
      <c r="T78" s="12"/>
      <c r="U78" s="19"/>
      <c r="V78" s="12"/>
      <c r="W78" s="12"/>
      <c r="X78" s="12"/>
      <c r="Y78" s="12"/>
      <c r="Z78" s="12"/>
    </row>
    <row r="79">
      <c r="A79" s="18"/>
      <c r="B79" s="12"/>
      <c r="C79" s="12"/>
      <c r="D79" s="12"/>
      <c r="E79" s="12"/>
      <c r="F79" s="12"/>
      <c r="G79" s="12"/>
      <c r="H79" s="12"/>
      <c r="I79" s="12"/>
      <c r="J79" s="12"/>
      <c r="K79" s="12"/>
      <c r="L79" s="19"/>
      <c r="M79" s="19"/>
      <c r="N79" s="19"/>
      <c r="O79" s="19"/>
      <c r="P79" s="19"/>
      <c r="Q79" s="12"/>
      <c r="R79" s="12"/>
      <c r="S79" s="12"/>
      <c r="T79" s="12"/>
      <c r="U79" s="19"/>
      <c r="V79" s="12"/>
      <c r="W79" s="12"/>
      <c r="X79" s="12"/>
      <c r="Y79" s="12"/>
      <c r="Z79" s="12"/>
    </row>
    <row r="80">
      <c r="A80" s="18"/>
      <c r="B80" s="12"/>
      <c r="C80" s="12"/>
      <c r="D80" s="12"/>
      <c r="E80" s="12"/>
      <c r="F80" s="12"/>
      <c r="G80" s="12"/>
      <c r="H80" s="12"/>
      <c r="I80" s="12"/>
      <c r="J80" s="12"/>
      <c r="K80" s="12"/>
      <c r="L80" s="19"/>
      <c r="M80" s="19"/>
      <c r="N80" s="19"/>
      <c r="O80" s="19"/>
      <c r="P80" s="19"/>
      <c r="Q80" s="12"/>
      <c r="R80" s="12"/>
      <c r="S80" s="12"/>
      <c r="T80" s="12"/>
      <c r="U80" s="19"/>
      <c r="V80" s="12"/>
      <c r="W80" s="12"/>
      <c r="X80" s="12"/>
      <c r="Y80" s="12"/>
      <c r="Z80" s="12"/>
    </row>
    <row r="81">
      <c r="A81" s="18"/>
      <c r="B81" s="12"/>
      <c r="C81" s="12"/>
      <c r="D81" s="12"/>
      <c r="E81" s="12"/>
      <c r="F81" s="12"/>
      <c r="G81" s="12"/>
      <c r="H81" s="12"/>
      <c r="I81" s="12"/>
      <c r="J81" s="12"/>
      <c r="K81" s="12"/>
      <c r="L81" s="19"/>
      <c r="M81" s="19"/>
      <c r="N81" s="19"/>
      <c r="O81" s="19"/>
      <c r="P81" s="19"/>
      <c r="Q81" s="12"/>
      <c r="R81" s="12"/>
      <c r="S81" s="12"/>
      <c r="T81" s="12"/>
      <c r="U81" s="19"/>
      <c r="V81" s="12"/>
      <c r="W81" s="12"/>
      <c r="X81" s="12"/>
      <c r="Y81" s="12"/>
      <c r="Z81" s="12"/>
    </row>
    <row r="82">
      <c r="A82" s="18"/>
      <c r="B82" s="12"/>
      <c r="C82" s="12"/>
      <c r="D82" s="12"/>
      <c r="E82" s="12"/>
      <c r="F82" s="12"/>
      <c r="G82" s="12"/>
      <c r="H82" s="12"/>
      <c r="I82" s="12"/>
      <c r="J82" s="12"/>
      <c r="K82" s="12"/>
      <c r="L82" s="19"/>
      <c r="M82" s="19"/>
      <c r="N82" s="19"/>
      <c r="O82" s="19"/>
      <c r="P82" s="19"/>
      <c r="Q82" s="12"/>
      <c r="R82" s="12"/>
      <c r="S82" s="12"/>
      <c r="T82" s="12"/>
      <c r="U82" s="19"/>
      <c r="V82" s="12"/>
      <c r="W82" s="12"/>
      <c r="X82" s="12"/>
      <c r="Y82" s="12"/>
      <c r="Z82" s="12"/>
    </row>
    <row r="83">
      <c r="A83" s="18"/>
      <c r="B83" s="12"/>
      <c r="C83" s="12"/>
      <c r="D83" s="12"/>
      <c r="E83" s="12"/>
      <c r="F83" s="12"/>
      <c r="G83" s="12"/>
      <c r="H83" s="12"/>
      <c r="I83" s="12"/>
      <c r="J83" s="12"/>
      <c r="K83" s="12"/>
      <c r="L83" s="19"/>
      <c r="M83" s="19"/>
      <c r="N83" s="19"/>
      <c r="O83" s="19"/>
      <c r="P83" s="19"/>
      <c r="Q83" s="12"/>
      <c r="R83" s="12"/>
      <c r="S83" s="12"/>
      <c r="T83" s="12"/>
      <c r="U83" s="19"/>
      <c r="V83" s="12"/>
      <c r="W83" s="12"/>
      <c r="X83" s="12"/>
      <c r="Y83" s="12"/>
      <c r="Z83" s="12"/>
    </row>
    <row r="84">
      <c r="A84" s="18"/>
      <c r="B84" s="12"/>
      <c r="C84" s="12"/>
      <c r="D84" s="12"/>
      <c r="E84" s="12"/>
      <c r="F84" s="12"/>
      <c r="G84" s="12"/>
      <c r="H84" s="12"/>
      <c r="I84" s="12"/>
      <c r="J84" s="12"/>
      <c r="K84" s="12"/>
      <c r="L84" s="19"/>
      <c r="M84" s="19"/>
      <c r="N84" s="19"/>
      <c r="O84" s="19"/>
      <c r="P84" s="19"/>
      <c r="Q84" s="12"/>
      <c r="R84" s="12"/>
      <c r="S84" s="12"/>
      <c r="T84" s="12"/>
      <c r="U84" s="19"/>
      <c r="V84" s="12"/>
      <c r="W84" s="12"/>
      <c r="X84" s="12"/>
      <c r="Y84" s="12"/>
      <c r="Z84" s="12"/>
    </row>
    <row r="85">
      <c r="A85" s="18"/>
      <c r="B85" s="12"/>
      <c r="C85" s="12"/>
      <c r="D85" s="12"/>
      <c r="E85" s="12"/>
      <c r="F85" s="12"/>
      <c r="G85" s="12"/>
      <c r="H85" s="12"/>
      <c r="I85" s="12"/>
      <c r="J85" s="12"/>
      <c r="K85" s="12"/>
      <c r="L85" s="19"/>
      <c r="M85" s="19"/>
      <c r="N85" s="19"/>
      <c r="O85" s="19"/>
      <c r="P85" s="19"/>
      <c r="Q85" s="12"/>
      <c r="R85" s="12"/>
      <c r="S85" s="12"/>
      <c r="T85" s="12"/>
      <c r="U85" s="19"/>
      <c r="V85" s="12"/>
      <c r="W85" s="12"/>
      <c r="X85" s="12"/>
      <c r="Y85" s="12"/>
      <c r="Z85" s="12"/>
    </row>
    <row r="86">
      <c r="A86" s="18"/>
      <c r="B86" s="12"/>
      <c r="C86" s="12"/>
      <c r="D86" s="12"/>
      <c r="E86" s="12"/>
      <c r="F86" s="12"/>
      <c r="G86" s="12"/>
      <c r="H86" s="12"/>
      <c r="I86" s="12"/>
      <c r="J86" s="12"/>
      <c r="K86" s="12"/>
      <c r="L86" s="19"/>
      <c r="M86" s="19"/>
      <c r="N86" s="19"/>
      <c r="O86" s="19"/>
      <c r="P86" s="19"/>
      <c r="Q86" s="12"/>
      <c r="R86" s="12"/>
      <c r="S86" s="12"/>
      <c r="T86" s="12"/>
      <c r="U86" s="19"/>
      <c r="V86" s="12"/>
      <c r="W86" s="12"/>
      <c r="X86" s="12"/>
      <c r="Y86" s="12"/>
      <c r="Z86" s="12"/>
    </row>
    <row r="87">
      <c r="A87" s="18"/>
      <c r="B87" s="12"/>
      <c r="C87" s="12"/>
      <c r="D87" s="12"/>
      <c r="E87" s="12"/>
      <c r="F87" s="12"/>
      <c r="G87" s="12"/>
      <c r="H87" s="12"/>
      <c r="I87" s="12"/>
      <c r="J87" s="12"/>
      <c r="K87" s="12"/>
      <c r="L87" s="19"/>
      <c r="M87" s="19"/>
      <c r="N87" s="19"/>
      <c r="O87" s="19"/>
      <c r="P87" s="19"/>
      <c r="Q87" s="12"/>
      <c r="R87" s="12"/>
      <c r="S87" s="12"/>
      <c r="T87" s="12"/>
      <c r="U87" s="19"/>
      <c r="V87" s="12"/>
      <c r="W87" s="12"/>
      <c r="X87" s="12"/>
      <c r="Y87" s="12"/>
      <c r="Z87" s="12"/>
    </row>
    <row r="88">
      <c r="A88" s="18"/>
      <c r="B88" s="12"/>
      <c r="C88" s="12"/>
      <c r="D88" s="12"/>
      <c r="E88" s="12"/>
      <c r="F88" s="12"/>
      <c r="G88" s="12"/>
      <c r="H88" s="12"/>
      <c r="I88" s="12"/>
      <c r="J88" s="12"/>
      <c r="K88" s="12"/>
      <c r="L88" s="19"/>
      <c r="M88" s="19"/>
      <c r="N88" s="19"/>
      <c r="O88" s="19"/>
      <c r="P88" s="19"/>
      <c r="Q88" s="12"/>
      <c r="R88" s="12"/>
      <c r="S88" s="12"/>
      <c r="T88" s="12"/>
      <c r="U88" s="19"/>
      <c r="V88" s="12"/>
      <c r="W88" s="12"/>
      <c r="X88" s="12"/>
      <c r="Y88" s="12"/>
      <c r="Z88" s="12"/>
    </row>
    <row r="89">
      <c r="A89" s="18"/>
      <c r="B89" s="12"/>
      <c r="C89" s="12"/>
      <c r="D89" s="12"/>
      <c r="E89" s="12"/>
      <c r="F89" s="12"/>
      <c r="G89" s="12"/>
      <c r="H89" s="12"/>
      <c r="I89" s="12"/>
      <c r="J89" s="12"/>
      <c r="K89" s="12"/>
      <c r="L89" s="19"/>
      <c r="M89" s="19"/>
      <c r="N89" s="19"/>
      <c r="O89" s="19"/>
      <c r="P89" s="19"/>
      <c r="Q89" s="12"/>
      <c r="R89" s="12"/>
      <c r="S89" s="12"/>
      <c r="T89" s="12"/>
      <c r="U89" s="19"/>
      <c r="V89" s="12"/>
      <c r="W89" s="12"/>
      <c r="X89" s="12"/>
      <c r="Y89" s="12"/>
      <c r="Z89" s="12"/>
    </row>
    <row r="90">
      <c r="A90" s="18"/>
      <c r="B90" s="12"/>
      <c r="C90" s="12"/>
      <c r="D90" s="12"/>
      <c r="E90" s="12"/>
      <c r="F90" s="12"/>
      <c r="G90" s="12"/>
      <c r="H90" s="12"/>
      <c r="I90" s="12"/>
      <c r="J90" s="12"/>
      <c r="K90" s="12"/>
      <c r="L90" s="19"/>
      <c r="M90" s="19"/>
      <c r="N90" s="19"/>
      <c r="O90" s="19"/>
      <c r="P90" s="19"/>
      <c r="Q90" s="12"/>
      <c r="R90" s="12"/>
      <c r="S90" s="12"/>
      <c r="T90" s="12"/>
      <c r="U90" s="19"/>
      <c r="V90" s="12"/>
      <c r="W90" s="12"/>
      <c r="X90" s="12"/>
      <c r="Y90" s="12"/>
      <c r="Z90" s="12"/>
    </row>
    <row r="91">
      <c r="A91" s="18"/>
      <c r="B91" s="12"/>
      <c r="C91" s="12"/>
      <c r="D91" s="12"/>
      <c r="E91" s="12"/>
      <c r="F91" s="12"/>
      <c r="G91" s="12"/>
      <c r="H91" s="12"/>
      <c r="I91" s="12"/>
      <c r="J91" s="12"/>
      <c r="K91" s="12"/>
      <c r="L91" s="19"/>
      <c r="M91" s="19"/>
      <c r="N91" s="19"/>
      <c r="O91" s="19"/>
      <c r="P91" s="19"/>
      <c r="Q91" s="12"/>
      <c r="R91" s="12"/>
      <c r="S91" s="12"/>
      <c r="T91" s="12"/>
      <c r="U91" s="19"/>
      <c r="V91" s="12"/>
      <c r="W91" s="12"/>
      <c r="X91" s="12"/>
      <c r="Y91" s="12"/>
      <c r="Z91" s="12"/>
    </row>
    <row r="92">
      <c r="A92" s="18"/>
      <c r="B92" s="12"/>
      <c r="C92" s="12"/>
      <c r="D92" s="12"/>
      <c r="E92" s="12"/>
      <c r="F92" s="12"/>
      <c r="G92" s="12"/>
      <c r="H92" s="12"/>
      <c r="I92" s="12"/>
      <c r="J92" s="12"/>
      <c r="K92" s="12"/>
      <c r="L92" s="19"/>
      <c r="M92" s="19"/>
      <c r="N92" s="19"/>
      <c r="O92" s="19"/>
      <c r="P92" s="19"/>
      <c r="Q92" s="12"/>
      <c r="R92" s="12"/>
      <c r="S92" s="12"/>
      <c r="T92" s="12"/>
      <c r="U92" s="19"/>
      <c r="V92" s="12"/>
      <c r="W92" s="12"/>
      <c r="X92" s="12"/>
      <c r="Y92" s="12"/>
      <c r="Z92" s="12"/>
    </row>
    <row r="93">
      <c r="A93" s="18"/>
      <c r="B93" s="12"/>
      <c r="C93" s="12"/>
      <c r="D93" s="12"/>
      <c r="E93" s="12"/>
      <c r="F93" s="12"/>
      <c r="G93" s="12"/>
      <c r="H93" s="12"/>
      <c r="I93" s="12"/>
      <c r="J93" s="12"/>
      <c r="K93" s="12"/>
      <c r="L93" s="19"/>
      <c r="M93" s="19"/>
      <c r="N93" s="19"/>
      <c r="O93" s="19"/>
      <c r="P93" s="19"/>
      <c r="Q93" s="12"/>
      <c r="R93" s="12"/>
      <c r="S93" s="12"/>
      <c r="T93" s="12"/>
      <c r="U93" s="19"/>
      <c r="V93" s="12"/>
      <c r="W93" s="12"/>
      <c r="X93" s="12"/>
      <c r="Y93" s="12"/>
      <c r="Z93" s="12"/>
    </row>
    <row r="94">
      <c r="A94" s="18"/>
      <c r="B94" s="12"/>
      <c r="C94" s="12"/>
      <c r="D94" s="12"/>
      <c r="E94" s="12"/>
      <c r="F94" s="12"/>
      <c r="G94" s="12"/>
      <c r="H94" s="12"/>
      <c r="I94" s="12"/>
      <c r="J94" s="12"/>
      <c r="K94" s="12"/>
      <c r="L94" s="19"/>
      <c r="M94" s="19"/>
      <c r="N94" s="19"/>
      <c r="O94" s="19"/>
      <c r="P94" s="19"/>
      <c r="Q94" s="12"/>
      <c r="R94" s="12"/>
      <c r="S94" s="12"/>
      <c r="T94" s="12"/>
      <c r="U94" s="19"/>
      <c r="V94" s="12"/>
      <c r="W94" s="12"/>
      <c r="X94" s="12"/>
      <c r="Y94" s="12"/>
      <c r="Z94" s="12"/>
    </row>
    <row r="95">
      <c r="A95" s="18"/>
      <c r="B95" s="12"/>
      <c r="C95" s="12"/>
      <c r="D95" s="12"/>
      <c r="E95" s="12"/>
      <c r="F95" s="12"/>
      <c r="G95" s="12"/>
      <c r="H95" s="12"/>
      <c r="I95" s="12"/>
      <c r="J95" s="12"/>
      <c r="K95" s="12"/>
      <c r="L95" s="19"/>
      <c r="M95" s="19"/>
      <c r="N95" s="19"/>
      <c r="O95" s="19"/>
      <c r="P95" s="19"/>
      <c r="Q95" s="12"/>
      <c r="R95" s="12"/>
      <c r="S95" s="12"/>
      <c r="T95" s="12"/>
      <c r="U95" s="19"/>
      <c r="V95" s="12"/>
      <c r="W95" s="12"/>
      <c r="X95" s="12"/>
      <c r="Y95" s="12"/>
      <c r="Z95" s="12"/>
    </row>
    <row r="96">
      <c r="A96" s="18"/>
      <c r="B96" s="12"/>
      <c r="C96" s="12"/>
      <c r="D96" s="12"/>
      <c r="E96" s="12"/>
      <c r="F96" s="12"/>
      <c r="G96" s="12"/>
      <c r="H96" s="12"/>
      <c r="I96" s="12"/>
      <c r="J96" s="12"/>
      <c r="K96" s="12"/>
      <c r="L96" s="19"/>
      <c r="M96" s="19"/>
      <c r="N96" s="19"/>
      <c r="O96" s="19"/>
      <c r="P96" s="19"/>
      <c r="Q96" s="12"/>
      <c r="R96" s="12"/>
      <c r="S96" s="12"/>
      <c r="T96" s="12"/>
      <c r="U96" s="19"/>
      <c r="V96" s="12"/>
      <c r="W96" s="12"/>
      <c r="X96" s="12"/>
      <c r="Y96" s="12"/>
      <c r="Z96" s="12"/>
    </row>
    <row r="97">
      <c r="A97" s="18"/>
      <c r="B97" s="12"/>
      <c r="C97" s="12"/>
      <c r="D97" s="12"/>
      <c r="E97" s="12"/>
      <c r="F97" s="12"/>
      <c r="G97" s="12"/>
      <c r="H97" s="12"/>
      <c r="I97" s="12"/>
      <c r="J97" s="12"/>
      <c r="K97" s="12"/>
      <c r="L97" s="19"/>
      <c r="M97" s="19"/>
      <c r="N97" s="19"/>
      <c r="O97" s="19"/>
      <c r="P97" s="19"/>
      <c r="Q97" s="12"/>
      <c r="R97" s="12"/>
      <c r="S97" s="12"/>
      <c r="T97" s="12"/>
      <c r="U97" s="19"/>
      <c r="V97" s="12"/>
      <c r="W97" s="12"/>
      <c r="X97" s="12"/>
      <c r="Y97" s="12"/>
      <c r="Z97" s="12"/>
    </row>
    <row r="98">
      <c r="A98" s="18"/>
      <c r="B98" s="12"/>
      <c r="C98" s="12"/>
      <c r="D98" s="12"/>
      <c r="E98" s="12"/>
      <c r="F98" s="12"/>
      <c r="G98" s="12"/>
      <c r="H98" s="12"/>
      <c r="I98" s="12"/>
      <c r="J98" s="12"/>
      <c r="K98" s="12"/>
      <c r="L98" s="19"/>
      <c r="M98" s="19"/>
      <c r="N98" s="19"/>
      <c r="O98" s="19"/>
      <c r="P98" s="19"/>
      <c r="Q98" s="12"/>
      <c r="R98" s="12"/>
      <c r="S98" s="12"/>
      <c r="T98" s="12"/>
      <c r="U98" s="19"/>
      <c r="V98" s="12"/>
      <c r="W98" s="12"/>
      <c r="X98" s="12"/>
      <c r="Y98" s="12"/>
      <c r="Z98" s="12"/>
    </row>
    <row r="99">
      <c r="A99" s="18"/>
      <c r="B99" s="12"/>
      <c r="C99" s="12"/>
      <c r="D99" s="12"/>
      <c r="E99" s="12"/>
      <c r="F99" s="12"/>
      <c r="G99" s="12"/>
      <c r="H99" s="12"/>
      <c r="I99" s="12"/>
      <c r="J99" s="12"/>
      <c r="K99" s="12"/>
      <c r="L99" s="19"/>
      <c r="M99" s="19"/>
      <c r="N99" s="19"/>
      <c r="O99" s="19"/>
      <c r="P99" s="19"/>
      <c r="Q99" s="12"/>
      <c r="R99" s="12"/>
      <c r="S99" s="12"/>
      <c r="T99" s="12"/>
      <c r="U99" s="19"/>
      <c r="V99" s="12"/>
      <c r="W99" s="12"/>
      <c r="X99" s="12"/>
      <c r="Y99" s="12"/>
      <c r="Z99" s="12"/>
    </row>
    <row r="100">
      <c r="A100" s="18"/>
      <c r="B100" s="12"/>
      <c r="C100" s="12"/>
      <c r="D100" s="12"/>
      <c r="E100" s="12"/>
      <c r="F100" s="12"/>
      <c r="G100" s="12"/>
      <c r="H100" s="12"/>
      <c r="I100" s="12"/>
      <c r="J100" s="12"/>
      <c r="K100" s="12"/>
      <c r="L100" s="19"/>
      <c r="M100" s="19"/>
      <c r="N100" s="19"/>
      <c r="O100" s="19"/>
      <c r="P100" s="19"/>
      <c r="Q100" s="12"/>
      <c r="R100" s="12"/>
      <c r="S100" s="12"/>
      <c r="T100" s="12"/>
      <c r="U100" s="19"/>
      <c r="V100" s="12"/>
      <c r="W100" s="12"/>
      <c r="X100" s="12"/>
      <c r="Y100" s="12"/>
      <c r="Z100" s="12"/>
    </row>
    <row r="101">
      <c r="A101" s="18"/>
      <c r="B101" s="12"/>
      <c r="C101" s="12"/>
      <c r="D101" s="12"/>
      <c r="E101" s="12"/>
      <c r="F101" s="12"/>
      <c r="G101" s="12"/>
      <c r="H101" s="12"/>
      <c r="I101" s="12"/>
      <c r="J101" s="12"/>
      <c r="K101" s="12"/>
      <c r="L101" s="19"/>
      <c r="M101" s="19"/>
      <c r="N101" s="19"/>
      <c r="O101" s="19"/>
      <c r="P101" s="19"/>
      <c r="Q101" s="12"/>
      <c r="R101" s="12"/>
      <c r="S101" s="12"/>
      <c r="T101" s="12"/>
      <c r="U101" s="19"/>
      <c r="V101" s="12"/>
      <c r="W101" s="12"/>
      <c r="X101" s="12"/>
      <c r="Y101" s="12"/>
      <c r="Z101" s="12"/>
    </row>
    <row r="102">
      <c r="A102" s="18"/>
      <c r="B102" s="12"/>
      <c r="C102" s="12"/>
      <c r="D102" s="12"/>
      <c r="E102" s="12"/>
      <c r="F102" s="12"/>
      <c r="G102" s="12"/>
      <c r="H102" s="12"/>
      <c r="I102" s="12"/>
      <c r="J102" s="12"/>
      <c r="K102" s="12"/>
      <c r="L102" s="19"/>
      <c r="M102" s="19"/>
      <c r="N102" s="19"/>
      <c r="O102" s="19"/>
      <c r="P102" s="19"/>
      <c r="Q102" s="12"/>
      <c r="R102" s="12"/>
      <c r="S102" s="12"/>
      <c r="T102" s="12"/>
      <c r="U102" s="19"/>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sheetData>
  <hyperlinks>
    <hyperlink r:id="rId1" ref="S3"/>
    <hyperlink r:id="rId2" ref="G4"/>
    <hyperlink r:id="rId3" ref="S4"/>
    <hyperlink r:id="rId4" ref="S5"/>
    <hyperlink r:id="rId5" ref="F6"/>
    <hyperlink r:id="rId6" ref="S6"/>
    <hyperlink r:id="rId7" ref="F7"/>
    <hyperlink r:id="rId8" ref="G7"/>
    <hyperlink r:id="rId9" ref="S7"/>
    <hyperlink r:id="rId10" ref="F8"/>
    <hyperlink r:id="rId11" ref="S8"/>
    <hyperlink r:id="rId12" ref="S9"/>
    <hyperlink r:id="rId13" ref="S10"/>
    <hyperlink r:id="rId14" ref="F11"/>
    <hyperlink r:id="rId15" ref="S11"/>
    <hyperlink r:id="rId16" ref="S12"/>
    <hyperlink r:id="rId17" ref="S13"/>
    <hyperlink r:id="rId18" ref="S14"/>
    <hyperlink r:id="rId19" ref="S15"/>
    <hyperlink r:id="rId20" ref="S16"/>
    <hyperlink r:id="rId21" ref="G17"/>
    <hyperlink r:id="rId22" ref="S17"/>
    <hyperlink r:id="rId23" ref="F18"/>
    <hyperlink r:id="rId24" ref="S18"/>
    <hyperlink r:id="rId25" ref="S19"/>
    <hyperlink r:id="rId26" ref="F20"/>
    <hyperlink r:id="rId27" ref="S20"/>
    <hyperlink r:id="rId28" ref="S21"/>
    <hyperlink r:id="rId29" ref="S22"/>
    <hyperlink r:id="rId30" ref="G23"/>
    <hyperlink r:id="rId31" ref="S23"/>
    <hyperlink r:id="rId32" ref="S24"/>
    <hyperlink r:id="rId33" ref="S25"/>
    <hyperlink r:id="rId34" ref="G26"/>
    <hyperlink r:id="rId35" ref="S26"/>
    <hyperlink r:id="rId36" ref="G27"/>
    <hyperlink r:id="rId37" ref="S27"/>
    <hyperlink r:id="rId38" ref="G28"/>
    <hyperlink r:id="rId39" ref="S28"/>
    <hyperlink r:id="rId40" ref="S29"/>
    <hyperlink r:id="rId41" ref="S30"/>
    <hyperlink r:id="rId42" ref="S31"/>
    <hyperlink r:id="rId43" ref="S32"/>
    <hyperlink r:id="rId44" ref="S33"/>
    <hyperlink r:id="rId45" ref="S34"/>
    <hyperlink r:id="rId46" ref="S35"/>
    <hyperlink r:id="rId47" ref="S36"/>
    <hyperlink r:id="rId48" ref="S37"/>
    <hyperlink r:id="rId49" ref="S38"/>
    <hyperlink r:id="rId50" ref="S39"/>
    <hyperlink r:id="rId51" ref="S40"/>
    <hyperlink r:id="rId52" ref="S41"/>
    <hyperlink r:id="rId53" ref="S42"/>
    <hyperlink r:id="rId54" ref="S43"/>
    <hyperlink r:id="rId55" ref="S44"/>
    <hyperlink r:id="rId56" ref="S45"/>
    <hyperlink r:id="rId57" ref="F46"/>
    <hyperlink r:id="rId58" ref="S46"/>
    <hyperlink r:id="rId59" ref="S47"/>
    <hyperlink r:id="rId60" ref="S48"/>
    <hyperlink r:id="rId61" ref="S49"/>
    <hyperlink r:id="rId62" ref="S50"/>
    <hyperlink r:id="rId63" ref="S51"/>
    <hyperlink r:id="rId64" ref="S52"/>
    <hyperlink r:id="rId65" ref="S53"/>
    <hyperlink r:id="rId66" ref="S54"/>
    <hyperlink r:id="rId67" ref="S55"/>
    <hyperlink r:id="rId68" ref="S56"/>
    <hyperlink r:id="rId69" ref="S57"/>
    <hyperlink r:id="rId70" ref="S58"/>
    <hyperlink r:id="rId71" ref="S59"/>
    <hyperlink r:id="rId72" ref="S60"/>
    <hyperlink r:id="rId73" ref="S61"/>
    <hyperlink r:id="rId74" ref="S62"/>
    <hyperlink r:id="rId75" ref="S63"/>
    <hyperlink r:id="rId76" ref="S64"/>
    <hyperlink r:id="rId77" ref="S65"/>
    <hyperlink r:id="rId78" ref="S66"/>
    <hyperlink r:id="rId79" ref="S67"/>
    <hyperlink r:id="rId80" ref="S68"/>
    <hyperlink r:id="rId81" ref="S69"/>
    <hyperlink r:id="rId82" ref="S70"/>
    <hyperlink r:id="rId83" ref="S71"/>
    <hyperlink r:id="rId84" ref="S72"/>
    <hyperlink r:id="rId85" ref="S73"/>
    <hyperlink r:id="rId86" ref="S74"/>
  </hyperlinks>
  <drawing r:id="rId87"/>
  <tableParts count="1">
    <tablePart r:id="rId89"/>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15.86"/>
    <col customWidth="1" min="3" max="3" width="21.57"/>
    <col customWidth="1" min="4" max="4" width="43.0"/>
    <col customWidth="1" min="5" max="5" width="18.71"/>
    <col customWidth="1" min="6" max="6" width="21.57"/>
  </cols>
  <sheetData>
    <row r="1" ht="24.0" customHeight="1">
      <c r="A1" s="1"/>
      <c r="B1" s="2" t="s">
        <v>2359</v>
      </c>
      <c r="C1" s="3"/>
      <c r="D1" s="3"/>
      <c r="E1" s="3"/>
      <c r="F1" s="3"/>
      <c r="G1" s="3"/>
      <c r="H1" s="3"/>
      <c r="I1" s="3"/>
      <c r="J1" s="3"/>
      <c r="K1" s="3"/>
      <c r="L1" s="4"/>
      <c r="M1" s="4"/>
      <c r="N1" s="4"/>
      <c r="O1" s="4"/>
      <c r="P1" s="4"/>
      <c r="Q1" s="3"/>
      <c r="R1" s="3"/>
      <c r="S1" s="3"/>
      <c r="T1" s="3"/>
      <c r="U1" s="4"/>
      <c r="V1" s="3"/>
      <c r="W1" s="3"/>
      <c r="X1" s="3"/>
      <c r="Y1" s="3"/>
      <c r="Z1" s="3"/>
    </row>
    <row r="2" ht="24.0" customHeight="1">
      <c r="A2" s="5" t="s">
        <v>1</v>
      </c>
      <c r="B2" s="6" t="s">
        <v>2</v>
      </c>
      <c r="C2" s="6" t="s">
        <v>3</v>
      </c>
      <c r="D2" s="6" t="s">
        <v>4</v>
      </c>
      <c r="E2" s="6" t="s">
        <v>5</v>
      </c>
      <c r="F2" s="6" t="s">
        <v>6</v>
      </c>
      <c r="G2" s="6" t="s">
        <v>7</v>
      </c>
      <c r="H2" s="6" t="s">
        <v>8</v>
      </c>
      <c r="I2" s="6" t="s">
        <v>9</v>
      </c>
      <c r="J2" s="6" t="s">
        <v>10</v>
      </c>
      <c r="K2" s="6" t="s">
        <v>11</v>
      </c>
      <c r="L2" s="5" t="s">
        <v>12</v>
      </c>
      <c r="M2" s="5" t="s">
        <v>13</v>
      </c>
      <c r="N2" s="5" t="s">
        <v>14</v>
      </c>
      <c r="O2" s="5" t="s">
        <v>15</v>
      </c>
      <c r="P2" s="5" t="s">
        <v>16</v>
      </c>
      <c r="Q2" s="6" t="s">
        <v>8</v>
      </c>
      <c r="R2" s="6" t="s">
        <v>17</v>
      </c>
      <c r="S2" s="6" t="s">
        <v>18</v>
      </c>
      <c r="T2" s="6" t="s">
        <v>19</v>
      </c>
      <c r="U2" s="5" t="s">
        <v>20</v>
      </c>
      <c r="V2" s="7"/>
      <c r="W2" s="7"/>
      <c r="X2" s="7"/>
      <c r="Y2" s="7"/>
      <c r="Z2" s="7"/>
    </row>
    <row r="3">
      <c r="A3" s="8">
        <v>44222.57178240741</v>
      </c>
      <c r="B3" s="9" t="str">
        <f>HYPERLINK("https://twitter.com/taller2006","@taller2006")</f>
        <v>@taller2006</v>
      </c>
      <c r="C3" s="10" t="s">
        <v>2360</v>
      </c>
      <c r="D3" s="10" t="s">
        <v>2361</v>
      </c>
      <c r="E3" s="9" t="str">
        <f>HYPERLINK("https://twitter.com/taller2006/status/1354152971936870401","1354152971936870401")</f>
        <v>1354152971936870401</v>
      </c>
      <c r="F3" s="12"/>
      <c r="G3" s="11" t="s">
        <v>2362</v>
      </c>
      <c r="H3" s="12"/>
      <c r="I3" s="13">
        <v>0.0</v>
      </c>
      <c r="J3" s="13">
        <v>0.0</v>
      </c>
      <c r="K3" s="9" t="str">
        <f>HYPERLINK("https://mobile.twitter.com","Twitter Web App")</f>
        <v>Twitter Web App</v>
      </c>
      <c r="L3" s="14">
        <v>39757.0</v>
      </c>
      <c r="M3" s="14">
        <v>5730.0</v>
      </c>
      <c r="N3" s="14">
        <v>252.0</v>
      </c>
      <c r="O3" s="19"/>
      <c r="P3" s="16">
        <v>40220.81548611111</v>
      </c>
      <c r="Q3" s="10" t="s">
        <v>2363</v>
      </c>
      <c r="R3" s="10" t="s">
        <v>2364</v>
      </c>
      <c r="S3" s="12"/>
      <c r="T3" s="12"/>
      <c r="U3" s="17" t="str">
        <f>HYPERLINK("https://pbs.twimg.com/profile_images/1274089281582174208/nbORDAyw.jpg","View")</f>
        <v>View</v>
      </c>
      <c r="V3" s="12"/>
      <c r="W3" s="12"/>
      <c r="X3" s="12"/>
      <c r="Y3" s="12"/>
      <c r="Z3" s="12"/>
    </row>
    <row r="4">
      <c r="A4" s="8">
        <v>44222.57079861111</v>
      </c>
      <c r="B4" s="9" t="str">
        <f>HYPERLINK("https://twitter.com/CaraveoBertha","@CaraveoBertha")</f>
        <v>@CaraveoBertha</v>
      </c>
      <c r="C4" s="10" t="s">
        <v>2365</v>
      </c>
      <c r="D4" s="10" t="s">
        <v>2366</v>
      </c>
      <c r="E4" s="9" t="str">
        <f>HYPERLINK("https://twitter.com/CaraveoBertha/status/1354152618495414272","1354152618495414272")</f>
        <v>1354152618495414272</v>
      </c>
      <c r="F4" s="10" t="s">
        <v>2367</v>
      </c>
      <c r="G4" s="12"/>
      <c r="H4" s="12"/>
      <c r="I4" s="13">
        <v>1.0</v>
      </c>
      <c r="J4" s="13">
        <v>1.0</v>
      </c>
      <c r="K4" s="9" t="str">
        <f>HYPERLINK("http://twitter.com/download/iphone","Twitter for iPhone")</f>
        <v>Twitter for iPhone</v>
      </c>
      <c r="L4" s="14">
        <v>7924.0</v>
      </c>
      <c r="M4" s="14">
        <v>612.0</v>
      </c>
      <c r="N4" s="14">
        <v>47.0</v>
      </c>
      <c r="O4" s="15" t="s">
        <v>24</v>
      </c>
      <c r="P4" s="16">
        <v>42074.41003472223</v>
      </c>
      <c r="Q4" s="10" t="s">
        <v>325</v>
      </c>
      <c r="R4" s="10" t="s">
        <v>2368</v>
      </c>
      <c r="S4" s="11" t="s">
        <v>2369</v>
      </c>
      <c r="T4" s="12"/>
      <c r="U4" s="17" t="str">
        <f>HYPERLINK("https://pbs.twimg.com/profile_images/1340084801240326145/zTWBHuO_.jpg","View")</f>
        <v>View</v>
      </c>
      <c r="V4" s="12"/>
      <c r="W4" s="12"/>
      <c r="X4" s="12"/>
      <c r="Y4" s="12"/>
      <c r="Z4" s="12"/>
    </row>
    <row r="5">
      <c r="A5" s="8">
        <v>44222.57021990741</v>
      </c>
      <c r="B5" s="9" t="str">
        <f>HYPERLINK("https://twitter.com/M_ArellanoMx","@M_ArellanoMx")</f>
        <v>@M_ArellanoMx</v>
      </c>
      <c r="C5" s="10" t="s">
        <v>2370</v>
      </c>
      <c r="D5" s="10" t="s">
        <v>2371</v>
      </c>
      <c r="E5" s="9" t="str">
        <f>HYPERLINK("https://twitter.com/M_ArellanoMx/status/1354152406540546051","1354152406540546051")</f>
        <v>1354152406540546051</v>
      </c>
      <c r="F5" s="10" t="s">
        <v>2372</v>
      </c>
      <c r="G5" s="12"/>
      <c r="H5" s="12"/>
      <c r="I5" s="13">
        <v>0.0</v>
      </c>
      <c r="J5" s="13">
        <v>0.0</v>
      </c>
      <c r="K5" s="9" t="str">
        <f t="shared" ref="K5:K6" si="1">HYPERLINK("http://twitter.com/download/android","Twitter for Android")</f>
        <v>Twitter for Android</v>
      </c>
      <c r="L5" s="14">
        <v>6697.0</v>
      </c>
      <c r="M5" s="14">
        <v>2091.0</v>
      </c>
      <c r="N5" s="14">
        <v>10.0</v>
      </c>
      <c r="O5" s="19"/>
      <c r="P5" s="16">
        <v>40314.64232638889</v>
      </c>
      <c r="Q5" s="10" t="s">
        <v>325</v>
      </c>
      <c r="R5" s="10" t="s">
        <v>2373</v>
      </c>
      <c r="S5" s="11" t="s">
        <v>2374</v>
      </c>
      <c r="T5" s="12"/>
      <c r="U5" s="17" t="str">
        <f>HYPERLINK("https://pbs.twimg.com/profile_images/1345591168135012358/bjYevZ0h.jpg","View")</f>
        <v>View</v>
      </c>
      <c r="V5" s="12"/>
      <c r="W5" s="12"/>
      <c r="X5" s="12"/>
      <c r="Y5" s="12"/>
      <c r="Z5" s="12"/>
    </row>
    <row r="6">
      <c r="A6" s="8">
        <v>44222.57016203704</v>
      </c>
      <c r="B6" s="9" t="str">
        <f>HYPERLINK("https://twitter.com/JuanCDiazC1","@JuanCDiazC1")</f>
        <v>@JuanCDiazC1</v>
      </c>
      <c r="C6" s="10" t="s">
        <v>2375</v>
      </c>
      <c r="D6" s="10" t="s">
        <v>2376</v>
      </c>
      <c r="E6" s="9" t="str">
        <f>HYPERLINK("https://twitter.com/JuanCDiazC1/status/1354152388286943233","1354152388286943233")</f>
        <v>1354152388286943233</v>
      </c>
      <c r="F6" s="11" t="s">
        <v>2377</v>
      </c>
      <c r="G6" s="12"/>
      <c r="H6" s="12"/>
      <c r="I6" s="13">
        <v>0.0</v>
      </c>
      <c r="J6" s="13">
        <v>0.0</v>
      </c>
      <c r="K6" s="9" t="str">
        <f t="shared" si="1"/>
        <v>Twitter for Android</v>
      </c>
      <c r="L6" s="14">
        <v>78.0</v>
      </c>
      <c r="M6" s="14">
        <v>202.0</v>
      </c>
      <c r="N6" s="14">
        <v>0.0</v>
      </c>
      <c r="O6" s="19"/>
      <c r="P6" s="16">
        <v>43756.82954861112</v>
      </c>
      <c r="Q6" s="10" t="s">
        <v>325</v>
      </c>
      <c r="R6" s="10" t="s">
        <v>2378</v>
      </c>
      <c r="S6" s="12"/>
      <c r="T6" s="12"/>
      <c r="U6" s="17" t="str">
        <f>HYPERLINK("https://pbs.twimg.com/profile_images/1303164434743918593/K1nYBy_3.jpg","View")</f>
        <v>View</v>
      </c>
      <c r="V6" s="12"/>
      <c r="W6" s="12"/>
      <c r="X6" s="12"/>
      <c r="Y6" s="12"/>
      <c r="Z6" s="12"/>
    </row>
    <row r="7">
      <c r="A7" s="8">
        <v>44222.56979166667</v>
      </c>
      <c r="B7" s="9" t="str">
        <f>HYPERLINK("https://twitter.com/CeciOrt11903248","@CeciOrt11903248")</f>
        <v>@CeciOrt11903248</v>
      </c>
      <c r="C7" s="10" t="s">
        <v>2379</v>
      </c>
      <c r="D7" s="10" t="s">
        <v>2380</v>
      </c>
      <c r="E7" s="9" t="str">
        <f>HYPERLINK("https://twitter.com/CeciOrt11903248/status/1354152251095396355","1354152251095396355")</f>
        <v>1354152251095396355</v>
      </c>
      <c r="F7" s="12"/>
      <c r="G7" s="12"/>
      <c r="H7" s="12"/>
      <c r="I7" s="13">
        <v>0.0</v>
      </c>
      <c r="J7" s="13">
        <v>1.0</v>
      </c>
      <c r="K7" s="9" t="str">
        <f>HYPERLINK("https://mobile.twitter.com","Twitter Web App")</f>
        <v>Twitter Web App</v>
      </c>
      <c r="L7" s="14">
        <v>256.0</v>
      </c>
      <c r="M7" s="14">
        <v>427.0</v>
      </c>
      <c r="N7" s="14">
        <v>0.0</v>
      </c>
      <c r="O7" s="19"/>
      <c r="P7" s="16">
        <v>43345.745624999996</v>
      </c>
      <c r="Q7" s="12"/>
      <c r="R7" s="12"/>
      <c r="S7" s="12"/>
      <c r="T7" s="12"/>
      <c r="U7" s="17" t="str">
        <f>HYPERLINK("https://pbs.twimg.com/profile_images/1236480750381400064/vXqRjXsX.jpg","View")</f>
        <v>View</v>
      </c>
      <c r="V7" s="12"/>
      <c r="W7" s="12"/>
      <c r="X7" s="12"/>
      <c r="Y7" s="12"/>
      <c r="Z7" s="12"/>
    </row>
    <row r="8">
      <c r="A8" s="8">
        <v>44222.569386574076</v>
      </c>
      <c r="B8" s="9" t="str">
        <f>HYPERLINK("https://twitter.com/Alf19713","@Alf19713")</f>
        <v>@Alf19713</v>
      </c>
      <c r="C8" s="10" t="s">
        <v>2381</v>
      </c>
      <c r="D8" s="10" t="s">
        <v>2382</v>
      </c>
      <c r="E8" s="9" t="str">
        <f>HYPERLINK("https://twitter.com/Alf19713/status/1354152107226574849","1354152107226574849")</f>
        <v>1354152107226574849</v>
      </c>
      <c r="F8" s="10" t="s">
        <v>2383</v>
      </c>
      <c r="G8" s="12"/>
      <c r="H8" s="12"/>
      <c r="I8" s="13">
        <v>0.0</v>
      </c>
      <c r="J8" s="13">
        <v>0.0</v>
      </c>
      <c r="K8" s="9" t="str">
        <f t="shared" ref="K8:K11" si="2">HYPERLINK("http://twitter.com/download/android","Twitter for Android")</f>
        <v>Twitter for Android</v>
      </c>
      <c r="L8" s="14">
        <v>40.0</v>
      </c>
      <c r="M8" s="14">
        <v>366.0</v>
      </c>
      <c r="N8" s="14">
        <v>0.0</v>
      </c>
      <c r="O8" s="19"/>
      <c r="P8" s="16">
        <v>42788.36903935185</v>
      </c>
      <c r="Q8" s="10" t="s">
        <v>478</v>
      </c>
      <c r="R8" s="10" t="s">
        <v>2384</v>
      </c>
      <c r="S8" s="12"/>
      <c r="T8" s="12"/>
      <c r="U8" s="17" t="str">
        <f>HYPERLINK("https://pbs.twimg.com/profile_images/1298719967097970689/DkJ6wNmy.jpg","View")</f>
        <v>View</v>
      </c>
      <c r="V8" s="12"/>
      <c r="W8" s="12"/>
      <c r="X8" s="12"/>
      <c r="Y8" s="12"/>
      <c r="Z8" s="12"/>
    </row>
    <row r="9">
      <c r="A9" s="8">
        <v>44222.567974537036</v>
      </c>
      <c r="B9" s="9" t="str">
        <f>HYPERLINK("https://twitter.com/arcos_ha","@arcos_ha")</f>
        <v>@arcos_ha</v>
      </c>
      <c r="C9" s="10" t="s">
        <v>2385</v>
      </c>
      <c r="D9" s="10" t="s">
        <v>2386</v>
      </c>
      <c r="E9" s="9" t="str">
        <f>HYPERLINK("https://twitter.com/arcos_ha/status/1354151593336332289","1354151593336332289")</f>
        <v>1354151593336332289</v>
      </c>
      <c r="F9" s="12"/>
      <c r="G9" s="11" t="s">
        <v>2387</v>
      </c>
      <c r="H9" s="12"/>
      <c r="I9" s="13">
        <v>0.0</v>
      </c>
      <c r="J9" s="13">
        <v>0.0</v>
      </c>
      <c r="K9" s="9" t="str">
        <f t="shared" si="2"/>
        <v>Twitter for Android</v>
      </c>
      <c r="L9" s="14">
        <v>361.0</v>
      </c>
      <c r="M9" s="14">
        <v>275.0</v>
      </c>
      <c r="N9" s="14">
        <v>1.0</v>
      </c>
      <c r="O9" s="19"/>
      <c r="P9" s="16">
        <v>41676.52422453704</v>
      </c>
      <c r="Q9" s="10" t="s">
        <v>2388</v>
      </c>
      <c r="R9" s="12"/>
      <c r="S9" s="12"/>
      <c r="T9" s="12"/>
      <c r="U9" s="17" t="str">
        <f>HYPERLINK("https://pbs.twimg.com/profile_images/1330233032180199430/1jwUNKIt.jpg","View")</f>
        <v>View</v>
      </c>
      <c r="V9" s="12"/>
      <c r="W9" s="12"/>
      <c r="X9" s="12"/>
      <c r="Y9" s="12"/>
      <c r="Z9" s="12"/>
    </row>
    <row r="10">
      <c r="A10" s="8">
        <v>44222.56759259259</v>
      </c>
      <c r="B10" s="9" t="str">
        <f>HYPERLINK("https://twitter.com/emegas","@emegas")</f>
        <v>@emegas</v>
      </c>
      <c r="C10" s="10" t="s">
        <v>2389</v>
      </c>
      <c r="D10" s="10" t="s">
        <v>2390</v>
      </c>
      <c r="E10" s="9" t="str">
        <f>HYPERLINK("https://twitter.com/emegas/status/1354151453829509123","1354151453829509123")</f>
        <v>1354151453829509123</v>
      </c>
      <c r="F10" s="12"/>
      <c r="G10" s="11" t="s">
        <v>2391</v>
      </c>
      <c r="H10" s="12"/>
      <c r="I10" s="13">
        <v>0.0</v>
      </c>
      <c r="J10" s="13">
        <v>0.0</v>
      </c>
      <c r="K10" s="9" t="str">
        <f t="shared" si="2"/>
        <v>Twitter for Android</v>
      </c>
      <c r="L10" s="14">
        <v>94.0</v>
      </c>
      <c r="M10" s="14">
        <v>108.0</v>
      </c>
      <c r="N10" s="14">
        <v>1.0</v>
      </c>
      <c r="O10" s="19"/>
      <c r="P10" s="16">
        <v>39976.96119212963</v>
      </c>
      <c r="Q10" s="12"/>
      <c r="R10" s="12"/>
      <c r="S10" s="12"/>
      <c r="T10" s="12"/>
      <c r="U10" s="17" t="str">
        <f>HYPERLINK("https://pbs.twimg.com/profile_images/3478318927/89690271f5f7102d60b4cbbccd3bba18.png","View")</f>
        <v>View</v>
      </c>
      <c r="V10" s="12"/>
      <c r="W10" s="12"/>
      <c r="X10" s="12"/>
      <c r="Y10" s="12"/>
      <c r="Z10" s="12"/>
    </row>
    <row r="11">
      <c r="A11" s="8">
        <v>44222.567500000005</v>
      </c>
      <c r="B11" s="9" t="str">
        <f>HYPERLINK("https://twitter.com/AlexEspinosaTo1","@AlexEspinosaTo1")</f>
        <v>@AlexEspinosaTo1</v>
      </c>
      <c r="C11" s="10" t="s">
        <v>2392</v>
      </c>
      <c r="D11" s="10" t="s">
        <v>2393</v>
      </c>
      <c r="E11" s="9" t="str">
        <f>HYPERLINK("https://twitter.com/AlexEspinosaTo1/status/1354151421302640640","1354151421302640640")</f>
        <v>1354151421302640640</v>
      </c>
      <c r="F11" s="11" t="s">
        <v>2394</v>
      </c>
      <c r="G11" s="12"/>
      <c r="H11" s="12"/>
      <c r="I11" s="13">
        <v>0.0</v>
      </c>
      <c r="J11" s="13">
        <v>0.0</v>
      </c>
      <c r="K11" s="9" t="str">
        <f t="shared" si="2"/>
        <v>Twitter for Android</v>
      </c>
      <c r="L11" s="14">
        <v>464.0</v>
      </c>
      <c r="M11" s="14">
        <v>788.0</v>
      </c>
      <c r="N11" s="14">
        <v>0.0</v>
      </c>
      <c r="O11" s="19"/>
      <c r="P11" s="16">
        <v>44029.74407407407</v>
      </c>
      <c r="Q11" s="10" t="s">
        <v>2395</v>
      </c>
      <c r="R11" s="10" t="s">
        <v>2396</v>
      </c>
      <c r="S11" s="12"/>
      <c r="T11" s="12"/>
      <c r="U11" s="17" t="str">
        <f>HYPERLINK("https://pbs.twimg.com/profile_images/1284259803779313665/uvLv-O51.jpg","View")</f>
        <v>View</v>
      </c>
      <c r="V11" s="12"/>
      <c r="W11" s="12"/>
      <c r="X11" s="12"/>
      <c r="Y11" s="12"/>
      <c r="Z11" s="12"/>
    </row>
    <row r="12">
      <c r="A12" s="8">
        <v>44222.566932870366</v>
      </c>
      <c r="B12" s="9" t="str">
        <f>HYPERLINK("https://twitter.com/CPBeatrizRocha","@CPBeatrizRocha")</f>
        <v>@CPBeatrizRocha</v>
      </c>
      <c r="C12" s="10" t="s">
        <v>2397</v>
      </c>
      <c r="D12" s="10" t="s">
        <v>2398</v>
      </c>
      <c r="E12" s="9" t="str">
        <f>HYPERLINK("https://twitter.com/CPBeatrizRocha/status/1354151217275023364","1354151217275023364")</f>
        <v>1354151217275023364</v>
      </c>
      <c r="F12" s="11" t="s">
        <v>2399</v>
      </c>
      <c r="G12" s="11" t="s">
        <v>2400</v>
      </c>
      <c r="H12" s="12"/>
      <c r="I12" s="13">
        <v>0.0</v>
      </c>
      <c r="J12" s="13">
        <v>0.0</v>
      </c>
      <c r="K12" s="9" t="str">
        <f>HYPERLINK("https://mobile.twitter.com","Twitter Web App")</f>
        <v>Twitter Web App</v>
      </c>
      <c r="L12" s="14">
        <v>186.0</v>
      </c>
      <c r="M12" s="14">
        <v>190.0</v>
      </c>
      <c r="N12" s="14">
        <v>0.0</v>
      </c>
      <c r="O12" s="19"/>
      <c r="P12" s="16">
        <v>43657.445439814815</v>
      </c>
      <c r="Q12" s="12"/>
      <c r="R12" s="10" t="s">
        <v>2401</v>
      </c>
      <c r="S12" s="12"/>
      <c r="T12" s="12"/>
      <c r="U12" s="17" t="str">
        <f>HYPERLINK("https://pbs.twimg.com/profile_images/1244407903378903041/vIv-mJAK.jpg","View")</f>
        <v>View</v>
      </c>
      <c r="V12" s="12"/>
      <c r="W12" s="12"/>
      <c r="X12" s="12"/>
      <c r="Y12" s="12"/>
      <c r="Z12" s="12"/>
    </row>
    <row r="13">
      <c r="A13" s="8">
        <v>44222.56684027778</v>
      </c>
      <c r="B13" s="9" t="str">
        <f>HYPERLINK("https://twitter.com/gomez_collado","@gomez_collado")</f>
        <v>@gomez_collado</v>
      </c>
      <c r="C13" s="10" t="s">
        <v>2402</v>
      </c>
      <c r="D13" s="10" t="s">
        <v>2403</v>
      </c>
      <c r="E13" s="9" t="str">
        <f>HYPERLINK("https://twitter.com/gomez_collado/status/1354151183494090758","1354151183494090758")</f>
        <v>1354151183494090758</v>
      </c>
      <c r="F13" s="10" t="s">
        <v>2404</v>
      </c>
      <c r="G13" s="12"/>
      <c r="H13" s="12"/>
      <c r="I13" s="13">
        <v>0.0</v>
      </c>
      <c r="J13" s="13">
        <v>1.0</v>
      </c>
      <c r="K13" s="9" t="str">
        <f>HYPERLINK("http://twitter.com/download/iphone","Twitter for iPhone")</f>
        <v>Twitter for iPhone</v>
      </c>
      <c r="L13" s="14">
        <v>120.0</v>
      </c>
      <c r="M13" s="14">
        <v>250.0</v>
      </c>
      <c r="N13" s="14">
        <v>0.0</v>
      </c>
      <c r="O13" s="19"/>
      <c r="P13" s="16">
        <v>43592.522152777776</v>
      </c>
      <c r="Q13" s="10" t="s">
        <v>2405</v>
      </c>
      <c r="R13" s="12"/>
      <c r="S13" s="12"/>
      <c r="T13" s="12"/>
      <c r="U13" s="17" t="str">
        <f>HYPERLINK("https://pbs.twimg.com/profile_images/1129093409904500737/LdFBG4Oj.jpg","View")</f>
        <v>View</v>
      </c>
      <c r="V13" s="12"/>
      <c r="W13" s="12"/>
      <c r="X13" s="12"/>
      <c r="Y13" s="12"/>
      <c r="Z13" s="12"/>
    </row>
    <row r="14">
      <c r="A14" s="8">
        <v>44222.566041666665</v>
      </c>
      <c r="B14" s="9" t="str">
        <f>HYPERLINK("https://twitter.com/AndresWood11","@AndresWood11")</f>
        <v>@AndresWood11</v>
      </c>
      <c r="C14" s="10" t="s">
        <v>2406</v>
      </c>
      <c r="D14" s="10" t="s">
        <v>2407</v>
      </c>
      <c r="E14" s="9" t="str">
        <f>HYPERLINK("https://twitter.com/AndresWood11/status/1354150894712086529","1354150894712086529")</f>
        <v>1354150894712086529</v>
      </c>
      <c r="F14" s="12"/>
      <c r="G14" s="11" t="s">
        <v>2408</v>
      </c>
      <c r="H14" s="12"/>
      <c r="I14" s="13">
        <v>0.0</v>
      </c>
      <c r="J14" s="13">
        <v>0.0</v>
      </c>
      <c r="K14" s="9" t="str">
        <f>HYPERLINK("http://twitter.com/download/android","Twitter for Android")</f>
        <v>Twitter for Android</v>
      </c>
      <c r="L14" s="14">
        <v>110.0</v>
      </c>
      <c r="M14" s="14">
        <v>436.0</v>
      </c>
      <c r="N14" s="14">
        <v>0.0</v>
      </c>
      <c r="O14" s="19"/>
      <c r="P14" s="16">
        <v>43916.501296296294</v>
      </c>
      <c r="Q14" s="10" t="s">
        <v>2409</v>
      </c>
      <c r="R14" s="10" t="s">
        <v>2410</v>
      </c>
      <c r="S14" s="12"/>
      <c r="T14" s="12"/>
      <c r="U14" s="17" t="str">
        <f>HYPERLINK("https://pbs.twimg.com/profile_images/1329256523130925063/KoGkdcmD.jpg","View")</f>
        <v>View</v>
      </c>
      <c r="V14" s="12"/>
      <c r="W14" s="12"/>
      <c r="X14" s="12"/>
      <c r="Y14" s="12"/>
      <c r="Z14" s="12"/>
    </row>
    <row r="15">
      <c r="A15" s="8">
        <v>44222.5658912037</v>
      </c>
      <c r="B15" s="9" t="str">
        <f>HYPERLINK("https://twitter.com/Gerardo200409","@Gerardo200409")</f>
        <v>@Gerardo200409</v>
      </c>
      <c r="C15" s="10" t="s">
        <v>2411</v>
      </c>
      <c r="D15" s="10" t="s">
        <v>2412</v>
      </c>
      <c r="E15" s="9" t="str">
        <f>HYPERLINK("https://twitter.com/Gerardo200409/status/1354150837338198021","1354150837338198021")</f>
        <v>1354150837338198021</v>
      </c>
      <c r="F15" s="10" t="s">
        <v>2413</v>
      </c>
      <c r="G15" s="12"/>
      <c r="H15" s="12"/>
      <c r="I15" s="13">
        <v>0.0</v>
      </c>
      <c r="J15" s="13">
        <v>0.0</v>
      </c>
      <c r="K15" s="9" t="str">
        <f t="shared" ref="K15:K16" si="3">HYPERLINK("https://mobile.twitter.com","Twitter Web App")</f>
        <v>Twitter Web App</v>
      </c>
      <c r="L15" s="14">
        <v>569.0</v>
      </c>
      <c r="M15" s="14">
        <v>715.0</v>
      </c>
      <c r="N15" s="14">
        <v>2.0</v>
      </c>
      <c r="O15" s="19"/>
      <c r="P15" s="16">
        <v>40363.85587962963</v>
      </c>
      <c r="Q15" s="10" t="s">
        <v>2414</v>
      </c>
      <c r="R15" s="10" t="s">
        <v>2415</v>
      </c>
      <c r="S15" s="11" t="s">
        <v>2416</v>
      </c>
      <c r="T15" s="12"/>
      <c r="U15" s="17" t="str">
        <f>HYPERLINK("https://pbs.twimg.com/profile_images/725463723733741570/u9mQN3GQ.jpg","View")</f>
        <v>View</v>
      </c>
      <c r="V15" s="12"/>
      <c r="W15" s="12"/>
      <c r="X15" s="12"/>
      <c r="Y15" s="12"/>
      <c r="Z15" s="12"/>
    </row>
    <row r="16">
      <c r="A16" s="8">
        <v>44222.565567129626</v>
      </c>
      <c r="B16" s="9" t="str">
        <f>HYPERLINK("https://twitter.com/CPBeatrizRocha","@CPBeatrizRocha")</f>
        <v>@CPBeatrizRocha</v>
      </c>
      <c r="C16" s="10" t="s">
        <v>2397</v>
      </c>
      <c r="D16" s="10" t="s">
        <v>2417</v>
      </c>
      <c r="E16" s="9" t="str">
        <f>HYPERLINK("https://twitter.com/CPBeatrizRocha/status/1354150722955341824","1354150722955341824")</f>
        <v>1354150722955341824</v>
      </c>
      <c r="F16" s="11" t="s">
        <v>2418</v>
      </c>
      <c r="G16" s="11" t="s">
        <v>2419</v>
      </c>
      <c r="H16" s="12"/>
      <c r="I16" s="13">
        <v>0.0</v>
      </c>
      <c r="J16" s="13">
        <v>0.0</v>
      </c>
      <c r="K16" s="9" t="str">
        <f t="shared" si="3"/>
        <v>Twitter Web App</v>
      </c>
      <c r="L16" s="14">
        <v>186.0</v>
      </c>
      <c r="M16" s="14">
        <v>190.0</v>
      </c>
      <c r="N16" s="14">
        <v>0.0</v>
      </c>
      <c r="O16" s="19"/>
      <c r="P16" s="16">
        <v>43657.445439814815</v>
      </c>
      <c r="Q16" s="12"/>
      <c r="R16" s="10" t="s">
        <v>2401</v>
      </c>
      <c r="S16" s="12"/>
      <c r="T16" s="12"/>
      <c r="U16" s="17" t="str">
        <f>HYPERLINK("https://pbs.twimg.com/profile_images/1244407903378903041/vIv-mJAK.jpg","View")</f>
        <v>View</v>
      </c>
      <c r="V16" s="12"/>
      <c r="W16" s="12"/>
      <c r="X16" s="12"/>
      <c r="Y16" s="12"/>
      <c r="Z16" s="12"/>
    </row>
    <row r="17">
      <c r="A17" s="8">
        <v>44222.5655324074</v>
      </c>
      <c r="B17" s="9" t="str">
        <f>HYPERLINK("https://twitter.com/CaraveoBertha","@CaraveoBertha")</f>
        <v>@CaraveoBertha</v>
      </c>
      <c r="C17" s="10" t="s">
        <v>2365</v>
      </c>
      <c r="D17" s="10" t="s">
        <v>2420</v>
      </c>
      <c r="E17" s="9" t="str">
        <f>HYPERLINK("https://twitter.com/CaraveoBertha/status/1354150710267416576","1354150710267416576")</f>
        <v>1354150710267416576</v>
      </c>
      <c r="F17" s="10" t="s">
        <v>2421</v>
      </c>
      <c r="G17" s="12"/>
      <c r="H17" s="12"/>
      <c r="I17" s="13">
        <v>4.0</v>
      </c>
      <c r="J17" s="13">
        <v>8.0</v>
      </c>
      <c r="K17" s="9" t="str">
        <f>HYPERLINK("http://twitter.com/download/iphone","Twitter for iPhone")</f>
        <v>Twitter for iPhone</v>
      </c>
      <c r="L17" s="14">
        <v>7924.0</v>
      </c>
      <c r="M17" s="14">
        <v>612.0</v>
      </c>
      <c r="N17" s="14">
        <v>47.0</v>
      </c>
      <c r="O17" s="15" t="s">
        <v>24</v>
      </c>
      <c r="P17" s="16">
        <v>42074.41003472223</v>
      </c>
      <c r="Q17" s="10" t="s">
        <v>325</v>
      </c>
      <c r="R17" s="10" t="s">
        <v>2368</v>
      </c>
      <c r="S17" s="11" t="s">
        <v>2369</v>
      </c>
      <c r="T17" s="12"/>
      <c r="U17" s="17" t="str">
        <f>HYPERLINK("https://pbs.twimg.com/profile_images/1340084801240326145/zTWBHuO_.jpg","View")</f>
        <v>View</v>
      </c>
      <c r="V17" s="12"/>
      <c r="W17" s="12"/>
      <c r="X17" s="12"/>
      <c r="Y17" s="12"/>
      <c r="Z17" s="12"/>
    </row>
    <row r="18">
      <c r="A18" s="8">
        <v>44222.564421296294</v>
      </c>
      <c r="B18" s="9" t="str">
        <f>HYPERLINK("https://twitter.com/elenaedmonsonh1","@elenaedmonsonh1")</f>
        <v>@elenaedmonsonh1</v>
      </c>
      <c r="C18" s="10" t="s">
        <v>2422</v>
      </c>
      <c r="D18" s="10" t="s">
        <v>2423</v>
      </c>
      <c r="E18" s="9" t="str">
        <f>HYPERLINK("https://twitter.com/elenaedmonsonh1/status/1354150306356060160","1354150306356060160")</f>
        <v>1354150306356060160</v>
      </c>
      <c r="F18" s="11" t="s">
        <v>2424</v>
      </c>
      <c r="G18" s="11" t="s">
        <v>2425</v>
      </c>
      <c r="H18" s="12"/>
      <c r="I18" s="13">
        <v>0.0</v>
      </c>
      <c r="J18" s="13">
        <v>0.0</v>
      </c>
      <c r="K18" s="9" t="str">
        <f>HYPERLINK("https://mobile.twitter.com","Twitter Web App")</f>
        <v>Twitter Web App</v>
      </c>
      <c r="L18" s="14">
        <v>150.0</v>
      </c>
      <c r="M18" s="14">
        <v>208.0</v>
      </c>
      <c r="N18" s="14">
        <v>0.0</v>
      </c>
      <c r="O18" s="19"/>
      <c r="P18" s="16">
        <v>43561.58181712963</v>
      </c>
      <c r="Q18" s="12"/>
      <c r="R18" s="12"/>
      <c r="S18" s="12"/>
      <c r="T18" s="12"/>
      <c r="U18" s="17" t="str">
        <f>HYPERLINK("https://pbs.twimg.com/profile_images/1206776656226111491/omj4EeLW.jpg","View")</f>
        <v>View</v>
      </c>
      <c r="V18" s="12"/>
      <c r="W18" s="12"/>
      <c r="X18" s="12"/>
      <c r="Y18" s="12"/>
      <c r="Z18" s="12"/>
    </row>
    <row r="19">
      <c r="A19" s="8">
        <v>44222.564317129625</v>
      </c>
      <c r="B19" s="9" t="str">
        <f>HYPERLINK("https://twitter.com/EdgarGarCam","@EdgarGarCam")</f>
        <v>@EdgarGarCam</v>
      </c>
      <c r="C19" s="10" t="s">
        <v>2426</v>
      </c>
      <c r="D19" s="10" t="s">
        <v>2427</v>
      </c>
      <c r="E19" s="9" t="str">
        <f>HYPERLINK("https://twitter.com/EdgarGarCam/status/1354150266292076557","1354150266292076557")</f>
        <v>1354150266292076557</v>
      </c>
      <c r="F19" s="12"/>
      <c r="G19" s="11" t="s">
        <v>2428</v>
      </c>
      <c r="H19" s="12"/>
      <c r="I19" s="13">
        <v>0.0</v>
      </c>
      <c r="J19" s="13">
        <v>0.0</v>
      </c>
      <c r="K19" s="9" t="str">
        <f t="shared" ref="K19:K20" si="4">HYPERLINK("http://twitter.com/download/iphone","Twitter for iPhone")</f>
        <v>Twitter for iPhone</v>
      </c>
      <c r="L19" s="14">
        <v>870.0</v>
      </c>
      <c r="M19" s="14">
        <v>3161.0</v>
      </c>
      <c r="N19" s="14">
        <v>16.0</v>
      </c>
      <c r="O19" s="19"/>
      <c r="P19" s="16">
        <v>41114.72274305556</v>
      </c>
      <c r="Q19" s="10" t="s">
        <v>325</v>
      </c>
      <c r="R19" s="10" t="s">
        <v>2429</v>
      </c>
      <c r="S19" s="12"/>
      <c r="T19" s="12"/>
      <c r="U19" s="17" t="str">
        <f>HYPERLINK("https://pbs.twimg.com/profile_images/1346232426515865600/OsrOvLu3.jpg","View")</f>
        <v>View</v>
      </c>
      <c r="V19" s="12"/>
      <c r="W19" s="12"/>
      <c r="X19" s="12"/>
      <c r="Y19" s="12"/>
      <c r="Z19" s="12"/>
    </row>
    <row r="20">
      <c r="A20" s="8">
        <v>44222.56408564815</v>
      </c>
      <c r="B20" s="9" t="str">
        <f>HYPERLINK("https://twitter.com/susyglezgiron","@susyglezgiron")</f>
        <v>@susyglezgiron</v>
      </c>
      <c r="C20" s="10" t="s">
        <v>2430</v>
      </c>
      <c r="D20" s="10" t="s">
        <v>2431</v>
      </c>
      <c r="E20" s="9" t="str">
        <f>HYPERLINK("https://twitter.com/susyglezgiron/status/1354150182301130754","1354150182301130754")</f>
        <v>1354150182301130754</v>
      </c>
      <c r="F20" s="10" t="s">
        <v>2432</v>
      </c>
      <c r="G20" s="12"/>
      <c r="H20" s="12"/>
      <c r="I20" s="13">
        <v>1.0</v>
      </c>
      <c r="J20" s="13">
        <v>2.0</v>
      </c>
      <c r="K20" s="9" t="str">
        <f t="shared" si="4"/>
        <v>Twitter for iPhone</v>
      </c>
      <c r="L20" s="14">
        <v>200.0</v>
      </c>
      <c r="M20" s="14">
        <v>409.0</v>
      </c>
      <c r="N20" s="14">
        <v>0.0</v>
      </c>
      <c r="O20" s="19"/>
      <c r="P20" s="16">
        <v>43888.8987962963</v>
      </c>
      <c r="Q20" s="12"/>
      <c r="R20" s="10" t="s">
        <v>2433</v>
      </c>
      <c r="S20" s="12"/>
      <c r="T20" s="12"/>
      <c r="U20" s="17" t="str">
        <f>HYPERLINK("https://pbs.twimg.com/profile_images/1328205877367758848/KXx79ZCL.jpg","View")</f>
        <v>View</v>
      </c>
      <c r="V20" s="12"/>
      <c r="W20" s="12"/>
      <c r="X20" s="12"/>
      <c r="Y20" s="12"/>
      <c r="Z20" s="12"/>
    </row>
    <row r="21">
      <c r="A21" s="8">
        <v>44222.564050925925</v>
      </c>
      <c r="B21" s="9" t="str">
        <f>HYPERLINK("https://twitter.com/asno_critico","@asno_critico")</f>
        <v>@asno_critico</v>
      </c>
      <c r="C21" s="10" t="s">
        <v>2434</v>
      </c>
      <c r="D21" s="10" t="s">
        <v>2435</v>
      </c>
      <c r="E21" s="9" t="str">
        <f>HYPERLINK("https://twitter.com/asno_critico/status/1354150170447982592","1354150170447982592")</f>
        <v>1354150170447982592</v>
      </c>
      <c r="F21" s="12"/>
      <c r="G21" s="11" t="s">
        <v>2436</v>
      </c>
      <c r="H21" s="12"/>
      <c r="I21" s="13">
        <v>2.0</v>
      </c>
      <c r="J21" s="13">
        <v>2.0</v>
      </c>
      <c r="K21" s="9" t="str">
        <f t="shared" ref="K21:K24" si="5">HYPERLINK("http://twitter.com/download/android","Twitter for Android")</f>
        <v>Twitter for Android</v>
      </c>
      <c r="L21" s="14">
        <v>2271.0</v>
      </c>
      <c r="M21" s="14">
        <v>3085.0</v>
      </c>
      <c r="N21" s="14">
        <v>2.0</v>
      </c>
      <c r="O21" s="19"/>
      <c r="P21" s="16">
        <v>43773.414884259255</v>
      </c>
      <c r="Q21" s="10" t="s">
        <v>325</v>
      </c>
      <c r="R21" s="10" t="s">
        <v>2437</v>
      </c>
      <c r="S21" s="11" t="s">
        <v>2438</v>
      </c>
      <c r="T21" s="12"/>
      <c r="U21" s="17" t="str">
        <f>HYPERLINK("https://pbs.twimg.com/profile_images/1193651997691564035/Q_3uvAsf.jpg","View")</f>
        <v>View</v>
      </c>
      <c r="V21" s="12"/>
      <c r="W21" s="12"/>
      <c r="X21" s="12"/>
      <c r="Y21" s="12"/>
      <c r="Z21" s="12"/>
    </row>
    <row r="22">
      <c r="A22" s="8">
        <v>44222.56365740741</v>
      </c>
      <c r="B22" s="9" t="str">
        <f>HYPERLINK("https://twitter.com/RoceAxel","@RoceAxel")</f>
        <v>@RoceAxel</v>
      </c>
      <c r="C22" s="10" t="s">
        <v>2439</v>
      </c>
      <c r="D22" s="10" t="s">
        <v>2440</v>
      </c>
      <c r="E22" s="9" t="str">
        <f>HYPERLINK("https://twitter.com/RoceAxel/status/1354150028584083456","1354150028584083456")</f>
        <v>1354150028584083456</v>
      </c>
      <c r="F22" s="12"/>
      <c r="G22" s="12"/>
      <c r="H22" s="12"/>
      <c r="I22" s="13">
        <v>0.0</v>
      </c>
      <c r="J22" s="13">
        <v>0.0</v>
      </c>
      <c r="K22" s="9" t="str">
        <f t="shared" si="5"/>
        <v>Twitter for Android</v>
      </c>
      <c r="L22" s="14">
        <v>313.0</v>
      </c>
      <c r="M22" s="14">
        <v>439.0</v>
      </c>
      <c r="N22" s="14">
        <v>0.0</v>
      </c>
      <c r="O22" s="19"/>
      <c r="P22" s="16">
        <v>43880.46703703704</v>
      </c>
      <c r="Q22" s="12"/>
      <c r="R22" s="10" t="s">
        <v>2441</v>
      </c>
      <c r="S22" s="12"/>
      <c r="T22" s="12"/>
      <c r="U22" s="17" t="str">
        <f>HYPERLINK("https://pbs.twimg.com/profile_images/1329265710380560385/vypnLLT9.jpg","View")</f>
        <v>View</v>
      </c>
      <c r="V22" s="12"/>
      <c r="W22" s="12"/>
      <c r="X22" s="12"/>
      <c r="Y22" s="12"/>
      <c r="Z22" s="12"/>
    </row>
    <row r="23">
      <c r="A23" s="8">
        <v>44222.563043981485</v>
      </c>
      <c r="B23" s="9" t="str">
        <f>HYPERLINK("https://twitter.com/raflexca","@raflexca")</f>
        <v>@raflexca</v>
      </c>
      <c r="C23" s="10" t="s">
        <v>2442</v>
      </c>
      <c r="D23" s="10" t="s">
        <v>2443</v>
      </c>
      <c r="E23" s="9" t="str">
        <f>HYPERLINK("https://twitter.com/raflexca/status/1354149808106303488","1354149808106303488")</f>
        <v>1354149808106303488</v>
      </c>
      <c r="F23" s="12"/>
      <c r="G23" s="12"/>
      <c r="H23" s="12"/>
      <c r="I23" s="13">
        <v>1.0</v>
      </c>
      <c r="J23" s="13">
        <v>1.0</v>
      </c>
      <c r="K23" s="9" t="str">
        <f t="shared" si="5"/>
        <v>Twitter for Android</v>
      </c>
      <c r="L23" s="14">
        <v>2837.0</v>
      </c>
      <c r="M23" s="14">
        <v>2830.0</v>
      </c>
      <c r="N23" s="14">
        <v>2.0</v>
      </c>
      <c r="O23" s="19"/>
      <c r="P23" s="16">
        <v>43916.83707175926</v>
      </c>
      <c r="Q23" s="12"/>
      <c r="R23" s="10" t="s">
        <v>2444</v>
      </c>
      <c r="S23" s="12"/>
      <c r="T23" s="12"/>
      <c r="U23" s="17" t="str">
        <f>HYPERLINK("https://pbs.twimg.com/profile_images/1313295095198777344/TglDaRxJ.jpg","View")</f>
        <v>View</v>
      </c>
      <c r="V23" s="12"/>
      <c r="W23" s="12"/>
      <c r="X23" s="12"/>
      <c r="Y23" s="12"/>
      <c r="Z23" s="12"/>
    </row>
    <row r="24">
      <c r="A24" s="8">
        <v>44222.56296296296</v>
      </c>
      <c r="B24" s="9" t="str">
        <f>HYPERLINK("https://twitter.com/MartnezGuzmn1","@MartnezGuzmn1")</f>
        <v>@MartnezGuzmn1</v>
      </c>
      <c r="C24" s="10" t="s">
        <v>2445</v>
      </c>
      <c r="D24" s="10" t="s">
        <v>2446</v>
      </c>
      <c r="E24" s="9" t="str">
        <f>HYPERLINK("https://twitter.com/MartnezGuzmn1/status/1354149776292524033","1354149776292524033")</f>
        <v>1354149776292524033</v>
      </c>
      <c r="F24" s="12"/>
      <c r="G24" s="11" t="s">
        <v>2447</v>
      </c>
      <c r="H24" s="12"/>
      <c r="I24" s="13">
        <v>3.0</v>
      </c>
      <c r="J24" s="13">
        <v>12.0</v>
      </c>
      <c r="K24" s="9" t="str">
        <f t="shared" si="5"/>
        <v>Twitter for Android</v>
      </c>
      <c r="L24" s="14">
        <v>9732.0</v>
      </c>
      <c r="M24" s="14">
        <v>9567.0</v>
      </c>
      <c r="N24" s="14">
        <v>2.0</v>
      </c>
      <c r="O24" s="19"/>
      <c r="P24" s="16">
        <v>43673.78004629629</v>
      </c>
      <c r="Q24" s="10" t="s">
        <v>2448</v>
      </c>
      <c r="R24" s="10" t="s">
        <v>2449</v>
      </c>
      <c r="S24" s="12"/>
      <c r="T24" s="12"/>
      <c r="U24" s="17" t="str">
        <f>HYPERLINK("https://pbs.twimg.com/profile_images/1297529251579727873/sdXiqdOK.jpg","View")</f>
        <v>View</v>
      </c>
      <c r="V24" s="12"/>
      <c r="W24" s="12"/>
      <c r="X24" s="12"/>
      <c r="Y24" s="12"/>
      <c r="Z24" s="12"/>
    </row>
    <row r="25">
      <c r="A25" s="8">
        <v>44222.562951388885</v>
      </c>
      <c r="B25" s="9" t="str">
        <f>HYPERLINK("https://twitter.com/hernand57779685","@hernand57779685")</f>
        <v>@hernand57779685</v>
      </c>
      <c r="C25" s="10" t="s">
        <v>2450</v>
      </c>
      <c r="D25" s="10" t="s">
        <v>2451</v>
      </c>
      <c r="E25" s="9" t="str">
        <f>HYPERLINK("https://twitter.com/hernand57779685/status/1354149773167779840","1354149773167779840")</f>
        <v>1354149773167779840</v>
      </c>
      <c r="F25" s="10" t="s">
        <v>2452</v>
      </c>
      <c r="G25" s="12"/>
      <c r="H25" s="12"/>
      <c r="I25" s="13">
        <v>0.0</v>
      </c>
      <c r="J25" s="13">
        <v>0.0</v>
      </c>
      <c r="K25" s="9" t="str">
        <f>HYPERLINK("https://mobile.twitter.com","Twitter Web App")</f>
        <v>Twitter Web App</v>
      </c>
      <c r="L25" s="14">
        <v>533.0</v>
      </c>
      <c r="M25" s="14">
        <v>541.0</v>
      </c>
      <c r="N25" s="14">
        <v>2.0</v>
      </c>
      <c r="O25" s="19"/>
      <c r="P25" s="16">
        <v>43347.55578703704</v>
      </c>
      <c r="Q25" s="12"/>
      <c r="R25" s="12"/>
      <c r="S25" s="12"/>
      <c r="T25" s="12"/>
      <c r="U25" s="17" t="str">
        <f>HYPERLINK("https://pbs.twimg.com/profile_images/1040259915053293568/-VSFjVGm.jpg","View")</f>
        <v>View</v>
      </c>
      <c r="V25" s="12"/>
      <c r="W25" s="12"/>
      <c r="X25" s="12"/>
      <c r="Y25" s="12"/>
      <c r="Z25" s="12"/>
    </row>
    <row r="26">
      <c r="A26" s="8">
        <v>44222.562627314815</v>
      </c>
      <c r="B26" s="9" t="str">
        <f>HYPERLINK("https://twitter.com/_VicenteSerrano","@_VicenteSerrano")</f>
        <v>@_VicenteSerrano</v>
      </c>
      <c r="C26" s="10" t="s">
        <v>2453</v>
      </c>
      <c r="D26" s="10" t="s">
        <v>2454</v>
      </c>
      <c r="E26" s="9" t="str">
        <f>HYPERLINK("https://twitter.com/_VicenteSerrano/status/1354149654611570688","1354149654611570688")</f>
        <v>1354149654611570688</v>
      </c>
      <c r="F26" s="11" t="s">
        <v>2455</v>
      </c>
      <c r="G26" s="12"/>
      <c r="H26" s="12"/>
      <c r="I26" s="13">
        <v>11.0</v>
      </c>
      <c r="J26" s="13">
        <v>27.0</v>
      </c>
      <c r="K26" s="9" t="str">
        <f>HYPERLINK("https://www.hootsuite.com","Hootsuite Inc.")</f>
        <v>Hootsuite Inc.</v>
      </c>
      <c r="L26" s="14">
        <v>340370.0</v>
      </c>
      <c r="M26" s="14">
        <v>1011.0</v>
      </c>
      <c r="N26" s="14">
        <v>494.0</v>
      </c>
      <c r="O26" s="19"/>
      <c r="P26" s="16">
        <v>41096.69998842593</v>
      </c>
      <c r="Q26" s="10" t="s">
        <v>2456</v>
      </c>
      <c r="R26" s="10" t="s">
        <v>2457</v>
      </c>
      <c r="S26" s="11" t="s">
        <v>2458</v>
      </c>
      <c r="T26" s="12"/>
      <c r="U26" s="17" t="str">
        <f>HYPERLINK("https://pbs.twimg.com/profile_images/1326298158515724288/XXvnojh_.jpg","View")</f>
        <v>View</v>
      </c>
      <c r="V26" s="12"/>
      <c r="W26" s="12"/>
      <c r="X26" s="12"/>
      <c r="Y26" s="12"/>
      <c r="Z26" s="12"/>
    </row>
    <row r="27">
      <c r="A27" s="8">
        <v>44222.562627314815</v>
      </c>
      <c r="B27" s="9" t="str">
        <f>HYPERLINK("https://twitter.com/Pambollo","@Pambollo")</f>
        <v>@Pambollo</v>
      </c>
      <c r="C27" s="10" t="s">
        <v>2459</v>
      </c>
      <c r="D27" s="10" t="s">
        <v>2460</v>
      </c>
      <c r="E27" s="9" t="str">
        <f>HYPERLINK("https://twitter.com/Pambollo/status/1354149653948878849","1354149653948878849")</f>
        <v>1354149653948878849</v>
      </c>
      <c r="F27" s="10" t="s">
        <v>2461</v>
      </c>
      <c r="G27" s="12"/>
      <c r="H27" s="12"/>
      <c r="I27" s="13">
        <v>0.0</v>
      </c>
      <c r="J27" s="13">
        <v>0.0</v>
      </c>
      <c r="K27" s="9" t="str">
        <f t="shared" ref="K27:K29" si="6">HYPERLINK("http://twitter.com/download/android","Twitter for Android")</f>
        <v>Twitter for Android</v>
      </c>
      <c r="L27" s="14">
        <v>803.0</v>
      </c>
      <c r="M27" s="14">
        <v>1744.0</v>
      </c>
      <c r="N27" s="14">
        <v>15.0</v>
      </c>
      <c r="O27" s="19"/>
      <c r="P27" s="16">
        <v>40491.89037037037</v>
      </c>
      <c r="Q27" s="10" t="s">
        <v>898</v>
      </c>
      <c r="R27" s="10" t="s">
        <v>2462</v>
      </c>
      <c r="S27" s="12"/>
      <c r="T27" s="12"/>
      <c r="U27" s="17" t="str">
        <f>HYPERLINK("https://pbs.twimg.com/profile_images/1332114206489866240/khjeR_PL.jpg","View")</f>
        <v>View</v>
      </c>
      <c r="V27" s="12"/>
      <c r="W27" s="12"/>
      <c r="X27" s="12"/>
      <c r="Y27" s="12"/>
      <c r="Z27" s="12"/>
    </row>
    <row r="28">
      <c r="A28" s="8">
        <v>44222.56253472222</v>
      </c>
      <c r="B28" s="9" t="str">
        <f>HYPERLINK("https://twitter.com/gatopoliticomx","@gatopoliticomx")</f>
        <v>@gatopoliticomx</v>
      </c>
      <c r="C28" s="10" t="s">
        <v>2463</v>
      </c>
      <c r="D28" s="10" t="s">
        <v>2464</v>
      </c>
      <c r="E28" s="9" t="str">
        <f>HYPERLINK("https://twitter.com/gatopoliticomx/status/1354149623565266950","1354149623565266950")</f>
        <v>1354149623565266950</v>
      </c>
      <c r="F28" s="12"/>
      <c r="G28" s="11" t="s">
        <v>2465</v>
      </c>
      <c r="H28" s="12"/>
      <c r="I28" s="13">
        <v>0.0</v>
      </c>
      <c r="J28" s="13">
        <v>0.0</v>
      </c>
      <c r="K28" s="9" t="str">
        <f t="shared" si="6"/>
        <v>Twitter for Android</v>
      </c>
      <c r="L28" s="14">
        <v>24.0</v>
      </c>
      <c r="M28" s="14">
        <v>129.0</v>
      </c>
      <c r="N28" s="14">
        <v>0.0</v>
      </c>
      <c r="O28" s="19"/>
      <c r="P28" s="16">
        <v>44001.362384259264</v>
      </c>
      <c r="Q28" s="12"/>
      <c r="R28" s="10" t="s">
        <v>2466</v>
      </c>
      <c r="S28" s="12"/>
      <c r="T28" s="12"/>
      <c r="U28" s="17" t="str">
        <f>HYPERLINK("https://pbs.twimg.com/profile_images/1297241293790285824/GPxQNjbA.jpg","View")</f>
        <v>View</v>
      </c>
      <c r="V28" s="12"/>
      <c r="W28" s="12"/>
      <c r="X28" s="12"/>
      <c r="Y28" s="12"/>
      <c r="Z28" s="12"/>
    </row>
    <row r="29">
      <c r="A29" s="8">
        <v>44222.562372685185</v>
      </c>
      <c r="B29" s="9" t="str">
        <f>HYPERLINK("https://twitter.com/FlorMariaCo20","@FlorMariaCo20")</f>
        <v>@FlorMariaCo20</v>
      </c>
      <c r="C29" s="10" t="s">
        <v>2467</v>
      </c>
      <c r="D29" s="10" t="s">
        <v>2468</v>
      </c>
      <c r="E29" s="9" t="str">
        <f>HYPERLINK("https://twitter.com/FlorMariaCo20/status/1354149562366177281","1354149562366177281")</f>
        <v>1354149562366177281</v>
      </c>
      <c r="F29" s="10" t="s">
        <v>2469</v>
      </c>
      <c r="G29" s="12"/>
      <c r="H29" s="12"/>
      <c r="I29" s="13">
        <v>0.0</v>
      </c>
      <c r="J29" s="13">
        <v>0.0</v>
      </c>
      <c r="K29" s="9" t="str">
        <f t="shared" si="6"/>
        <v>Twitter for Android</v>
      </c>
      <c r="L29" s="14">
        <v>98.0</v>
      </c>
      <c r="M29" s="14">
        <v>278.0</v>
      </c>
      <c r="N29" s="14">
        <v>0.0</v>
      </c>
      <c r="O29" s="19"/>
      <c r="P29" s="16">
        <v>44071.51096064815</v>
      </c>
      <c r="Q29" s="12"/>
      <c r="R29" s="12"/>
      <c r="S29" s="12"/>
      <c r="T29" s="12"/>
      <c r="U29" s="17" t="str">
        <f>HYPERLINK("https://pbs.twimg.com/profile_images/1343956924522352641/4L24CB_W.jpg","View")</f>
        <v>View</v>
      </c>
      <c r="V29" s="12"/>
      <c r="W29" s="12"/>
      <c r="X29" s="12"/>
      <c r="Y29" s="12"/>
      <c r="Z29" s="12"/>
    </row>
    <row r="30">
      <c r="A30" s="8">
        <v>44222.56233796296</v>
      </c>
      <c r="B30" s="9" t="str">
        <f>HYPERLINK("https://twitter.com/Nickorte","@Nickorte")</f>
        <v>@Nickorte</v>
      </c>
      <c r="C30" s="10" t="s">
        <v>2470</v>
      </c>
      <c r="D30" s="10" t="s">
        <v>2471</v>
      </c>
      <c r="E30" s="9" t="str">
        <f>HYPERLINK("https://twitter.com/Nickorte/status/1354149551268110336","1354149551268110336")</f>
        <v>1354149551268110336</v>
      </c>
      <c r="F30" s="12"/>
      <c r="G30" s="11" t="s">
        <v>2472</v>
      </c>
      <c r="H30" s="12"/>
      <c r="I30" s="13">
        <v>0.0</v>
      </c>
      <c r="J30" s="13">
        <v>0.0</v>
      </c>
      <c r="K30" s="9" t="str">
        <f>HYPERLINK("https://mobile.twitter.com","Twitter Web App")</f>
        <v>Twitter Web App</v>
      </c>
      <c r="L30" s="14">
        <v>947.0</v>
      </c>
      <c r="M30" s="14">
        <v>3341.0</v>
      </c>
      <c r="N30" s="14">
        <v>14.0</v>
      </c>
      <c r="O30" s="19"/>
      <c r="P30" s="16">
        <v>40190.719571759255</v>
      </c>
      <c r="Q30" s="10" t="s">
        <v>224</v>
      </c>
      <c r="R30" s="10" t="s">
        <v>2473</v>
      </c>
      <c r="S30" s="11" t="s">
        <v>2474</v>
      </c>
      <c r="T30" s="12"/>
      <c r="U30" s="17" t="str">
        <f>HYPERLINK("https://pbs.twimg.com/profile_images/1345366035302666240/aj2za7Es.jpg","View")</f>
        <v>View</v>
      </c>
      <c r="V30" s="12"/>
      <c r="W30" s="12"/>
      <c r="X30" s="12"/>
      <c r="Y30" s="12"/>
      <c r="Z30" s="12"/>
    </row>
    <row r="31">
      <c r="A31" s="8">
        <v>44222.56217592592</v>
      </c>
      <c r="B31" s="9" t="str">
        <f>HYPERLINK("https://twitter.com/marcosf72","@marcosf72")</f>
        <v>@marcosf72</v>
      </c>
      <c r="C31" s="10" t="s">
        <v>2475</v>
      </c>
      <c r="D31" s="10" t="s">
        <v>2476</v>
      </c>
      <c r="E31" s="9" t="str">
        <f>HYPERLINK("https://twitter.com/marcosf72/status/1354149494082871296","1354149494082871296")</f>
        <v>1354149494082871296</v>
      </c>
      <c r="F31" s="11" t="s">
        <v>2477</v>
      </c>
      <c r="G31" s="11" t="s">
        <v>2478</v>
      </c>
      <c r="H31" s="12"/>
      <c r="I31" s="13">
        <v>0.0</v>
      </c>
      <c r="J31" s="13">
        <v>1.0</v>
      </c>
      <c r="K31" s="9" t="str">
        <f t="shared" ref="K31:K32" si="7">HYPERLINK("http://twitter.com/download/iphone","Twitter for iPhone")</f>
        <v>Twitter for iPhone</v>
      </c>
      <c r="L31" s="14">
        <v>600.0</v>
      </c>
      <c r="M31" s="14">
        <v>1184.0</v>
      </c>
      <c r="N31" s="14">
        <v>2.0</v>
      </c>
      <c r="O31" s="19"/>
      <c r="P31" s="16">
        <v>41164.11922453703</v>
      </c>
      <c r="Q31" s="10" t="s">
        <v>2479</v>
      </c>
      <c r="R31" s="10" t="s">
        <v>2480</v>
      </c>
      <c r="S31" s="12"/>
      <c r="T31" s="12"/>
      <c r="U31" s="17" t="str">
        <f>HYPERLINK("https://pbs.twimg.com/profile_images/1350332082820534272/jwfTBg6_.jpg","View")</f>
        <v>View</v>
      </c>
      <c r="V31" s="12"/>
      <c r="W31" s="12"/>
      <c r="X31" s="12"/>
      <c r="Y31" s="12"/>
      <c r="Z31" s="12"/>
    </row>
    <row r="32">
      <c r="A32" s="8">
        <v>44222.56212962963</v>
      </c>
      <c r="B32" s="9" t="str">
        <f>HYPERLINK("https://twitter.com/ArturoHuerta_","@ArturoHuerta_")</f>
        <v>@ArturoHuerta_</v>
      </c>
      <c r="C32" s="10" t="s">
        <v>2481</v>
      </c>
      <c r="D32" s="10" t="s">
        <v>2482</v>
      </c>
      <c r="E32" s="9" t="str">
        <f>HYPERLINK("https://twitter.com/ArturoHuerta_/status/1354149477188296704","1354149477188296704")</f>
        <v>1354149477188296704</v>
      </c>
      <c r="F32" s="11" t="s">
        <v>233</v>
      </c>
      <c r="G32" s="11" t="s">
        <v>234</v>
      </c>
      <c r="H32" s="12"/>
      <c r="I32" s="13">
        <v>0.0</v>
      </c>
      <c r="J32" s="13">
        <v>0.0</v>
      </c>
      <c r="K32" s="9" t="str">
        <f t="shared" si="7"/>
        <v>Twitter for iPhone</v>
      </c>
      <c r="L32" s="14">
        <v>703.0</v>
      </c>
      <c r="M32" s="14">
        <v>875.0</v>
      </c>
      <c r="N32" s="14">
        <v>2.0</v>
      </c>
      <c r="O32" s="19"/>
      <c r="P32" s="16">
        <v>40514.90445601852</v>
      </c>
      <c r="Q32" s="10" t="s">
        <v>224</v>
      </c>
      <c r="R32" s="12"/>
      <c r="S32" s="11" t="s">
        <v>2483</v>
      </c>
      <c r="T32" s="12"/>
      <c r="U32" s="17" t="str">
        <f>HYPERLINK("https://pbs.twimg.com/profile_images/989022602621431808/vKsSrzd2.jpg","View")</f>
        <v>View</v>
      </c>
      <c r="V32" s="12"/>
      <c r="W32" s="12"/>
      <c r="X32" s="12"/>
      <c r="Y32" s="12"/>
      <c r="Z32" s="12"/>
    </row>
    <row r="33">
      <c r="A33" s="8">
        <v>44222.56171296297</v>
      </c>
      <c r="B33" s="9" t="str">
        <f>HYPERLINK("https://twitter.com/AmberanoT","@AmberanoT")</f>
        <v>@AmberanoT</v>
      </c>
      <c r="C33" s="10" t="s">
        <v>2484</v>
      </c>
      <c r="D33" s="10" t="s">
        <v>2485</v>
      </c>
      <c r="E33" s="9" t="str">
        <f>HYPERLINK("https://twitter.com/AmberanoT/status/1354149324373053440","1354149324373053440")</f>
        <v>1354149324373053440</v>
      </c>
      <c r="F33" s="12"/>
      <c r="G33" s="11" t="s">
        <v>2486</v>
      </c>
      <c r="H33" s="12"/>
      <c r="I33" s="13">
        <v>0.0</v>
      </c>
      <c r="J33" s="13">
        <v>0.0</v>
      </c>
      <c r="K33" s="9" t="str">
        <f t="shared" ref="K33:K36" si="8">HYPERLINK("http://twitter.com/download/android","Twitter for Android")</f>
        <v>Twitter for Android</v>
      </c>
      <c r="L33" s="14">
        <v>69.0</v>
      </c>
      <c r="M33" s="14">
        <v>71.0</v>
      </c>
      <c r="N33" s="14">
        <v>0.0</v>
      </c>
      <c r="O33" s="19"/>
      <c r="P33" s="16">
        <v>42651.67800925926</v>
      </c>
      <c r="Q33" s="12"/>
      <c r="R33" s="10" t="s">
        <v>2487</v>
      </c>
      <c r="S33" s="12"/>
      <c r="T33" s="12"/>
      <c r="U33" s="17" t="str">
        <f>HYPERLINK("https://pbs.twimg.com/profile_images/1325934164747673600/eacdfrEh.jpg","View")</f>
        <v>View</v>
      </c>
      <c r="V33" s="12"/>
      <c r="W33" s="12"/>
      <c r="X33" s="12"/>
      <c r="Y33" s="12"/>
      <c r="Z33" s="12"/>
    </row>
    <row r="34">
      <c r="A34" s="8">
        <v>44222.561435185184</v>
      </c>
      <c r="B34" s="9" t="str">
        <f>HYPERLINK("https://twitter.com/djmuffito","@djmuffito")</f>
        <v>@djmuffito</v>
      </c>
      <c r="C34" s="10" t="s">
        <v>2488</v>
      </c>
      <c r="D34" s="10" t="s">
        <v>2489</v>
      </c>
      <c r="E34" s="9" t="str">
        <f>HYPERLINK("https://twitter.com/djmuffito/status/1354149224074514432","1354149224074514432")</f>
        <v>1354149224074514432</v>
      </c>
      <c r="F34" s="11" t="s">
        <v>2490</v>
      </c>
      <c r="G34" s="11" t="s">
        <v>2491</v>
      </c>
      <c r="H34" s="12"/>
      <c r="I34" s="13">
        <v>0.0</v>
      </c>
      <c r="J34" s="13">
        <v>0.0</v>
      </c>
      <c r="K34" s="9" t="str">
        <f t="shared" si="8"/>
        <v>Twitter for Android</v>
      </c>
      <c r="L34" s="14">
        <v>77.0</v>
      </c>
      <c r="M34" s="14">
        <v>313.0</v>
      </c>
      <c r="N34" s="14">
        <v>0.0</v>
      </c>
      <c r="O34" s="19"/>
      <c r="P34" s="16">
        <v>40547.8459375</v>
      </c>
      <c r="Q34" s="12"/>
      <c r="R34" s="12"/>
      <c r="S34" s="12"/>
      <c r="T34" s="12"/>
      <c r="U34" s="17" t="str">
        <f>HYPERLINK("https://pbs.twimg.com/profile_images/1195684907915210753/MHX81Gxa.jpg","View")</f>
        <v>View</v>
      </c>
      <c r="V34" s="12"/>
      <c r="W34" s="12"/>
      <c r="X34" s="12"/>
      <c r="Y34" s="12"/>
      <c r="Z34" s="12"/>
    </row>
    <row r="35">
      <c r="A35" s="8">
        <v>44222.56077546296</v>
      </c>
      <c r="B35" s="9" t="str">
        <f>HYPERLINK("https://twitter.com/SembradorDeAm0r","@SembradorDeAm0r")</f>
        <v>@SembradorDeAm0r</v>
      </c>
      <c r="C35" s="10" t="s">
        <v>2492</v>
      </c>
      <c r="D35" s="10" t="s">
        <v>2493</v>
      </c>
      <c r="E35" s="9" t="str">
        <f>HYPERLINK("https://twitter.com/SembradorDeAm0r/status/1354148986484125698","1354148986484125698")</f>
        <v>1354148986484125698</v>
      </c>
      <c r="F35" s="12"/>
      <c r="G35" s="11" t="s">
        <v>2494</v>
      </c>
      <c r="H35" s="12"/>
      <c r="I35" s="13">
        <v>0.0</v>
      </c>
      <c r="J35" s="13">
        <v>0.0</v>
      </c>
      <c r="K35" s="9" t="str">
        <f t="shared" si="8"/>
        <v>Twitter for Android</v>
      </c>
      <c r="L35" s="14">
        <v>35.0</v>
      </c>
      <c r="M35" s="14">
        <v>92.0</v>
      </c>
      <c r="N35" s="14">
        <v>0.0</v>
      </c>
      <c r="O35" s="19"/>
      <c r="P35" s="16">
        <v>44170.85748842593</v>
      </c>
      <c r="Q35" s="10" t="s">
        <v>2495</v>
      </c>
      <c r="R35" s="10" t="s">
        <v>2496</v>
      </c>
      <c r="S35" s="12"/>
      <c r="T35" s="12"/>
      <c r="U35" s="17" t="str">
        <f>HYPERLINK("https://pbs.twimg.com/profile_images/1345122400267022336/mFP6p4yT.jpg","View")</f>
        <v>View</v>
      </c>
      <c r="V35" s="12"/>
      <c r="W35" s="12"/>
      <c r="X35" s="12"/>
      <c r="Y35" s="12"/>
      <c r="Z35" s="12"/>
    </row>
    <row r="36">
      <c r="A36" s="8">
        <v>44222.560752314814</v>
      </c>
      <c r="B36" s="9" t="str">
        <f>HYPERLINK("https://twitter.com/FlorMariaCo20","@FlorMariaCo20")</f>
        <v>@FlorMariaCo20</v>
      </c>
      <c r="C36" s="10" t="s">
        <v>2467</v>
      </c>
      <c r="D36" s="10" t="s">
        <v>2497</v>
      </c>
      <c r="E36" s="9" t="str">
        <f>HYPERLINK("https://twitter.com/FlorMariaCo20/status/1354148976182833155","1354148976182833155")</f>
        <v>1354148976182833155</v>
      </c>
      <c r="F36" s="10" t="s">
        <v>2498</v>
      </c>
      <c r="G36" s="12"/>
      <c r="H36" s="12"/>
      <c r="I36" s="13">
        <v>0.0</v>
      </c>
      <c r="J36" s="13">
        <v>0.0</v>
      </c>
      <c r="K36" s="9" t="str">
        <f t="shared" si="8"/>
        <v>Twitter for Android</v>
      </c>
      <c r="L36" s="14">
        <v>98.0</v>
      </c>
      <c r="M36" s="14">
        <v>278.0</v>
      </c>
      <c r="N36" s="14">
        <v>0.0</v>
      </c>
      <c r="O36" s="19"/>
      <c r="P36" s="16">
        <v>44071.51096064815</v>
      </c>
      <c r="Q36" s="12"/>
      <c r="R36" s="12"/>
      <c r="S36" s="12"/>
      <c r="T36" s="12"/>
      <c r="U36" s="17" t="str">
        <f>HYPERLINK("https://pbs.twimg.com/profile_images/1343956924522352641/4L24CB_W.jpg","View")</f>
        <v>View</v>
      </c>
      <c r="V36" s="12"/>
      <c r="W36" s="12"/>
      <c r="X36" s="12"/>
      <c r="Y36" s="12"/>
      <c r="Z36" s="12"/>
    </row>
    <row r="37">
      <c r="A37" s="8">
        <v>44222.56049768519</v>
      </c>
      <c r="B37" s="9" t="str">
        <f>HYPERLINK("https://twitter.com/fabiolamirap","@fabiolamirap")</f>
        <v>@fabiolamirap</v>
      </c>
      <c r="C37" s="10" t="s">
        <v>2499</v>
      </c>
      <c r="D37" s="10" t="s">
        <v>2500</v>
      </c>
      <c r="E37" s="9" t="str">
        <f>HYPERLINK("https://twitter.com/fabiolamirap/status/1354148883572527104","1354148883572527104")</f>
        <v>1354148883572527104</v>
      </c>
      <c r="F37" s="11" t="s">
        <v>2501</v>
      </c>
      <c r="G37" s="11" t="s">
        <v>2502</v>
      </c>
      <c r="H37" s="12"/>
      <c r="I37" s="13">
        <v>2.0</v>
      </c>
      <c r="J37" s="13">
        <v>2.0</v>
      </c>
      <c r="K37" s="9" t="str">
        <f>HYPERLINK("http://twitter.com/download/iphone","Twitter for iPhone")</f>
        <v>Twitter for iPhone</v>
      </c>
      <c r="L37" s="14">
        <v>7295.0</v>
      </c>
      <c r="M37" s="14">
        <v>5882.0</v>
      </c>
      <c r="N37" s="14">
        <v>8.0</v>
      </c>
      <c r="O37" s="19"/>
      <c r="P37" s="16">
        <v>43217.65063657408</v>
      </c>
      <c r="Q37" s="10" t="s">
        <v>2503</v>
      </c>
      <c r="R37" s="10" t="s">
        <v>2504</v>
      </c>
      <c r="S37" s="12"/>
      <c r="T37" s="12"/>
      <c r="U37" s="17" t="str">
        <f>HYPERLINK("https://pbs.twimg.com/profile_images/1345414871563714560/q1Lm_dcp.jpg","View")</f>
        <v>View</v>
      </c>
      <c r="V37" s="12"/>
      <c r="W37" s="12"/>
      <c r="X37" s="12"/>
      <c r="Y37" s="12"/>
      <c r="Z37" s="12"/>
    </row>
    <row r="38">
      <c r="A38" s="8">
        <v>44222.56025462963</v>
      </c>
      <c r="B38" s="9" t="str">
        <f>HYPERLINK("https://twitter.com/stalin1908","@stalin1908")</f>
        <v>@stalin1908</v>
      </c>
      <c r="C38" s="10" t="s">
        <v>2505</v>
      </c>
      <c r="D38" s="10" t="s">
        <v>2506</v>
      </c>
      <c r="E38" s="9" t="str">
        <f>HYPERLINK("https://twitter.com/stalin1908/status/1354148795475324928","1354148795475324928")</f>
        <v>1354148795475324928</v>
      </c>
      <c r="F38" s="10" t="s">
        <v>2461</v>
      </c>
      <c r="G38" s="12"/>
      <c r="H38" s="12"/>
      <c r="I38" s="13">
        <v>0.0</v>
      </c>
      <c r="J38" s="13">
        <v>0.0</v>
      </c>
      <c r="K38" s="9" t="str">
        <f>HYPERLINK("https://mobile.twitter.com","Twitter Web App")</f>
        <v>Twitter Web App</v>
      </c>
      <c r="L38" s="14">
        <v>100.0</v>
      </c>
      <c r="M38" s="14">
        <v>499.0</v>
      </c>
      <c r="N38" s="14">
        <v>0.0</v>
      </c>
      <c r="O38" s="19"/>
      <c r="P38" s="16">
        <v>43002.947962962964</v>
      </c>
      <c r="Q38" s="12"/>
      <c r="R38" s="10" t="s">
        <v>2507</v>
      </c>
      <c r="S38" s="12"/>
      <c r="T38" s="12"/>
      <c r="U38" s="17" t="str">
        <f>HYPERLINK("https://pbs.twimg.com/profile_images/1043190806314713088/dnBTbqfi.jpg","View")</f>
        <v>View</v>
      </c>
      <c r="V38" s="12"/>
      <c r="W38" s="12"/>
      <c r="X38" s="12"/>
      <c r="Y38" s="12"/>
      <c r="Z38" s="12"/>
    </row>
    <row r="39">
      <c r="A39" s="8">
        <v>44222.559710648144</v>
      </c>
      <c r="B39" s="9" t="str">
        <f>HYPERLINK("https://twitter.com/FlorMariaCo20","@FlorMariaCo20")</f>
        <v>@FlorMariaCo20</v>
      </c>
      <c r="C39" s="10" t="s">
        <v>2467</v>
      </c>
      <c r="D39" s="10" t="s">
        <v>2508</v>
      </c>
      <c r="E39" s="9" t="str">
        <f>HYPERLINK("https://twitter.com/FlorMariaCo20/status/1354148600566206465","1354148600566206465")</f>
        <v>1354148600566206465</v>
      </c>
      <c r="F39" s="11" t="s">
        <v>2509</v>
      </c>
      <c r="G39" s="12"/>
      <c r="H39" s="12"/>
      <c r="I39" s="13">
        <v>0.0</v>
      </c>
      <c r="J39" s="13">
        <v>0.0</v>
      </c>
      <c r="K39" s="9" t="str">
        <f t="shared" ref="K39:K40" si="9">HYPERLINK("http://twitter.com/download/android","Twitter for Android")</f>
        <v>Twitter for Android</v>
      </c>
      <c r="L39" s="14">
        <v>98.0</v>
      </c>
      <c r="M39" s="14">
        <v>278.0</v>
      </c>
      <c r="N39" s="14">
        <v>0.0</v>
      </c>
      <c r="O39" s="19"/>
      <c r="P39" s="16">
        <v>44071.51096064815</v>
      </c>
      <c r="Q39" s="12"/>
      <c r="R39" s="12"/>
      <c r="S39" s="12"/>
      <c r="T39" s="12"/>
      <c r="U39" s="17" t="str">
        <f>HYPERLINK("https://pbs.twimg.com/profile_images/1343956924522352641/4L24CB_W.jpg","View")</f>
        <v>View</v>
      </c>
      <c r="V39" s="12"/>
      <c r="W39" s="12"/>
      <c r="X39" s="12"/>
      <c r="Y39" s="12"/>
      <c r="Z39" s="12"/>
    </row>
    <row r="40">
      <c r="A40" s="8">
        <v>44222.55857638889</v>
      </c>
      <c r="B40" s="9" t="str">
        <f>HYPERLINK("https://twitter.com/AprendizRius","@AprendizRius")</f>
        <v>@AprendizRius</v>
      </c>
      <c r="C40" s="10" t="s">
        <v>595</v>
      </c>
      <c r="D40" s="10" t="s">
        <v>2510</v>
      </c>
      <c r="E40" s="9" t="str">
        <f>HYPERLINK("https://twitter.com/AprendizRius/status/1354148187309805574","1354148187309805574")</f>
        <v>1354148187309805574</v>
      </c>
      <c r="F40" s="11" t="s">
        <v>2511</v>
      </c>
      <c r="G40" s="12"/>
      <c r="H40" s="12"/>
      <c r="I40" s="13">
        <v>0.0</v>
      </c>
      <c r="J40" s="13">
        <v>0.0</v>
      </c>
      <c r="K40" s="9" t="str">
        <f t="shared" si="9"/>
        <v>Twitter for Android</v>
      </c>
      <c r="L40" s="14">
        <v>818.0</v>
      </c>
      <c r="M40" s="14">
        <v>1167.0</v>
      </c>
      <c r="N40" s="14">
        <v>0.0</v>
      </c>
      <c r="O40" s="19"/>
      <c r="P40" s="16">
        <v>43552.79760416667</v>
      </c>
      <c r="Q40" s="12"/>
      <c r="R40" s="10" t="s">
        <v>599</v>
      </c>
      <c r="S40" s="12"/>
      <c r="T40" s="12"/>
      <c r="U40" s="17" t="str">
        <f>HYPERLINK("https://pbs.twimg.com/profile_images/1176299796061151233/aX4Jv6Am.jpg","View")</f>
        <v>View</v>
      </c>
      <c r="V40" s="12"/>
      <c r="W40" s="12"/>
      <c r="X40" s="12"/>
      <c r="Y40" s="12"/>
      <c r="Z40" s="12"/>
    </row>
    <row r="41">
      <c r="A41" s="8">
        <v>44222.558541666665</v>
      </c>
      <c r="B41" s="9" t="str">
        <f>HYPERLINK("https://twitter.com/CaraveoBertha","@CaraveoBertha")</f>
        <v>@CaraveoBertha</v>
      </c>
      <c r="C41" s="10" t="s">
        <v>2365</v>
      </c>
      <c r="D41" s="10" t="s">
        <v>2512</v>
      </c>
      <c r="E41" s="9" t="str">
        <f>HYPERLINK("https://twitter.com/CaraveoBertha/status/1354148176274440192","1354148176274440192")</f>
        <v>1354148176274440192</v>
      </c>
      <c r="F41" s="11" t="s">
        <v>2513</v>
      </c>
      <c r="G41" s="12"/>
      <c r="H41" s="12"/>
      <c r="I41" s="13">
        <v>4.0</v>
      </c>
      <c r="J41" s="13">
        <v>6.0</v>
      </c>
      <c r="K41" s="9" t="str">
        <f t="shared" ref="K41:K42" si="10">HYPERLINK("http://twitter.com/download/iphone","Twitter for iPhone")</f>
        <v>Twitter for iPhone</v>
      </c>
      <c r="L41" s="14">
        <v>7924.0</v>
      </c>
      <c r="M41" s="14">
        <v>612.0</v>
      </c>
      <c r="N41" s="14">
        <v>47.0</v>
      </c>
      <c r="O41" s="15" t="s">
        <v>24</v>
      </c>
      <c r="P41" s="16">
        <v>42074.41003472223</v>
      </c>
      <c r="Q41" s="10" t="s">
        <v>325</v>
      </c>
      <c r="R41" s="10" t="s">
        <v>2368</v>
      </c>
      <c r="S41" s="11" t="s">
        <v>2369</v>
      </c>
      <c r="T41" s="12"/>
      <c r="U41" s="17" t="str">
        <f>HYPERLINK("https://pbs.twimg.com/profile_images/1340084801240326145/zTWBHuO_.jpg","View")</f>
        <v>View</v>
      </c>
      <c r="V41" s="12"/>
      <c r="W41" s="12"/>
      <c r="X41" s="12"/>
      <c r="Y41" s="12"/>
      <c r="Z41" s="12"/>
    </row>
    <row r="42">
      <c r="A42" s="8">
        <v>44222.558483796296</v>
      </c>
      <c r="B42" s="9" t="str">
        <f>HYPERLINK("https://twitter.com/tapia_olimpia","@tapia_olimpia")</f>
        <v>@tapia_olimpia</v>
      </c>
      <c r="C42" s="10" t="s">
        <v>2514</v>
      </c>
      <c r="D42" s="10" t="s">
        <v>2515</v>
      </c>
      <c r="E42" s="9" t="str">
        <f>HYPERLINK("https://twitter.com/tapia_olimpia/status/1354148153021190145","1354148153021190145")</f>
        <v>1354148153021190145</v>
      </c>
      <c r="F42" s="10" t="s">
        <v>2516</v>
      </c>
      <c r="G42" s="12"/>
      <c r="H42" s="12"/>
      <c r="I42" s="13">
        <v>0.0</v>
      </c>
      <c r="J42" s="13">
        <v>0.0</v>
      </c>
      <c r="K42" s="9" t="str">
        <f t="shared" si="10"/>
        <v>Twitter for iPhone</v>
      </c>
      <c r="L42" s="14">
        <v>5445.0</v>
      </c>
      <c r="M42" s="14">
        <v>4579.0</v>
      </c>
      <c r="N42" s="14">
        <v>8.0</v>
      </c>
      <c r="O42" s="19"/>
      <c r="P42" s="16">
        <v>42434.6446875</v>
      </c>
      <c r="Q42" s="12"/>
      <c r="R42" s="10" t="s">
        <v>2517</v>
      </c>
      <c r="S42" s="12"/>
      <c r="T42" s="12"/>
      <c r="U42" s="17" t="str">
        <f>HYPERLINK("https://pbs.twimg.com/profile_images/1324180581563867137/MAg-638G.jpg","View")</f>
        <v>View</v>
      </c>
      <c r="V42" s="12"/>
      <c r="W42" s="12"/>
      <c r="X42" s="12"/>
      <c r="Y42" s="12"/>
      <c r="Z42" s="12"/>
    </row>
    <row r="43">
      <c r="A43" s="8">
        <v>44222.55841435185</v>
      </c>
      <c r="B43" s="9" t="str">
        <f>HYPERLINK("https://twitter.com/tenejapanboy","@tenejapanboy")</f>
        <v>@tenejapanboy</v>
      </c>
      <c r="C43" s="10" t="s">
        <v>2518</v>
      </c>
      <c r="D43" s="10" t="s">
        <v>2519</v>
      </c>
      <c r="E43" s="9" t="str">
        <f>HYPERLINK("https://twitter.com/tenejapanboy/status/1354148128006565890","1354148128006565890")</f>
        <v>1354148128006565890</v>
      </c>
      <c r="F43" s="11" t="s">
        <v>2520</v>
      </c>
      <c r="G43" s="12"/>
      <c r="H43" s="12"/>
      <c r="I43" s="13">
        <v>0.0</v>
      </c>
      <c r="J43" s="13">
        <v>0.0</v>
      </c>
      <c r="K43" s="9" t="str">
        <f>HYPERLINK("http://twitter.com/download/android","Twitter for Android")</f>
        <v>Twitter for Android</v>
      </c>
      <c r="L43" s="14">
        <v>3905.0</v>
      </c>
      <c r="M43" s="14">
        <v>2187.0</v>
      </c>
      <c r="N43" s="14">
        <v>55.0</v>
      </c>
      <c r="O43" s="19"/>
      <c r="P43" s="16">
        <v>40294.70891203704</v>
      </c>
      <c r="Q43" s="10" t="s">
        <v>2521</v>
      </c>
      <c r="R43" s="10" t="s">
        <v>2522</v>
      </c>
      <c r="S43" s="11" t="s">
        <v>2523</v>
      </c>
      <c r="T43" s="12"/>
      <c r="U43" s="17" t="str">
        <f>HYPERLINK("https://pbs.twimg.com/profile_images/1320931503916740609/zEm3W5a7.jpg","View")</f>
        <v>View</v>
      </c>
      <c r="V43" s="12"/>
      <c r="W43" s="12"/>
      <c r="X43" s="12"/>
      <c r="Y43" s="12"/>
      <c r="Z43" s="12"/>
    </row>
    <row r="44">
      <c r="A44" s="8">
        <v>44222.557650462964</v>
      </c>
      <c r="B44" s="9" t="str">
        <f>HYPERLINK("https://twitter.com/LetiSanz5","@LetiSanz5")</f>
        <v>@LetiSanz5</v>
      </c>
      <c r="C44" s="10" t="s">
        <v>2524</v>
      </c>
      <c r="D44" s="10" t="s">
        <v>2525</v>
      </c>
      <c r="E44" s="9" t="str">
        <f>HYPERLINK("https://twitter.com/LetiSanz5/status/1354147852386148352","1354147852386148352")</f>
        <v>1354147852386148352</v>
      </c>
      <c r="F44" s="12"/>
      <c r="G44" s="11" t="s">
        <v>2526</v>
      </c>
      <c r="H44" s="12"/>
      <c r="I44" s="13">
        <v>0.0</v>
      </c>
      <c r="J44" s="13">
        <v>1.0</v>
      </c>
      <c r="K44" s="9" t="str">
        <f>HYPERLINK("http://twitter.com/download/iphone","Twitter for iPhone")</f>
        <v>Twitter for iPhone</v>
      </c>
      <c r="L44" s="14">
        <v>1646.0</v>
      </c>
      <c r="M44" s="14">
        <v>1219.0</v>
      </c>
      <c r="N44" s="14">
        <v>1.0</v>
      </c>
      <c r="O44" s="19"/>
      <c r="P44" s="16">
        <v>43690.05443287037</v>
      </c>
      <c r="Q44" s="10" t="s">
        <v>790</v>
      </c>
      <c r="R44" s="10" t="s">
        <v>2527</v>
      </c>
      <c r="S44" s="12"/>
      <c r="T44" s="12"/>
      <c r="U44" s="17" t="str">
        <f>HYPERLINK("https://pbs.twimg.com/profile_images/1331140578365476864/bROJHUjP.jpg","View")</f>
        <v>View</v>
      </c>
      <c r="V44" s="12"/>
      <c r="W44" s="12"/>
      <c r="X44" s="12"/>
      <c r="Y44" s="12"/>
      <c r="Z44" s="12"/>
    </row>
    <row r="45">
      <c r="A45" s="8">
        <v>44222.55762731482</v>
      </c>
      <c r="B45" s="9" t="str">
        <f>HYPERLINK("https://twitter.com/marcoTrinidad","@marcoTrinidad")</f>
        <v>@marcoTrinidad</v>
      </c>
      <c r="C45" s="10" t="s">
        <v>2528</v>
      </c>
      <c r="D45" s="10" t="s">
        <v>2529</v>
      </c>
      <c r="E45" s="9" t="str">
        <f>HYPERLINK("https://twitter.com/marcoTrinidad/status/1354147843854852096","1354147843854852096")</f>
        <v>1354147843854852096</v>
      </c>
      <c r="F45" s="11" t="s">
        <v>2530</v>
      </c>
      <c r="G45" s="11" t="s">
        <v>2531</v>
      </c>
      <c r="H45" s="12"/>
      <c r="I45" s="13">
        <v>0.0</v>
      </c>
      <c r="J45" s="13">
        <v>1.0</v>
      </c>
      <c r="K45" s="9" t="str">
        <f>HYPERLINK("http://twitter.com/#!/download/ipad","Twitter for iPad")</f>
        <v>Twitter for iPad</v>
      </c>
      <c r="L45" s="14">
        <v>14.0</v>
      </c>
      <c r="M45" s="14">
        <v>87.0</v>
      </c>
      <c r="N45" s="14">
        <v>0.0</v>
      </c>
      <c r="O45" s="19"/>
      <c r="P45" s="16">
        <v>40010.18864583333</v>
      </c>
      <c r="Q45" s="12"/>
      <c r="R45" s="10" t="s">
        <v>2532</v>
      </c>
      <c r="S45" s="12"/>
      <c r="T45" s="12"/>
      <c r="U45" s="17" t="str">
        <f>HYPERLINK("https://pbs.twimg.com/profile_images/563854662147637252/g8cYb-2L.jpeg","View")</f>
        <v>View</v>
      </c>
      <c r="V45" s="12"/>
      <c r="W45" s="12"/>
      <c r="X45" s="12"/>
      <c r="Y45" s="12"/>
      <c r="Z45" s="12"/>
    </row>
    <row r="46">
      <c r="A46" s="8">
        <v>44222.557025462964</v>
      </c>
      <c r="B46" s="9" t="str">
        <f>HYPERLINK("https://twitter.com/Pakoz72","@Pakoz72")</f>
        <v>@Pakoz72</v>
      </c>
      <c r="C46" s="10" t="s">
        <v>2533</v>
      </c>
      <c r="D46" s="10" t="s">
        <v>2534</v>
      </c>
      <c r="E46" s="9" t="str">
        <f>HYPERLINK("https://twitter.com/Pakoz72/status/1354147624937517056","1354147624937517056")</f>
        <v>1354147624937517056</v>
      </c>
      <c r="F46" s="11" t="s">
        <v>2535</v>
      </c>
      <c r="G46" s="11" t="s">
        <v>2536</v>
      </c>
      <c r="H46" s="12"/>
      <c r="I46" s="13">
        <v>0.0</v>
      </c>
      <c r="J46" s="13">
        <v>0.0</v>
      </c>
      <c r="K46" s="9" t="str">
        <f t="shared" ref="K46:K51" si="11">HYPERLINK("http://twitter.com/download/android","Twitter for Android")</f>
        <v>Twitter for Android</v>
      </c>
      <c r="L46" s="14">
        <v>69.0</v>
      </c>
      <c r="M46" s="14">
        <v>110.0</v>
      </c>
      <c r="N46" s="14">
        <v>0.0</v>
      </c>
      <c r="O46" s="19"/>
      <c r="P46" s="16">
        <v>41073.6040625</v>
      </c>
      <c r="Q46" s="10" t="s">
        <v>478</v>
      </c>
      <c r="R46" s="12"/>
      <c r="S46" s="12"/>
      <c r="T46" s="12"/>
      <c r="U46" s="17" t="str">
        <f>HYPERLINK("https://pbs.twimg.com/profile_images/504364675719393280/DZukohOD.jpeg","View")</f>
        <v>View</v>
      </c>
      <c r="V46" s="12"/>
      <c r="W46" s="12"/>
      <c r="X46" s="12"/>
      <c r="Y46" s="12"/>
      <c r="Z46" s="12"/>
    </row>
    <row r="47">
      <c r="A47" s="8">
        <v>44222.55671296296</v>
      </c>
      <c r="B47" s="9" t="str">
        <f>HYPERLINK("https://twitter.com/FlorMariaCo20","@FlorMariaCo20")</f>
        <v>@FlorMariaCo20</v>
      </c>
      <c r="C47" s="10" t="s">
        <v>2467</v>
      </c>
      <c r="D47" s="10" t="s">
        <v>2537</v>
      </c>
      <c r="E47" s="9" t="str">
        <f>HYPERLINK("https://twitter.com/FlorMariaCo20/status/1354147512693760000","1354147512693760000")</f>
        <v>1354147512693760000</v>
      </c>
      <c r="F47" s="11" t="s">
        <v>2538</v>
      </c>
      <c r="G47" s="11" t="s">
        <v>2539</v>
      </c>
      <c r="H47" s="12"/>
      <c r="I47" s="13">
        <v>0.0</v>
      </c>
      <c r="J47" s="13">
        <v>0.0</v>
      </c>
      <c r="K47" s="9" t="str">
        <f t="shared" si="11"/>
        <v>Twitter for Android</v>
      </c>
      <c r="L47" s="14">
        <v>98.0</v>
      </c>
      <c r="M47" s="14">
        <v>278.0</v>
      </c>
      <c r="N47" s="14">
        <v>0.0</v>
      </c>
      <c r="O47" s="19"/>
      <c r="P47" s="16">
        <v>44071.51096064815</v>
      </c>
      <c r="Q47" s="12"/>
      <c r="R47" s="12"/>
      <c r="S47" s="12"/>
      <c r="T47" s="12"/>
      <c r="U47" s="17" t="str">
        <f>HYPERLINK("https://pbs.twimg.com/profile_images/1343956924522352641/4L24CB_W.jpg","View")</f>
        <v>View</v>
      </c>
      <c r="V47" s="12"/>
      <c r="W47" s="12"/>
      <c r="X47" s="12"/>
      <c r="Y47" s="12"/>
      <c r="Z47" s="12"/>
    </row>
    <row r="48">
      <c r="A48" s="8">
        <v>44222.55652777778</v>
      </c>
      <c r="B48" s="9" t="str">
        <f>HYPERLINK("https://twitter.com/rex78_90","@rex78_90")</f>
        <v>@rex78_90</v>
      </c>
      <c r="C48" s="10" t="s">
        <v>2540</v>
      </c>
      <c r="D48" s="10" t="s">
        <v>2541</v>
      </c>
      <c r="E48" s="9" t="str">
        <f>HYPERLINK("https://twitter.com/rex78_90/status/1354147444104327169","1354147444104327169")</f>
        <v>1354147444104327169</v>
      </c>
      <c r="F48" s="11" t="s">
        <v>2542</v>
      </c>
      <c r="G48" s="12"/>
      <c r="H48" s="12"/>
      <c r="I48" s="13">
        <v>0.0</v>
      </c>
      <c r="J48" s="13">
        <v>0.0</v>
      </c>
      <c r="K48" s="9" t="str">
        <f t="shared" si="11"/>
        <v>Twitter for Android</v>
      </c>
      <c r="L48" s="14">
        <v>35.0</v>
      </c>
      <c r="M48" s="14">
        <v>922.0</v>
      </c>
      <c r="N48" s="14">
        <v>2.0</v>
      </c>
      <c r="O48" s="19"/>
      <c r="P48" s="16">
        <v>40781.93962962963</v>
      </c>
      <c r="Q48" s="10" t="s">
        <v>2543</v>
      </c>
      <c r="R48" s="10" t="s">
        <v>2544</v>
      </c>
      <c r="S48" s="12"/>
      <c r="T48" s="12"/>
      <c r="U48" s="17" t="str">
        <f>HYPERLINK("https://pbs.twimg.com/profile_images/1252053912967880704/cOrpWglg.jpg","View")</f>
        <v>View</v>
      </c>
      <c r="V48" s="12"/>
      <c r="W48" s="12"/>
      <c r="X48" s="12"/>
      <c r="Y48" s="12"/>
      <c r="Z48" s="12"/>
    </row>
    <row r="49">
      <c r="A49" s="8">
        <v>44222.55642361111</v>
      </c>
      <c r="B49" s="9" t="str">
        <f>HYPERLINK("https://twitter.com/FlorMariaCo20","@FlorMariaCo20")</f>
        <v>@FlorMariaCo20</v>
      </c>
      <c r="C49" s="10" t="s">
        <v>2467</v>
      </c>
      <c r="D49" s="10" t="s">
        <v>2545</v>
      </c>
      <c r="E49" s="9" t="str">
        <f>HYPERLINK("https://twitter.com/FlorMariaCo20/status/1354147407743897604","1354147407743897604")</f>
        <v>1354147407743897604</v>
      </c>
      <c r="F49" s="11" t="s">
        <v>2546</v>
      </c>
      <c r="G49" s="12"/>
      <c r="H49" s="12"/>
      <c r="I49" s="13">
        <v>0.0</v>
      </c>
      <c r="J49" s="13">
        <v>0.0</v>
      </c>
      <c r="K49" s="9" t="str">
        <f t="shared" si="11"/>
        <v>Twitter for Android</v>
      </c>
      <c r="L49" s="14">
        <v>98.0</v>
      </c>
      <c r="M49" s="14">
        <v>278.0</v>
      </c>
      <c r="N49" s="14">
        <v>0.0</v>
      </c>
      <c r="O49" s="19"/>
      <c r="P49" s="16">
        <v>44071.51096064815</v>
      </c>
      <c r="Q49" s="12"/>
      <c r="R49" s="12"/>
      <c r="S49" s="12"/>
      <c r="T49" s="12"/>
      <c r="U49" s="17" t="str">
        <f>HYPERLINK("https://pbs.twimg.com/profile_images/1343956924522352641/4L24CB_W.jpg","View")</f>
        <v>View</v>
      </c>
      <c r="V49" s="12"/>
      <c r="W49" s="12"/>
      <c r="X49" s="12"/>
      <c r="Y49" s="12"/>
      <c r="Z49" s="12"/>
    </row>
    <row r="50">
      <c r="A50" s="8">
        <v>44222.55636574074</v>
      </c>
      <c r="B50" s="9" t="str">
        <f>HYPERLINK("https://twitter.com/tenejapanboy","@tenejapanboy")</f>
        <v>@tenejapanboy</v>
      </c>
      <c r="C50" s="10" t="s">
        <v>2518</v>
      </c>
      <c r="D50" s="10" t="s">
        <v>2547</v>
      </c>
      <c r="E50" s="9" t="str">
        <f>HYPERLINK("https://twitter.com/tenejapanboy/status/1354147384712949760","1354147384712949760")</f>
        <v>1354147384712949760</v>
      </c>
      <c r="F50" s="12"/>
      <c r="G50" s="11" t="s">
        <v>2548</v>
      </c>
      <c r="H50" s="12"/>
      <c r="I50" s="13">
        <v>4.0</v>
      </c>
      <c r="J50" s="13">
        <v>5.0</v>
      </c>
      <c r="K50" s="9" t="str">
        <f t="shared" si="11"/>
        <v>Twitter for Android</v>
      </c>
      <c r="L50" s="14">
        <v>3905.0</v>
      </c>
      <c r="M50" s="14">
        <v>2187.0</v>
      </c>
      <c r="N50" s="14">
        <v>55.0</v>
      </c>
      <c r="O50" s="19"/>
      <c r="P50" s="16">
        <v>40294.70891203704</v>
      </c>
      <c r="Q50" s="10" t="s">
        <v>2521</v>
      </c>
      <c r="R50" s="10" t="s">
        <v>2522</v>
      </c>
      <c r="S50" s="11" t="s">
        <v>2523</v>
      </c>
      <c r="T50" s="12"/>
      <c r="U50" s="17" t="str">
        <f>HYPERLINK("https://pbs.twimg.com/profile_images/1320931503916740609/zEm3W5a7.jpg","View")</f>
        <v>View</v>
      </c>
      <c r="V50" s="12"/>
      <c r="W50" s="12"/>
      <c r="X50" s="12"/>
      <c r="Y50" s="12"/>
      <c r="Z50" s="12"/>
    </row>
    <row r="51">
      <c r="A51" s="8">
        <v>44222.55600694445</v>
      </c>
      <c r="B51" s="9" t="str">
        <f>HYPERLINK("https://twitter.com/HortenciaFrias7","@HortenciaFrias7")</f>
        <v>@HortenciaFrias7</v>
      </c>
      <c r="C51" s="10" t="s">
        <v>2549</v>
      </c>
      <c r="D51" s="10" t="s">
        <v>2550</v>
      </c>
      <c r="E51" s="9" t="str">
        <f>HYPERLINK("https://twitter.com/HortenciaFrias7/status/1354147258388905986","1354147258388905986")</f>
        <v>1354147258388905986</v>
      </c>
      <c r="F51" s="11" t="s">
        <v>2551</v>
      </c>
      <c r="G51" s="12"/>
      <c r="H51" s="12"/>
      <c r="I51" s="13">
        <v>1.0</v>
      </c>
      <c r="J51" s="13">
        <v>0.0</v>
      </c>
      <c r="K51" s="9" t="str">
        <f t="shared" si="11"/>
        <v>Twitter for Android</v>
      </c>
      <c r="L51" s="14">
        <v>486.0</v>
      </c>
      <c r="M51" s="14">
        <v>1317.0</v>
      </c>
      <c r="N51" s="14">
        <v>0.0</v>
      </c>
      <c r="O51" s="19"/>
      <c r="P51" s="16">
        <v>43290.57577546296</v>
      </c>
      <c r="Q51" s="10" t="s">
        <v>1125</v>
      </c>
      <c r="R51" s="12"/>
      <c r="S51" s="12"/>
      <c r="T51" s="12"/>
      <c r="U51" s="17" t="str">
        <f>HYPERLINK("https://pbs.twimg.com/profile_images/1209278905644810241/Kl3bsagd.jpg","View")</f>
        <v>View</v>
      </c>
      <c r="V51" s="12"/>
      <c r="W51" s="12"/>
      <c r="X51" s="12"/>
      <c r="Y51" s="12"/>
      <c r="Z51" s="12"/>
    </row>
    <row r="52">
      <c r="A52" s="8">
        <v>44222.55578703704</v>
      </c>
      <c r="B52" s="9" t="str">
        <f>HYPERLINK("https://twitter.com/Pelusit20873293","@Pelusit20873293")</f>
        <v>@Pelusit20873293</v>
      </c>
      <c r="C52" s="10" t="s">
        <v>2552</v>
      </c>
      <c r="D52" s="10" t="s">
        <v>2553</v>
      </c>
      <c r="E52" s="9" t="str">
        <f>HYPERLINK("https://twitter.com/Pelusit20873293/status/1354147175517855744","1354147175517855744")</f>
        <v>1354147175517855744</v>
      </c>
      <c r="F52" s="11" t="s">
        <v>233</v>
      </c>
      <c r="G52" s="11" t="s">
        <v>234</v>
      </c>
      <c r="H52" s="12"/>
      <c r="I52" s="13">
        <v>0.0</v>
      </c>
      <c r="J52" s="13">
        <v>0.0</v>
      </c>
      <c r="K52" s="9" t="str">
        <f>HYPERLINK("http://twitter.com/download/iphone","Twitter for iPhone")</f>
        <v>Twitter for iPhone</v>
      </c>
      <c r="L52" s="14">
        <v>2348.0</v>
      </c>
      <c r="M52" s="14">
        <v>2538.0</v>
      </c>
      <c r="N52" s="14">
        <v>6.0</v>
      </c>
      <c r="O52" s="19"/>
      <c r="P52" s="16">
        <v>43428.74695601852</v>
      </c>
      <c r="Q52" s="10" t="s">
        <v>478</v>
      </c>
      <c r="R52" s="10" t="s">
        <v>2554</v>
      </c>
      <c r="S52" s="12"/>
      <c r="T52" s="12"/>
      <c r="U52" s="17" t="str">
        <f>HYPERLINK("https://pbs.twimg.com/profile_images/1214213678527959042/iekaQ40u.jpg","View")</f>
        <v>View</v>
      </c>
      <c r="V52" s="12"/>
      <c r="W52" s="12"/>
      <c r="X52" s="12"/>
      <c r="Y52" s="12"/>
      <c r="Z52" s="12"/>
    </row>
    <row r="53">
      <c r="A53" s="8">
        <v>44222.555659722224</v>
      </c>
      <c r="B53" s="9" t="str">
        <f>HYPERLINK("https://twitter.com/expedientex15","@expedientex15")</f>
        <v>@expedientex15</v>
      </c>
      <c r="C53" s="10" t="s">
        <v>2555</v>
      </c>
      <c r="D53" s="10" t="s">
        <v>2556</v>
      </c>
      <c r="E53" s="9" t="str">
        <f>HYPERLINK("https://twitter.com/expedientex15/status/1354147132035444738","1354147132035444738")</f>
        <v>1354147132035444738</v>
      </c>
      <c r="F53" s="12"/>
      <c r="G53" s="12"/>
      <c r="H53" s="12"/>
      <c r="I53" s="13">
        <v>0.0</v>
      </c>
      <c r="J53" s="13">
        <v>0.0</v>
      </c>
      <c r="K53" s="9" t="str">
        <f>HYPERLINK("http://twitter.com/download/android","Twitter for Android")</f>
        <v>Twitter for Android</v>
      </c>
      <c r="L53" s="14">
        <v>1187.0</v>
      </c>
      <c r="M53" s="14">
        <v>1425.0</v>
      </c>
      <c r="N53" s="14">
        <v>29.0</v>
      </c>
      <c r="O53" s="19"/>
      <c r="P53" s="16">
        <v>41685.758564814816</v>
      </c>
      <c r="Q53" s="10" t="s">
        <v>2557</v>
      </c>
      <c r="R53" s="10" t="s">
        <v>2558</v>
      </c>
      <c r="S53" s="12"/>
      <c r="T53" s="12"/>
      <c r="U53" s="17" t="str">
        <f>HYPERLINK("https://pbs.twimg.com/profile_images/1094834968319033345/XRNkVwY8.jpg","View")</f>
        <v>View</v>
      </c>
      <c r="V53" s="12"/>
      <c r="W53" s="12"/>
      <c r="X53" s="12"/>
      <c r="Y53" s="12"/>
      <c r="Z53" s="12"/>
    </row>
    <row r="54">
      <c r="A54" s="8">
        <v>44222.5555787037</v>
      </c>
      <c r="B54" s="9" t="str">
        <f>HYPERLINK("https://twitter.com/malzagax","@malzagax")</f>
        <v>@malzagax</v>
      </c>
      <c r="C54" s="10" t="s">
        <v>2559</v>
      </c>
      <c r="D54" s="10" t="s">
        <v>2560</v>
      </c>
      <c r="E54" s="9" t="str">
        <f>HYPERLINK("https://twitter.com/malzagax/status/1354147101781807104","1354147101781807104")</f>
        <v>1354147101781807104</v>
      </c>
      <c r="F54" s="12"/>
      <c r="G54" s="12"/>
      <c r="H54" s="12"/>
      <c r="I54" s="13">
        <v>1.0</v>
      </c>
      <c r="J54" s="13">
        <v>3.0</v>
      </c>
      <c r="K54" s="9" t="str">
        <f>HYPERLINK("http://twitter.com/download/iphone","Twitter for iPhone")</f>
        <v>Twitter for iPhone</v>
      </c>
      <c r="L54" s="14">
        <v>2772.0</v>
      </c>
      <c r="M54" s="14">
        <v>3353.0</v>
      </c>
      <c r="N54" s="14">
        <v>7.0</v>
      </c>
      <c r="O54" s="19"/>
      <c r="P54" s="16">
        <v>40673.86424768518</v>
      </c>
      <c r="Q54" s="10" t="s">
        <v>478</v>
      </c>
      <c r="R54" s="10" t="s">
        <v>2561</v>
      </c>
      <c r="S54" s="12"/>
      <c r="T54" s="12"/>
      <c r="U54" s="17" t="str">
        <f>HYPERLINK("https://pbs.twimg.com/profile_images/540022038719496192/5JcITixZ.jpeg","View")</f>
        <v>View</v>
      </c>
      <c r="V54" s="12"/>
      <c r="W54" s="12"/>
      <c r="X54" s="12"/>
      <c r="Y54" s="12"/>
      <c r="Z54" s="12"/>
    </row>
    <row r="55">
      <c r="A55" s="8">
        <v>44222.555509259255</v>
      </c>
      <c r="B55" s="9" t="str">
        <f>HYPERLINK("https://twitter.com/Nue_sito","@Nue_sito")</f>
        <v>@Nue_sito</v>
      </c>
      <c r="C55" s="10" t="s">
        <v>2562</v>
      </c>
      <c r="D55" s="10" t="s">
        <v>2563</v>
      </c>
      <c r="E55" s="9" t="str">
        <f>HYPERLINK("https://twitter.com/Nue_sito/status/1354147078281125889","1354147078281125889")</f>
        <v>1354147078281125889</v>
      </c>
      <c r="F55" s="12"/>
      <c r="G55" s="12"/>
      <c r="H55" s="12"/>
      <c r="I55" s="13">
        <v>0.0</v>
      </c>
      <c r="J55" s="13">
        <v>0.0</v>
      </c>
      <c r="K55" s="9" t="str">
        <f t="shared" ref="K55:K57" si="12">HYPERLINK("http://twitter.com/download/android","Twitter for Android")</f>
        <v>Twitter for Android</v>
      </c>
      <c r="L55" s="14">
        <v>24.0</v>
      </c>
      <c r="M55" s="14">
        <v>342.0</v>
      </c>
      <c r="N55" s="14">
        <v>0.0</v>
      </c>
      <c r="O55" s="19"/>
      <c r="P55" s="16">
        <v>41053.6658912037</v>
      </c>
      <c r="Q55" s="12"/>
      <c r="R55" s="12"/>
      <c r="S55" s="12"/>
      <c r="T55" s="12"/>
      <c r="U55" s="17" t="str">
        <f>HYPERLINK("https://pbs.twimg.com/profile_images/1347382303652257795/mi6jZni7.jpg","View")</f>
        <v>View</v>
      </c>
      <c r="V55" s="12"/>
      <c r="W55" s="12"/>
      <c r="X55" s="12"/>
      <c r="Y55" s="12"/>
      <c r="Z55" s="12"/>
    </row>
    <row r="56">
      <c r="A56" s="8">
        <v>44222.55535879629</v>
      </c>
      <c r="B56" s="9" t="str">
        <f>HYPERLINK("https://twitter.com/ElMaderense12","@ElMaderense12")</f>
        <v>@ElMaderense12</v>
      </c>
      <c r="C56" s="10" t="s">
        <v>2564</v>
      </c>
      <c r="D56" s="10" t="s">
        <v>2565</v>
      </c>
      <c r="E56" s="9" t="str">
        <f>HYPERLINK("https://twitter.com/ElMaderense12/status/1354147023797309444","1354147023797309444")</f>
        <v>1354147023797309444</v>
      </c>
      <c r="F56" s="12"/>
      <c r="G56" s="12"/>
      <c r="H56" s="12"/>
      <c r="I56" s="13">
        <v>17.0</v>
      </c>
      <c r="J56" s="13">
        <v>22.0</v>
      </c>
      <c r="K56" s="9" t="str">
        <f t="shared" si="12"/>
        <v>Twitter for Android</v>
      </c>
      <c r="L56" s="14">
        <v>14615.0</v>
      </c>
      <c r="M56" s="14">
        <v>13997.0</v>
      </c>
      <c r="N56" s="14">
        <v>11.0</v>
      </c>
      <c r="O56" s="19"/>
      <c r="P56" s="16">
        <v>43489.35550925926</v>
      </c>
      <c r="Q56" s="10" t="s">
        <v>325</v>
      </c>
      <c r="R56" s="10" t="s">
        <v>2566</v>
      </c>
      <c r="S56" s="12"/>
      <c r="T56" s="12"/>
      <c r="U56" s="17" t="str">
        <f>HYPERLINK("https://pbs.twimg.com/profile_images/1300579272395026432/d8rfbQl7.jpg","View")</f>
        <v>View</v>
      </c>
      <c r="V56" s="12"/>
      <c r="W56" s="12"/>
      <c r="X56" s="12"/>
      <c r="Y56" s="12"/>
      <c r="Z56" s="12"/>
    </row>
    <row r="57">
      <c r="A57" s="8">
        <v>44222.554872685185</v>
      </c>
      <c r="B57" s="9" t="str">
        <f>HYPERLINK("https://twitter.com/EllaCantaloupeH","@EllaCantaloupeH")</f>
        <v>@EllaCantaloupeH</v>
      </c>
      <c r="C57" s="10" t="s">
        <v>2567</v>
      </c>
      <c r="D57" s="10" t="s">
        <v>2568</v>
      </c>
      <c r="E57" s="9" t="str">
        <f>HYPERLINK("https://twitter.com/EllaCantaloupeH/status/1354146847569416193","1354146847569416193")</f>
        <v>1354146847569416193</v>
      </c>
      <c r="F57" s="10" t="s">
        <v>2498</v>
      </c>
      <c r="G57" s="12"/>
      <c r="H57" s="12"/>
      <c r="I57" s="13">
        <v>2.0</v>
      </c>
      <c r="J57" s="13">
        <v>9.0</v>
      </c>
      <c r="K57" s="9" t="str">
        <f t="shared" si="12"/>
        <v>Twitter for Android</v>
      </c>
      <c r="L57" s="14">
        <v>18767.0</v>
      </c>
      <c r="M57" s="14">
        <v>11901.0</v>
      </c>
      <c r="N57" s="14">
        <v>15.0</v>
      </c>
      <c r="O57" s="19"/>
      <c r="P57" s="16">
        <v>42491.879166666666</v>
      </c>
      <c r="Q57" s="10" t="s">
        <v>2569</v>
      </c>
      <c r="R57" s="10" t="s">
        <v>2570</v>
      </c>
      <c r="S57" s="12"/>
      <c r="T57" s="12"/>
      <c r="U57" s="17" t="str">
        <f>HYPERLINK("https://pbs.twimg.com/profile_images/1351397123510702083/Cb4hMI3O.jpg","View")</f>
        <v>View</v>
      </c>
      <c r="V57" s="12"/>
      <c r="W57" s="12"/>
      <c r="X57" s="12"/>
      <c r="Y57" s="12"/>
      <c r="Z57" s="12"/>
    </row>
    <row r="58">
      <c r="A58" s="8">
        <v>44222.55482638889</v>
      </c>
      <c r="B58" s="9" t="str">
        <f>HYPERLINK("https://twitter.com/TonysJanek","@TonysJanek")</f>
        <v>@TonysJanek</v>
      </c>
      <c r="C58" s="10" t="s">
        <v>2571</v>
      </c>
      <c r="D58" s="10" t="s">
        <v>2572</v>
      </c>
      <c r="E58" s="9" t="str">
        <f>HYPERLINK("https://twitter.com/TonysJanek/status/1354146827449245698","1354146827449245698")</f>
        <v>1354146827449245698</v>
      </c>
      <c r="F58" s="11" t="s">
        <v>2573</v>
      </c>
      <c r="G58" s="12"/>
      <c r="H58" s="12"/>
      <c r="I58" s="13">
        <v>0.0</v>
      </c>
      <c r="J58" s="13">
        <v>0.0</v>
      </c>
      <c r="K58" s="9" t="str">
        <f>HYPERLINK("https://mobile.twitter.com","Twitter Web App")</f>
        <v>Twitter Web App</v>
      </c>
      <c r="L58" s="14">
        <v>653.0</v>
      </c>
      <c r="M58" s="14">
        <v>1666.0</v>
      </c>
      <c r="N58" s="14">
        <v>0.0</v>
      </c>
      <c r="O58" s="19"/>
      <c r="P58" s="16">
        <v>43651.61025462963</v>
      </c>
      <c r="Q58" s="10" t="s">
        <v>2574</v>
      </c>
      <c r="R58" s="10" t="s">
        <v>2575</v>
      </c>
      <c r="S58" s="12"/>
      <c r="T58" s="12"/>
      <c r="U58" s="17" t="str">
        <f>HYPERLINK("https://pbs.twimg.com/profile_images/1312650308112310273/rbizAgiw.jpg","View")</f>
        <v>View</v>
      </c>
      <c r="V58" s="12"/>
      <c r="W58" s="12"/>
      <c r="X58" s="12"/>
      <c r="Y58" s="12"/>
      <c r="Z58" s="12"/>
    </row>
    <row r="59">
      <c r="A59" s="8">
        <v>44222.554814814815</v>
      </c>
      <c r="B59" s="9" t="str">
        <f>HYPERLINK("https://twitter.com/elfausto13","@elfausto13")</f>
        <v>@elfausto13</v>
      </c>
      <c r="C59" s="10" t="s">
        <v>2576</v>
      </c>
      <c r="D59" s="10" t="s">
        <v>2577</v>
      </c>
      <c r="E59" s="9" t="str">
        <f>HYPERLINK("https://twitter.com/elfausto13/status/1354146822839816194","1354146822839816194")</f>
        <v>1354146822839816194</v>
      </c>
      <c r="F59" s="12"/>
      <c r="G59" s="12"/>
      <c r="H59" s="12"/>
      <c r="I59" s="13">
        <v>0.0</v>
      </c>
      <c r="J59" s="13">
        <v>0.0</v>
      </c>
      <c r="K59" s="9" t="str">
        <f>HYPERLINK("http://twitter.com/download/android","Twitter for Android")</f>
        <v>Twitter for Android</v>
      </c>
      <c r="L59" s="14">
        <v>184.0</v>
      </c>
      <c r="M59" s="14">
        <v>597.0</v>
      </c>
      <c r="N59" s="14">
        <v>0.0</v>
      </c>
      <c r="O59" s="19"/>
      <c r="P59" s="16">
        <v>43505.96853009259</v>
      </c>
      <c r="Q59" s="12"/>
      <c r="R59" s="10" t="s">
        <v>2578</v>
      </c>
      <c r="S59" s="12"/>
      <c r="T59" s="12"/>
      <c r="U59" s="17" t="str">
        <f>HYPERLINK("https://pbs.twimg.com/profile_images/1315676982978523138/gr21ePNR.jpg","View")</f>
        <v>View</v>
      </c>
      <c r="V59" s="12"/>
      <c r="W59" s="12"/>
      <c r="X59" s="12"/>
      <c r="Y59" s="12"/>
      <c r="Z59" s="12"/>
    </row>
    <row r="60">
      <c r="A60" s="8">
        <v>44222.55479166667</v>
      </c>
      <c r="B60" s="9" t="str">
        <f>HYPERLINK("https://twitter.com/CaraveoBertha","@CaraveoBertha")</f>
        <v>@CaraveoBertha</v>
      </c>
      <c r="C60" s="10" t="s">
        <v>2365</v>
      </c>
      <c r="D60" s="10" t="s">
        <v>2579</v>
      </c>
      <c r="E60" s="9" t="str">
        <f>HYPERLINK("https://twitter.com/CaraveoBertha/status/1354146816128761856","1354146816128761856")</f>
        <v>1354146816128761856</v>
      </c>
      <c r="F60" s="12"/>
      <c r="G60" s="12"/>
      <c r="H60" s="12"/>
      <c r="I60" s="13">
        <v>8.0</v>
      </c>
      <c r="J60" s="13">
        <v>11.0</v>
      </c>
      <c r="K60" s="9" t="str">
        <f t="shared" ref="K60:K61" si="13">HYPERLINK("http://twitter.com/download/iphone","Twitter for iPhone")</f>
        <v>Twitter for iPhone</v>
      </c>
      <c r="L60" s="14">
        <v>7924.0</v>
      </c>
      <c r="M60" s="14">
        <v>612.0</v>
      </c>
      <c r="N60" s="14">
        <v>47.0</v>
      </c>
      <c r="O60" s="15" t="s">
        <v>24</v>
      </c>
      <c r="P60" s="16">
        <v>42074.41003472223</v>
      </c>
      <c r="Q60" s="10" t="s">
        <v>325</v>
      </c>
      <c r="R60" s="10" t="s">
        <v>2368</v>
      </c>
      <c r="S60" s="11" t="s">
        <v>2369</v>
      </c>
      <c r="T60" s="12"/>
      <c r="U60" s="17" t="str">
        <f>HYPERLINK("https://pbs.twimg.com/profile_images/1340084801240326145/zTWBHuO_.jpg","View")</f>
        <v>View</v>
      </c>
      <c r="V60" s="12"/>
      <c r="W60" s="12"/>
      <c r="X60" s="12"/>
      <c r="Y60" s="12"/>
      <c r="Z60" s="12"/>
    </row>
    <row r="61">
      <c r="A61" s="8">
        <v>44222.5543287037</v>
      </c>
      <c r="B61" s="9" t="str">
        <f>HYPERLINK("https://twitter.com/POGARO","@POGARO")</f>
        <v>@POGARO</v>
      </c>
      <c r="C61" s="10" t="s">
        <v>2580</v>
      </c>
      <c r="D61" s="10" t="s">
        <v>2581</v>
      </c>
      <c r="E61" s="9" t="str">
        <f>HYPERLINK("https://twitter.com/POGARO/status/1354146649602469888","1354146649602469888")</f>
        <v>1354146649602469888</v>
      </c>
      <c r="F61" s="12"/>
      <c r="G61" s="12"/>
      <c r="H61" s="12"/>
      <c r="I61" s="13">
        <v>0.0</v>
      </c>
      <c r="J61" s="13">
        <v>0.0</v>
      </c>
      <c r="K61" s="9" t="str">
        <f t="shared" si="13"/>
        <v>Twitter for iPhone</v>
      </c>
      <c r="L61" s="14">
        <v>120.0</v>
      </c>
      <c r="M61" s="14">
        <v>266.0</v>
      </c>
      <c r="N61" s="14">
        <v>0.0</v>
      </c>
      <c r="O61" s="19"/>
      <c r="P61" s="16">
        <v>40317.294756944444</v>
      </c>
      <c r="Q61" s="12"/>
      <c r="R61" s="12"/>
      <c r="S61" s="12"/>
      <c r="T61" s="12"/>
      <c r="U61" s="17" t="str">
        <f>HYPERLINK("https://pbs.twimg.com/profile_images/1315019796518330368/i1x3T13n.jpg","View")</f>
        <v>View</v>
      </c>
      <c r="V61" s="12"/>
      <c r="W61" s="12"/>
      <c r="X61" s="12"/>
      <c r="Y61" s="12"/>
      <c r="Z61" s="12"/>
    </row>
    <row r="62">
      <c r="A62" s="8">
        <v>44222.553819444445</v>
      </c>
      <c r="B62" s="9" t="str">
        <f>HYPERLINK("https://twitter.com/asno_critico","@asno_critico")</f>
        <v>@asno_critico</v>
      </c>
      <c r="C62" s="10" t="s">
        <v>2434</v>
      </c>
      <c r="D62" s="10" t="s">
        <v>2582</v>
      </c>
      <c r="E62" s="9" t="str">
        <f>HYPERLINK("https://twitter.com/asno_critico/status/1354146463601860608","1354146463601860608")</f>
        <v>1354146463601860608</v>
      </c>
      <c r="F62" s="12"/>
      <c r="G62" s="11" t="s">
        <v>2583</v>
      </c>
      <c r="H62" s="12"/>
      <c r="I62" s="13">
        <v>1.0</v>
      </c>
      <c r="J62" s="13">
        <v>7.0</v>
      </c>
      <c r="K62" s="9" t="str">
        <f t="shared" ref="K62:K64" si="14">HYPERLINK("http://twitter.com/download/android","Twitter for Android")</f>
        <v>Twitter for Android</v>
      </c>
      <c r="L62" s="14">
        <v>2271.0</v>
      </c>
      <c r="M62" s="14">
        <v>3085.0</v>
      </c>
      <c r="N62" s="14">
        <v>2.0</v>
      </c>
      <c r="O62" s="19"/>
      <c r="P62" s="16">
        <v>43773.414884259255</v>
      </c>
      <c r="Q62" s="10" t="s">
        <v>325</v>
      </c>
      <c r="R62" s="10" t="s">
        <v>2437</v>
      </c>
      <c r="S62" s="11" t="s">
        <v>2438</v>
      </c>
      <c r="T62" s="12"/>
      <c r="U62" s="17" t="str">
        <f>HYPERLINK("https://pbs.twimg.com/profile_images/1193651997691564035/Q_3uvAsf.jpg","View")</f>
        <v>View</v>
      </c>
      <c r="V62" s="12"/>
      <c r="W62" s="12"/>
      <c r="X62" s="12"/>
      <c r="Y62" s="12"/>
      <c r="Z62" s="12"/>
    </row>
    <row r="63">
      <c r="A63" s="8">
        <v>44222.55369212963</v>
      </c>
      <c r="B63" s="9" t="str">
        <f>HYPERLINK("https://twitter.com/FlorMariaCo20","@FlorMariaCo20")</f>
        <v>@FlorMariaCo20</v>
      </c>
      <c r="C63" s="10" t="s">
        <v>2467</v>
      </c>
      <c r="D63" s="10" t="s">
        <v>2584</v>
      </c>
      <c r="E63" s="9" t="str">
        <f>HYPERLINK("https://twitter.com/FlorMariaCo20/status/1354146415967150081","1354146415967150081")</f>
        <v>1354146415967150081</v>
      </c>
      <c r="F63" s="10" t="s">
        <v>2585</v>
      </c>
      <c r="G63" s="12"/>
      <c r="H63" s="12"/>
      <c r="I63" s="13">
        <v>0.0</v>
      </c>
      <c r="J63" s="13">
        <v>0.0</v>
      </c>
      <c r="K63" s="9" t="str">
        <f t="shared" si="14"/>
        <v>Twitter for Android</v>
      </c>
      <c r="L63" s="14">
        <v>98.0</v>
      </c>
      <c r="M63" s="14">
        <v>278.0</v>
      </c>
      <c r="N63" s="14">
        <v>0.0</v>
      </c>
      <c r="O63" s="19"/>
      <c r="P63" s="16">
        <v>44071.51096064815</v>
      </c>
      <c r="Q63" s="12"/>
      <c r="R63" s="12"/>
      <c r="S63" s="12"/>
      <c r="T63" s="12"/>
      <c r="U63" s="17" t="str">
        <f>HYPERLINK("https://pbs.twimg.com/profile_images/1343956924522352641/4L24CB_W.jpg","View")</f>
        <v>View</v>
      </c>
      <c r="V63" s="12"/>
      <c r="W63" s="12"/>
      <c r="X63" s="12"/>
      <c r="Y63" s="12"/>
      <c r="Z63" s="12"/>
    </row>
    <row r="64">
      <c r="A64" s="8">
        <v>44222.55334490741</v>
      </c>
      <c r="B64" s="9" t="str">
        <f>HYPERLINK("https://twitter.com/Jorge05283819","@Jorge05283819")</f>
        <v>@Jorge05283819</v>
      </c>
      <c r="C64" s="10" t="s">
        <v>2586</v>
      </c>
      <c r="D64" s="10" t="s">
        <v>2587</v>
      </c>
      <c r="E64" s="9" t="str">
        <f>HYPERLINK("https://twitter.com/Jorge05283819/status/1354146293426380801","1354146293426380801")</f>
        <v>1354146293426380801</v>
      </c>
      <c r="F64" s="11" t="s">
        <v>2509</v>
      </c>
      <c r="G64" s="12"/>
      <c r="H64" s="12"/>
      <c r="I64" s="13">
        <v>0.0</v>
      </c>
      <c r="J64" s="13">
        <v>0.0</v>
      </c>
      <c r="K64" s="9" t="str">
        <f t="shared" si="14"/>
        <v>Twitter for Android</v>
      </c>
      <c r="L64" s="14">
        <v>3.0</v>
      </c>
      <c r="M64" s="14">
        <v>110.0</v>
      </c>
      <c r="N64" s="14">
        <v>0.0</v>
      </c>
      <c r="O64" s="19"/>
      <c r="P64" s="16">
        <v>43993.81711805555</v>
      </c>
      <c r="Q64" s="12"/>
      <c r="R64" s="12"/>
      <c r="S64" s="12"/>
      <c r="T64" s="12"/>
      <c r="U64" s="17" t="str">
        <f>HYPERLINK("https://pbs.twimg.com/profile_images/1328865973315702786/5YW-v_2M.jpg","View")</f>
        <v>View</v>
      </c>
      <c r="V64" s="12"/>
      <c r="W64" s="12"/>
      <c r="X64" s="12"/>
      <c r="Y64" s="12"/>
      <c r="Z64" s="12"/>
    </row>
    <row r="65">
      <c r="A65" s="8">
        <v>44222.55306712963</v>
      </c>
      <c r="B65" s="9" t="str">
        <f>HYPERLINK("https://twitter.com/CaraveoBertha","@CaraveoBertha")</f>
        <v>@CaraveoBertha</v>
      </c>
      <c r="C65" s="10" t="s">
        <v>2365</v>
      </c>
      <c r="D65" s="10" t="s">
        <v>2588</v>
      </c>
      <c r="E65" s="9" t="str">
        <f>HYPERLINK("https://twitter.com/CaraveoBertha/status/1354146192016297984","1354146192016297984")</f>
        <v>1354146192016297984</v>
      </c>
      <c r="F65" s="12"/>
      <c r="G65" s="12"/>
      <c r="H65" s="12"/>
      <c r="I65" s="13">
        <v>79.0</v>
      </c>
      <c r="J65" s="13">
        <v>153.0</v>
      </c>
      <c r="K65" s="9" t="str">
        <f>HYPERLINK("http://twitter.com/download/iphone","Twitter for iPhone")</f>
        <v>Twitter for iPhone</v>
      </c>
      <c r="L65" s="14">
        <v>7924.0</v>
      </c>
      <c r="M65" s="14">
        <v>612.0</v>
      </c>
      <c r="N65" s="14">
        <v>47.0</v>
      </c>
      <c r="O65" s="15" t="s">
        <v>24</v>
      </c>
      <c r="P65" s="16">
        <v>42074.41003472223</v>
      </c>
      <c r="Q65" s="10" t="s">
        <v>325</v>
      </c>
      <c r="R65" s="10" t="s">
        <v>2368</v>
      </c>
      <c r="S65" s="11" t="s">
        <v>2369</v>
      </c>
      <c r="T65" s="12"/>
      <c r="U65" s="17" t="str">
        <f>HYPERLINK("https://pbs.twimg.com/profile_images/1340084801240326145/zTWBHuO_.jpg","View")</f>
        <v>View</v>
      </c>
      <c r="V65" s="12"/>
      <c r="W65" s="12"/>
      <c r="X65" s="12"/>
      <c r="Y65" s="12"/>
      <c r="Z65" s="12"/>
    </row>
    <row r="66">
      <c r="A66" s="8">
        <v>44222.55273148148</v>
      </c>
      <c r="B66" s="9" t="str">
        <f>HYPERLINK("https://twitter.com/tonygucasi","@tonygucasi")</f>
        <v>@tonygucasi</v>
      </c>
      <c r="C66" s="10" t="s">
        <v>2589</v>
      </c>
      <c r="D66" s="10" t="s">
        <v>2590</v>
      </c>
      <c r="E66" s="9" t="str">
        <f>HYPERLINK("https://twitter.com/tonygucasi/status/1354146070050213888","1354146070050213888")</f>
        <v>1354146070050213888</v>
      </c>
      <c r="F66" s="11" t="s">
        <v>2591</v>
      </c>
      <c r="G66" s="12"/>
      <c r="H66" s="12"/>
      <c r="I66" s="13">
        <v>2.0</v>
      </c>
      <c r="J66" s="13">
        <v>1.0</v>
      </c>
      <c r="K66" s="9" t="str">
        <f>HYPERLINK("https://mobile.twitter.com","Twitter Web App")</f>
        <v>Twitter Web App</v>
      </c>
      <c r="L66" s="14">
        <v>1031.0</v>
      </c>
      <c r="M66" s="14">
        <v>1579.0</v>
      </c>
      <c r="N66" s="14">
        <v>2.0</v>
      </c>
      <c r="O66" s="19"/>
      <c r="P66" s="16">
        <v>43945.9399074074</v>
      </c>
      <c r="Q66" s="12"/>
      <c r="R66" s="10" t="s">
        <v>2592</v>
      </c>
      <c r="S66" s="12"/>
      <c r="T66" s="12"/>
      <c r="U66" s="17" t="str">
        <f>HYPERLINK("https://pbs.twimg.com/profile_images/1253890045896847360/IxEKnJ8R.jpg","View")</f>
        <v>View</v>
      </c>
      <c r="V66" s="12"/>
      <c r="W66" s="12"/>
      <c r="X66" s="12"/>
      <c r="Y66" s="12"/>
      <c r="Z66" s="12"/>
    </row>
    <row r="67">
      <c r="A67" s="8">
        <v>44222.552453703705</v>
      </c>
      <c r="B67" s="9" t="str">
        <f>HYPERLINK("https://twitter.com/tapia_olimpia","@tapia_olimpia")</f>
        <v>@tapia_olimpia</v>
      </c>
      <c r="C67" s="10" t="s">
        <v>2514</v>
      </c>
      <c r="D67" s="10" t="s">
        <v>2593</v>
      </c>
      <c r="E67" s="9" t="str">
        <f>HYPERLINK("https://twitter.com/tapia_olimpia/status/1354145970070515712","1354145970070515712")</f>
        <v>1354145970070515712</v>
      </c>
      <c r="F67" s="11" t="s">
        <v>2594</v>
      </c>
      <c r="G67" s="11" t="s">
        <v>2419</v>
      </c>
      <c r="H67" s="12"/>
      <c r="I67" s="13">
        <v>0.0</v>
      </c>
      <c r="J67" s="13">
        <v>3.0</v>
      </c>
      <c r="K67" s="9" t="str">
        <f>HYPERLINK("http://twitter.com/download/iphone","Twitter for iPhone")</f>
        <v>Twitter for iPhone</v>
      </c>
      <c r="L67" s="14">
        <v>5445.0</v>
      </c>
      <c r="M67" s="14">
        <v>4579.0</v>
      </c>
      <c r="N67" s="14">
        <v>8.0</v>
      </c>
      <c r="O67" s="19"/>
      <c r="P67" s="16">
        <v>42434.6446875</v>
      </c>
      <c r="Q67" s="12"/>
      <c r="R67" s="10" t="s">
        <v>2517</v>
      </c>
      <c r="S67" s="12"/>
      <c r="T67" s="12"/>
      <c r="U67" s="17" t="str">
        <f>HYPERLINK("https://pbs.twimg.com/profile_images/1324180581563867137/MAg-638G.jpg","View")</f>
        <v>View</v>
      </c>
      <c r="V67" s="12"/>
      <c r="W67" s="12"/>
      <c r="X67" s="12"/>
      <c r="Y67" s="12"/>
      <c r="Z67" s="12"/>
    </row>
    <row r="68">
      <c r="A68" s="8">
        <v>44222.55196759259</v>
      </c>
      <c r="B68" s="9" t="str">
        <f>HYPERLINK("https://twitter.com/POTUS_MEX","@POTUS_MEX")</f>
        <v>@POTUS_MEX</v>
      </c>
      <c r="C68" s="10" t="s">
        <v>2595</v>
      </c>
      <c r="D68" s="10" t="s">
        <v>2596</v>
      </c>
      <c r="E68" s="9" t="str">
        <f>HYPERLINK("https://twitter.com/POTUS_MEX/status/1354145794711040001","1354145794711040001")</f>
        <v>1354145794711040001</v>
      </c>
      <c r="F68" s="12"/>
      <c r="G68" s="12"/>
      <c r="H68" s="12"/>
      <c r="I68" s="13">
        <v>0.0</v>
      </c>
      <c r="J68" s="13">
        <v>0.0</v>
      </c>
      <c r="K68" s="9" t="str">
        <f>HYPERLINK("https://mobile.twitter.com","Twitter Web App")</f>
        <v>Twitter Web App</v>
      </c>
      <c r="L68" s="14">
        <v>1.0</v>
      </c>
      <c r="M68" s="14">
        <v>37.0</v>
      </c>
      <c r="N68" s="14">
        <v>0.0</v>
      </c>
      <c r="O68" s="19"/>
      <c r="P68" s="16">
        <v>43970.01503472222</v>
      </c>
      <c r="Q68" s="12"/>
      <c r="R68" s="12"/>
      <c r="S68" s="12"/>
      <c r="T68" s="12"/>
      <c r="U68" s="17" t="str">
        <f>HYPERLINK("https://pbs.twimg.com/profile_images/1312433581332013062/Ymrqr8vw.jpg","View")</f>
        <v>View</v>
      </c>
      <c r="V68" s="12"/>
      <c r="W68" s="12"/>
      <c r="X68" s="12"/>
      <c r="Y68" s="12"/>
      <c r="Z68" s="12"/>
    </row>
    <row r="69">
      <c r="A69" s="8">
        <v>44222.55181712963</v>
      </c>
      <c r="B69" s="9" t="str">
        <f>HYPERLINK("https://twitter.com/TeHablaDiego","@TeHablaDiego")</f>
        <v>@TeHablaDiego</v>
      </c>
      <c r="C69" s="10" t="s">
        <v>2597</v>
      </c>
      <c r="D69" s="10" t="s">
        <v>2598</v>
      </c>
      <c r="E69" s="9" t="str">
        <f>HYPERLINK("https://twitter.com/TeHablaDiego/status/1354145740159819776","1354145740159819776")</f>
        <v>1354145740159819776</v>
      </c>
      <c r="F69" s="12"/>
      <c r="G69" s="12"/>
      <c r="H69" s="12"/>
      <c r="I69" s="13">
        <v>0.0</v>
      </c>
      <c r="J69" s="13">
        <v>7.0</v>
      </c>
      <c r="K69" s="9" t="str">
        <f t="shared" ref="K69:K70" si="15">HYPERLINK("http://twitter.com/download/iphone","Twitter for iPhone")</f>
        <v>Twitter for iPhone</v>
      </c>
      <c r="L69" s="14">
        <v>3596.0</v>
      </c>
      <c r="M69" s="14">
        <v>4089.0</v>
      </c>
      <c r="N69" s="14">
        <v>18.0</v>
      </c>
      <c r="O69" s="19"/>
      <c r="P69" s="16">
        <v>41087.52657407407</v>
      </c>
      <c r="Q69" s="10" t="s">
        <v>325</v>
      </c>
      <c r="R69" s="10" t="s">
        <v>2599</v>
      </c>
      <c r="S69" s="12"/>
      <c r="T69" s="12"/>
      <c r="U69" s="17" t="str">
        <f>HYPERLINK("https://pbs.twimg.com/profile_images/1320233930956550145/ChcmEn81.jpg","View")</f>
        <v>View</v>
      </c>
      <c r="V69" s="12"/>
      <c r="W69" s="12"/>
      <c r="X69" s="12"/>
      <c r="Y69" s="12"/>
      <c r="Z69" s="12"/>
    </row>
    <row r="70">
      <c r="A70" s="8">
        <v>44222.55181712963</v>
      </c>
      <c r="B70" s="9" t="str">
        <f>HYPERLINK("https://twitter.com/padillacarlosmx","@padillacarlosmx")</f>
        <v>@padillacarlosmx</v>
      </c>
      <c r="C70" s="10" t="s">
        <v>2600</v>
      </c>
      <c r="D70" s="10" t="s">
        <v>2601</v>
      </c>
      <c r="E70" s="9" t="str">
        <f>HYPERLINK("https://twitter.com/padillacarlosmx/status/1354145739501416449","1354145739501416449")</f>
        <v>1354145739501416449</v>
      </c>
      <c r="F70" s="11" t="s">
        <v>2602</v>
      </c>
      <c r="G70" s="12"/>
      <c r="H70" s="12"/>
      <c r="I70" s="13">
        <v>12.0</v>
      </c>
      <c r="J70" s="13">
        <v>22.0</v>
      </c>
      <c r="K70" s="9" t="str">
        <f t="shared" si="15"/>
        <v>Twitter for iPhone</v>
      </c>
      <c r="L70" s="14">
        <v>16742.0</v>
      </c>
      <c r="M70" s="14">
        <v>4772.0</v>
      </c>
      <c r="N70" s="14">
        <v>21.0</v>
      </c>
      <c r="O70" s="19"/>
      <c r="P70" s="16">
        <v>43212.08333333333</v>
      </c>
      <c r="Q70" s="10" t="s">
        <v>2603</v>
      </c>
      <c r="R70" s="10" t="s">
        <v>2604</v>
      </c>
      <c r="S70" s="12"/>
      <c r="T70" s="12"/>
      <c r="U70" s="17" t="str">
        <f>HYPERLINK("https://pbs.twimg.com/profile_images/1323873604996603904/3X64qlI_.jpg","View")</f>
        <v>View</v>
      </c>
      <c r="V70" s="12"/>
      <c r="W70" s="12"/>
      <c r="X70" s="12"/>
      <c r="Y70" s="12"/>
      <c r="Z70" s="12"/>
    </row>
    <row r="71">
      <c r="A71" s="8">
        <v>44222.55145833333</v>
      </c>
      <c r="B71" s="9" t="str">
        <f>HYPERLINK("https://twitter.com/alfacevedoa","@alfacevedoa")</f>
        <v>@alfacevedoa</v>
      </c>
      <c r="C71" s="10" t="s">
        <v>2605</v>
      </c>
      <c r="D71" s="10" t="s">
        <v>2606</v>
      </c>
      <c r="E71" s="9" t="str">
        <f>HYPERLINK("https://twitter.com/alfacevedoa/status/1354145610090180609","1354145610090180609")</f>
        <v>1354145610090180609</v>
      </c>
      <c r="F71" s="12"/>
      <c r="G71" s="12"/>
      <c r="H71" s="12"/>
      <c r="I71" s="13">
        <v>0.0</v>
      </c>
      <c r="J71" s="13">
        <v>0.0</v>
      </c>
      <c r="K71" s="9" t="str">
        <f>HYPERLINK("https://mobile.twitter.com","Twitter Web App")</f>
        <v>Twitter Web App</v>
      </c>
      <c r="L71" s="14">
        <v>493.0</v>
      </c>
      <c r="M71" s="14">
        <v>1343.0</v>
      </c>
      <c r="N71" s="14">
        <v>2.0</v>
      </c>
      <c r="O71" s="19"/>
      <c r="P71" s="16">
        <v>40394.07945601852</v>
      </c>
      <c r="Q71" s="10" t="s">
        <v>413</v>
      </c>
      <c r="R71" s="10" t="s">
        <v>2607</v>
      </c>
      <c r="S71" s="11" t="s">
        <v>2608</v>
      </c>
      <c r="T71" s="12"/>
      <c r="U71" s="17" t="str">
        <f>HYPERLINK("https://pbs.twimg.com/profile_images/1262587696800608259/pMwDKdeI.jpg","View")</f>
        <v>View</v>
      </c>
      <c r="V71" s="12"/>
      <c r="W71" s="12"/>
      <c r="X71" s="12"/>
      <c r="Y71" s="12"/>
      <c r="Z71" s="12"/>
    </row>
    <row r="72">
      <c r="A72" s="8">
        <v>44222.551412037035</v>
      </c>
      <c r="B72" s="9" t="str">
        <f>HYPERLINK("https://twitter.com/chucho_neto","@chucho_neto")</f>
        <v>@chucho_neto</v>
      </c>
      <c r="C72" s="10" t="s">
        <v>2609</v>
      </c>
      <c r="D72" s="10" t="s">
        <v>2610</v>
      </c>
      <c r="E72" s="9" t="str">
        <f>HYPERLINK("https://twitter.com/chucho_neto/status/1354145590666555392","1354145590666555392")</f>
        <v>1354145590666555392</v>
      </c>
      <c r="F72" s="11" t="s">
        <v>2611</v>
      </c>
      <c r="G72" s="12"/>
      <c r="H72" s="12"/>
      <c r="I72" s="13">
        <v>0.0</v>
      </c>
      <c r="J72" s="13">
        <v>0.0</v>
      </c>
      <c r="K72" s="9" t="str">
        <f>HYPERLINK("http://twitter.com/download/android","Twitter for Android")</f>
        <v>Twitter for Android</v>
      </c>
      <c r="L72" s="14">
        <v>232.0</v>
      </c>
      <c r="M72" s="14">
        <v>545.0</v>
      </c>
      <c r="N72" s="14">
        <v>0.0</v>
      </c>
      <c r="O72" s="19"/>
      <c r="P72" s="16">
        <v>41182.86751157408</v>
      </c>
      <c r="Q72" s="10" t="s">
        <v>2612</v>
      </c>
      <c r="R72" s="10" t="s">
        <v>2613</v>
      </c>
      <c r="S72" s="12"/>
      <c r="T72" s="12"/>
      <c r="U72" s="17" t="str">
        <f>HYPERLINK("https://pbs.twimg.com/profile_images/1350250397429067780/fPhIhhra.jpg","View")</f>
        <v>View</v>
      </c>
      <c r="V72" s="12"/>
      <c r="W72" s="12"/>
      <c r="X72" s="12"/>
      <c r="Y72" s="12"/>
      <c r="Z72" s="12"/>
    </row>
    <row r="73">
      <c r="A73" s="8">
        <v>44222.55123842593</v>
      </c>
      <c r="B73" s="9" t="str">
        <f>HYPERLINK("https://twitter.com/JoseLuisRios_","@JoseLuisRios_")</f>
        <v>@JoseLuisRios_</v>
      </c>
      <c r="C73" s="10" t="s">
        <v>2614</v>
      </c>
      <c r="D73" s="10" t="s">
        <v>2615</v>
      </c>
      <c r="E73" s="9" t="str">
        <f>HYPERLINK("https://twitter.com/JoseLuisRios_/status/1354145527886204942","1354145527886204942")</f>
        <v>1354145527886204942</v>
      </c>
      <c r="F73" s="12"/>
      <c r="G73" s="12"/>
      <c r="H73" s="12"/>
      <c r="I73" s="13">
        <v>1.0</v>
      </c>
      <c r="J73" s="13">
        <v>2.0</v>
      </c>
      <c r="K73" s="9" t="str">
        <f>HYPERLINK("http://twitter.com/download/iphone","Twitter for iPhone")</f>
        <v>Twitter for iPhone</v>
      </c>
      <c r="L73" s="14">
        <v>1740.0</v>
      </c>
      <c r="M73" s="14">
        <v>1831.0</v>
      </c>
      <c r="N73" s="14">
        <v>11.0</v>
      </c>
      <c r="O73" s="19"/>
      <c r="P73" s="16">
        <v>41450.82398148148</v>
      </c>
      <c r="Q73" s="12"/>
      <c r="R73" s="10" t="s">
        <v>2616</v>
      </c>
      <c r="S73" s="12"/>
      <c r="T73" s="12"/>
      <c r="U73" s="17" t="str">
        <f>HYPERLINK("https://pbs.twimg.com/profile_images/525046304158670848/xxJqRnfK.jpeg","View")</f>
        <v>View</v>
      </c>
      <c r="V73" s="12"/>
      <c r="W73" s="12"/>
      <c r="X73" s="12"/>
      <c r="Y73" s="12"/>
      <c r="Z73" s="12"/>
    </row>
    <row r="74">
      <c r="A74" s="8">
        <v>44222.55082175926</v>
      </c>
      <c r="B74" s="9" t="str">
        <f>HYPERLINK("https://twitter.com/RoceAxel","@RoceAxel")</f>
        <v>@RoceAxel</v>
      </c>
      <c r="C74" s="10" t="s">
        <v>2439</v>
      </c>
      <c r="D74" s="10" t="s">
        <v>2617</v>
      </c>
      <c r="E74" s="9" t="str">
        <f>HYPERLINK("https://twitter.com/RoceAxel/status/1354145378980032512","1354145378980032512")</f>
        <v>1354145378980032512</v>
      </c>
      <c r="F74" s="10" t="s">
        <v>2618</v>
      </c>
      <c r="G74" s="11" t="s">
        <v>2619</v>
      </c>
      <c r="H74" s="12"/>
      <c r="I74" s="13">
        <v>1.0</v>
      </c>
      <c r="J74" s="13">
        <v>1.0</v>
      </c>
      <c r="K74" s="9" t="str">
        <f t="shared" ref="K74:K75" si="16">HYPERLINK("http://twitter.com/download/android","Twitter for Android")</f>
        <v>Twitter for Android</v>
      </c>
      <c r="L74" s="14">
        <v>313.0</v>
      </c>
      <c r="M74" s="14">
        <v>439.0</v>
      </c>
      <c r="N74" s="14">
        <v>0.0</v>
      </c>
      <c r="O74" s="19"/>
      <c r="P74" s="16">
        <v>43880.46703703704</v>
      </c>
      <c r="Q74" s="12"/>
      <c r="R74" s="10" t="s">
        <v>2441</v>
      </c>
      <c r="S74" s="12"/>
      <c r="T74" s="12"/>
      <c r="U74" s="17" t="str">
        <f>HYPERLINK("https://pbs.twimg.com/profile_images/1329265710380560385/vypnLLT9.jpg","View")</f>
        <v>View</v>
      </c>
      <c r="V74" s="12"/>
      <c r="W74" s="12"/>
      <c r="X74" s="12"/>
      <c r="Y74" s="12"/>
      <c r="Z74" s="12"/>
    </row>
    <row r="75">
      <c r="A75" s="8">
        <v>44222.55017361111</v>
      </c>
      <c r="B75" s="9" t="str">
        <f>HYPERLINK("https://twitter.com/tenejapanboy","@tenejapanboy")</f>
        <v>@tenejapanboy</v>
      </c>
      <c r="C75" s="10" t="s">
        <v>2518</v>
      </c>
      <c r="D75" s="10" t="s">
        <v>2620</v>
      </c>
      <c r="E75" s="9" t="str">
        <f>HYPERLINK("https://twitter.com/tenejapanboy/status/1354145142060548098","1354145142060548098")</f>
        <v>1354145142060548098</v>
      </c>
      <c r="F75" s="12"/>
      <c r="G75" s="11" t="s">
        <v>2621</v>
      </c>
      <c r="H75" s="12"/>
      <c r="I75" s="13">
        <v>0.0</v>
      </c>
      <c r="J75" s="13">
        <v>0.0</v>
      </c>
      <c r="K75" s="9" t="str">
        <f t="shared" si="16"/>
        <v>Twitter for Android</v>
      </c>
      <c r="L75" s="14">
        <v>3905.0</v>
      </c>
      <c r="M75" s="14">
        <v>2187.0</v>
      </c>
      <c r="N75" s="14">
        <v>55.0</v>
      </c>
      <c r="O75" s="19"/>
      <c r="P75" s="16">
        <v>40294.70891203704</v>
      </c>
      <c r="Q75" s="10" t="s">
        <v>2521</v>
      </c>
      <c r="R75" s="10" t="s">
        <v>2522</v>
      </c>
      <c r="S75" s="11" t="s">
        <v>2523</v>
      </c>
      <c r="T75" s="12"/>
      <c r="U75" s="17" t="str">
        <f>HYPERLINK("https://pbs.twimg.com/profile_images/1320931503916740609/zEm3W5a7.jpg","View")</f>
        <v>View</v>
      </c>
      <c r="V75" s="12"/>
      <c r="W75" s="12"/>
      <c r="X75" s="12"/>
      <c r="Y75" s="12"/>
      <c r="Z75" s="12"/>
    </row>
    <row r="76">
      <c r="A76" s="8">
        <v>44222.5499537037</v>
      </c>
      <c r="B76" s="9" t="str">
        <f>HYPERLINK("https://twitter.com/karenlafun01","@karenlafun01")</f>
        <v>@karenlafun01</v>
      </c>
      <c r="C76" s="10" t="s">
        <v>2622</v>
      </c>
      <c r="D76" s="10" t="s">
        <v>2623</v>
      </c>
      <c r="E76" s="9" t="str">
        <f>HYPERLINK("https://twitter.com/karenlafun01/status/1354145063404756992","1354145063404756992")</f>
        <v>1354145063404756992</v>
      </c>
      <c r="F76" s="11" t="s">
        <v>2624</v>
      </c>
      <c r="G76" s="12"/>
      <c r="H76" s="12"/>
      <c r="I76" s="13">
        <v>2.0</v>
      </c>
      <c r="J76" s="13">
        <v>3.0</v>
      </c>
      <c r="K76" s="9" t="str">
        <f>HYPERLINK("https://mobile.twitter.com","Twitter Web App")</f>
        <v>Twitter Web App</v>
      </c>
      <c r="L76" s="14">
        <v>8919.0</v>
      </c>
      <c r="M76" s="14">
        <v>8843.0</v>
      </c>
      <c r="N76" s="14">
        <v>7.0</v>
      </c>
      <c r="O76" s="19"/>
      <c r="P76" s="16">
        <v>44013.68747685185</v>
      </c>
      <c r="Q76" s="12"/>
      <c r="R76" s="10" t="s">
        <v>2625</v>
      </c>
      <c r="S76" s="12"/>
      <c r="T76" s="12"/>
      <c r="U76" s="17" t="str">
        <f>HYPERLINK("https://pbs.twimg.com/profile_images/1307096083378638848/7F-h9uOO.jpg","View")</f>
        <v>View</v>
      </c>
      <c r="V76" s="12"/>
      <c r="W76" s="12"/>
      <c r="X76" s="12"/>
      <c r="Y76" s="12"/>
      <c r="Z76" s="12"/>
    </row>
    <row r="77">
      <c r="A77" s="8">
        <v>44222.54956018519</v>
      </c>
      <c r="B77" s="9" t="str">
        <f>HYPERLINK("https://twitter.com/Heiinkel","@Heiinkel")</f>
        <v>@Heiinkel</v>
      </c>
      <c r="C77" s="10" t="s">
        <v>2626</v>
      </c>
      <c r="D77" s="10" t="s">
        <v>2627</v>
      </c>
      <c r="E77" s="9" t="str">
        <f>HYPERLINK("https://twitter.com/Heiinkel/status/1354144920534200320","1354144920534200320")</f>
        <v>1354144920534200320</v>
      </c>
      <c r="F77" s="10" t="s">
        <v>2628</v>
      </c>
      <c r="G77" s="11" t="s">
        <v>2629</v>
      </c>
      <c r="H77" s="12"/>
      <c r="I77" s="13">
        <v>0.0</v>
      </c>
      <c r="J77" s="13">
        <v>2.0</v>
      </c>
      <c r="K77" s="9" t="str">
        <f>HYPERLINK("http://twitter.com/download/android","Twitter for Android")</f>
        <v>Twitter for Android</v>
      </c>
      <c r="L77" s="14">
        <v>3972.0</v>
      </c>
      <c r="M77" s="14">
        <v>1030.0</v>
      </c>
      <c r="N77" s="14">
        <v>7.0</v>
      </c>
      <c r="O77" s="19"/>
      <c r="P77" s="16">
        <v>41322.545902777776</v>
      </c>
      <c r="Q77" s="10" t="s">
        <v>2630</v>
      </c>
      <c r="R77" s="10" t="s">
        <v>2631</v>
      </c>
      <c r="S77" s="11" t="s">
        <v>2632</v>
      </c>
      <c r="T77" s="12"/>
      <c r="U77" s="17" t="str">
        <f>HYPERLINK("https://pbs.twimg.com/profile_images/1348780178135281665/01q7lnZj.jpg","View")</f>
        <v>View</v>
      </c>
      <c r="V77" s="12"/>
      <c r="W77" s="12"/>
      <c r="X77" s="12"/>
      <c r="Y77" s="12"/>
      <c r="Z77" s="12"/>
    </row>
    <row r="78">
      <c r="A78" s="8">
        <v>44222.54920138889</v>
      </c>
      <c r="B78" s="9" t="str">
        <f>HYPERLINK("https://twitter.com/ferbelaunzaran","@ferbelaunzaran")</f>
        <v>@ferbelaunzaran</v>
      </c>
      <c r="C78" s="10" t="s">
        <v>933</v>
      </c>
      <c r="D78" s="10" t="s">
        <v>2633</v>
      </c>
      <c r="E78" s="9" t="str">
        <f>HYPERLINK("https://twitter.com/ferbelaunzaran/status/1354144790506467329","1354144790506467329")</f>
        <v>1354144790506467329</v>
      </c>
      <c r="F78" s="11" t="s">
        <v>2634</v>
      </c>
      <c r="G78" s="12"/>
      <c r="H78" s="12"/>
      <c r="I78" s="13">
        <v>31.0</v>
      </c>
      <c r="J78" s="13">
        <v>113.0</v>
      </c>
      <c r="K78" s="9" t="str">
        <f t="shared" ref="K78:K79" si="17">HYPERLINK("http://twitter.com/download/iphone","Twitter for iPhone")</f>
        <v>Twitter for iPhone</v>
      </c>
      <c r="L78" s="14">
        <v>283682.0</v>
      </c>
      <c r="M78" s="14">
        <v>20336.0</v>
      </c>
      <c r="N78" s="14">
        <v>1351.0</v>
      </c>
      <c r="O78" s="15" t="s">
        <v>24</v>
      </c>
      <c r="P78" s="16">
        <v>40223.883634259255</v>
      </c>
      <c r="Q78" s="10" t="s">
        <v>936</v>
      </c>
      <c r="R78" s="10" t="s">
        <v>937</v>
      </c>
      <c r="S78" s="11" t="s">
        <v>938</v>
      </c>
      <c r="T78" s="12"/>
      <c r="U78" s="17" t="str">
        <f>HYPERLINK("https://pbs.twimg.com/profile_images/1167575213753720832/GEvWQQkP.jpg","View")</f>
        <v>View</v>
      </c>
      <c r="V78" s="12"/>
      <c r="W78" s="12"/>
      <c r="X78" s="12"/>
      <c r="Y78" s="12"/>
      <c r="Z78" s="12"/>
    </row>
    <row r="79">
      <c r="A79" s="8">
        <v>44222.54855324074</v>
      </c>
      <c r="B79" s="9" t="str">
        <f>HYPERLINK("https://twitter.com/Maurocp88","@Maurocp88")</f>
        <v>@Maurocp88</v>
      </c>
      <c r="C79" s="10" t="s">
        <v>2635</v>
      </c>
      <c r="D79" s="10" t="s">
        <v>2636</v>
      </c>
      <c r="E79" s="9" t="str">
        <f>HYPERLINK("https://twitter.com/Maurocp88/status/1354144553838718976","1354144553838718976")</f>
        <v>1354144553838718976</v>
      </c>
      <c r="F79" s="12"/>
      <c r="G79" s="12"/>
      <c r="H79" s="12"/>
      <c r="I79" s="13">
        <v>0.0</v>
      </c>
      <c r="J79" s="13">
        <v>0.0</v>
      </c>
      <c r="K79" s="9" t="str">
        <f t="shared" si="17"/>
        <v>Twitter for iPhone</v>
      </c>
      <c r="L79" s="14">
        <v>375.0</v>
      </c>
      <c r="M79" s="14">
        <v>525.0</v>
      </c>
      <c r="N79" s="14">
        <v>4.0</v>
      </c>
      <c r="O79" s="19"/>
      <c r="P79" s="16">
        <v>40670.863958333335</v>
      </c>
      <c r="Q79" s="12"/>
      <c r="R79" s="12"/>
      <c r="S79" s="12"/>
      <c r="T79" s="12"/>
      <c r="U79" s="17" t="str">
        <f>HYPERLINK("https://pbs.twimg.com/profile_images/1339796022445391872/3vYIPwGt.jpg","View")</f>
        <v>View</v>
      </c>
      <c r="V79" s="12"/>
      <c r="W79" s="12"/>
      <c r="X79" s="12"/>
      <c r="Y79" s="12"/>
      <c r="Z79" s="12"/>
    </row>
    <row r="80">
      <c r="A80" s="8">
        <v>44222.54825231481</v>
      </c>
      <c r="B80" s="9" t="str">
        <f>HYPERLINK("https://twitter.com/Pipianero","@Pipianero")</f>
        <v>@Pipianero</v>
      </c>
      <c r="C80" s="10" t="s">
        <v>2637</v>
      </c>
      <c r="D80" s="10" t="s">
        <v>2638</v>
      </c>
      <c r="E80" s="9" t="str">
        <f>HYPERLINK("https://twitter.com/Pipianero/status/1354144446669942784","1354144446669942784")</f>
        <v>1354144446669942784</v>
      </c>
      <c r="F80" s="12"/>
      <c r="G80" s="11" t="s">
        <v>2639</v>
      </c>
      <c r="H80" s="12"/>
      <c r="I80" s="13">
        <v>0.0</v>
      </c>
      <c r="J80" s="13">
        <v>1.0</v>
      </c>
      <c r="K80" s="9" t="str">
        <f t="shared" ref="K80:K82" si="18">HYPERLINK("http://twitter.com/download/android","Twitter for Android")</f>
        <v>Twitter for Android</v>
      </c>
      <c r="L80" s="14">
        <v>445.0</v>
      </c>
      <c r="M80" s="14">
        <v>1323.0</v>
      </c>
      <c r="N80" s="14">
        <v>3.0</v>
      </c>
      <c r="O80" s="19"/>
      <c r="P80" s="16">
        <v>40927.588425925926</v>
      </c>
      <c r="Q80" s="10" t="s">
        <v>2640</v>
      </c>
      <c r="R80" s="10" t="s">
        <v>2641</v>
      </c>
      <c r="S80" s="12"/>
      <c r="T80" s="12"/>
      <c r="U80" s="17" t="str">
        <f>HYPERLINK("https://pbs.twimg.com/profile_images/1172495210326167553/l64WSvas.jpg","View")</f>
        <v>View</v>
      </c>
      <c r="V80" s="12"/>
      <c r="W80" s="12"/>
      <c r="X80" s="12"/>
      <c r="Y80" s="12"/>
      <c r="Z80" s="12"/>
    </row>
    <row r="81">
      <c r="A81" s="8">
        <v>44222.54791666666</v>
      </c>
      <c r="B81" s="9" t="str">
        <f>HYPERLINK("https://twitter.com/un_individuo","@un_individuo")</f>
        <v>@un_individuo</v>
      </c>
      <c r="C81" s="10" t="s">
        <v>2642</v>
      </c>
      <c r="D81" s="10" t="s">
        <v>2643</v>
      </c>
      <c r="E81" s="9" t="str">
        <f>HYPERLINK("https://twitter.com/un_individuo/status/1354144323856556032","1354144323856556032")</f>
        <v>1354144323856556032</v>
      </c>
      <c r="F81" s="11" t="s">
        <v>2644</v>
      </c>
      <c r="G81" s="12"/>
      <c r="H81" s="12"/>
      <c r="I81" s="13">
        <v>0.0</v>
      </c>
      <c r="J81" s="13">
        <v>1.0</v>
      </c>
      <c r="K81" s="9" t="str">
        <f t="shared" si="18"/>
        <v>Twitter for Android</v>
      </c>
      <c r="L81" s="14">
        <v>2271.0</v>
      </c>
      <c r="M81" s="14">
        <v>4953.0</v>
      </c>
      <c r="N81" s="14">
        <v>7.0</v>
      </c>
      <c r="O81" s="19"/>
      <c r="P81" s="16">
        <v>40268.802719907406</v>
      </c>
      <c r="Q81" s="12"/>
      <c r="R81" s="12"/>
      <c r="S81" s="12"/>
      <c r="T81" s="12"/>
      <c r="U81" s="17" t="str">
        <f>HYPERLINK("https://pbs.twimg.com/profile_images/1146513851984359425/IfQq14-Y.jpg","View")</f>
        <v>View</v>
      </c>
      <c r="V81" s="12"/>
      <c r="W81" s="12"/>
      <c r="X81" s="12"/>
      <c r="Y81" s="12"/>
      <c r="Z81" s="12"/>
    </row>
    <row r="82">
      <c r="A82" s="8">
        <v>44222.547627314816</v>
      </c>
      <c r="B82" s="9" t="str">
        <f>HYPERLINK("https://twitter.com/MauCeballos71","@MauCeballos71")</f>
        <v>@MauCeballos71</v>
      </c>
      <c r="C82" s="10" t="s">
        <v>2645</v>
      </c>
      <c r="D82" s="10" t="s">
        <v>2646</v>
      </c>
      <c r="E82" s="9" t="str">
        <f>HYPERLINK("https://twitter.com/MauCeballos71/status/1354144218290085888","1354144218290085888")</f>
        <v>1354144218290085888</v>
      </c>
      <c r="F82" s="12"/>
      <c r="G82" s="12"/>
      <c r="H82" s="12"/>
      <c r="I82" s="13">
        <v>0.0</v>
      </c>
      <c r="J82" s="13">
        <v>1.0</v>
      </c>
      <c r="K82" s="9" t="str">
        <f t="shared" si="18"/>
        <v>Twitter for Android</v>
      </c>
      <c r="L82" s="14">
        <v>7561.0</v>
      </c>
      <c r="M82" s="14">
        <v>6497.0</v>
      </c>
      <c r="N82" s="14">
        <v>46.0</v>
      </c>
      <c r="O82" s="19"/>
      <c r="P82" s="16">
        <v>40266.70820601852</v>
      </c>
      <c r="Q82" s="10" t="s">
        <v>2647</v>
      </c>
      <c r="R82" s="10" t="s">
        <v>2648</v>
      </c>
      <c r="S82" s="11" t="s">
        <v>2649</v>
      </c>
      <c r="T82" s="12"/>
      <c r="U82" s="17" t="str">
        <f>HYPERLINK("https://pbs.twimg.com/profile_images/1087907166768500738/f7rTH9lr.jpg","View")</f>
        <v>View</v>
      </c>
      <c r="V82" s="12"/>
      <c r="W82" s="12"/>
      <c r="X82" s="12"/>
      <c r="Y82" s="12"/>
      <c r="Z82" s="12"/>
    </row>
    <row r="83">
      <c r="A83" s="8">
        <v>44222.54726851852</v>
      </c>
      <c r="B83" s="9" t="str">
        <f>HYPERLINK("https://twitter.com/CaraveoBertha","@CaraveoBertha")</f>
        <v>@CaraveoBertha</v>
      </c>
      <c r="C83" s="10" t="s">
        <v>2365</v>
      </c>
      <c r="D83" s="10" t="s">
        <v>2650</v>
      </c>
      <c r="E83" s="9" t="str">
        <f>HYPERLINK("https://twitter.com/CaraveoBertha/status/1354144087998251008","1354144087998251008")</f>
        <v>1354144087998251008</v>
      </c>
      <c r="F83" s="11" t="s">
        <v>2651</v>
      </c>
      <c r="G83" s="12"/>
      <c r="H83" s="12"/>
      <c r="I83" s="13">
        <v>3.0</v>
      </c>
      <c r="J83" s="13">
        <v>8.0</v>
      </c>
      <c r="K83" s="9" t="str">
        <f>HYPERLINK("http://twitter.com/download/iphone","Twitter for iPhone")</f>
        <v>Twitter for iPhone</v>
      </c>
      <c r="L83" s="14">
        <v>7924.0</v>
      </c>
      <c r="M83" s="14">
        <v>612.0</v>
      </c>
      <c r="N83" s="14">
        <v>47.0</v>
      </c>
      <c r="O83" s="15" t="s">
        <v>24</v>
      </c>
      <c r="P83" s="16">
        <v>42074.41003472223</v>
      </c>
      <c r="Q83" s="10" t="s">
        <v>325</v>
      </c>
      <c r="R83" s="10" t="s">
        <v>2368</v>
      </c>
      <c r="S83" s="11" t="s">
        <v>2369</v>
      </c>
      <c r="T83" s="12"/>
      <c r="U83" s="17" t="str">
        <f>HYPERLINK("https://pbs.twimg.com/profile_images/1340084801240326145/zTWBHuO_.jpg","View")</f>
        <v>View</v>
      </c>
      <c r="V83" s="12"/>
      <c r="W83" s="12"/>
      <c r="X83" s="12"/>
      <c r="Y83" s="12"/>
      <c r="Z83" s="12"/>
    </row>
    <row r="84">
      <c r="A84" s="8">
        <v>44222.547164351854</v>
      </c>
      <c r="B84" s="9" t="str">
        <f>HYPERLINK("https://twitter.com/cahotiyermadi","@cahotiyermadi")</f>
        <v>@cahotiyermadi</v>
      </c>
      <c r="C84" s="10" t="s">
        <v>2652</v>
      </c>
      <c r="D84" s="10" t="s">
        <v>2653</v>
      </c>
      <c r="E84" s="9" t="str">
        <f>HYPERLINK("https://twitter.com/cahotiyermadi/status/1354144051809964033","1354144051809964033")</f>
        <v>1354144051809964033</v>
      </c>
      <c r="F84" s="10" t="s">
        <v>2654</v>
      </c>
      <c r="G84" s="12"/>
      <c r="H84" s="12"/>
      <c r="I84" s="13">
        <v>0.0</v>
      </c>
      <c r="J84" s="13">
        <v>0.0</v>
      </c>
      <c r="K84" s="9" t="str">
        <f>HYPERLINK("https://mobile.twitter.com","Twitter Web App")</f>
        <v>Twitter Web App</v>
      </c>
      <c r="L84" s="14">
        <v>753.0</v>
      </c>
      <c r="M84" s="14">
        <v>742.0</v>
      </c>
      <c r="N84" s="14">
        <v>1.0</v>
      </c>
      <c r="O84" s="19"/>
      <c r="P84" s="16">
        <v>43838.61381944444</v>
      </c>
      <c r="Q84" s="12"/>
      <c r="R84" s="10" t="s">
        <v>2655</v>
      </c>
      <c r="S84" s="12"/>
      <c r="T84" s="12"/>
      <c r="U84" s="17" t="str">
        <f>HYPERLINK("https://pbs.twimg.com/profile_images/1338675559526768640/Eo3AytLi.jpg","View")</f>
        <v>View</v>
      </c>
      <c r="V84" s="12"/>
      <c r="W84" s="12"/>
      <c r="X84" s="12"/>
      <c r="Y84" s="12"/>
      <c r="Z84" s="12"/>
    </row>
    <row r="85">
      <c r="A85" s="8">
        <v>44222.54703703704</v>
      </c>
      <c r="B85" s="9" t="str">
        <f>HYPERLINK("https://twitter.com/silviamorc","@silviamorc")</f>
        <v>@silviamorc</v>
      </c>
      <c r="C85" s="10" t="s">
        <v>2656</v>
      </c>
      <c r="D85" s="10" t="s">
        <v>2657</v>
      </c>
      <c r="E85" s="9" t="str">
        <f>HYPERLINK("https://twitter.com/silviamorc/status/1354144004623884289","1354144004623884289")</f>
        <v>1354144004623884289</v>
      </c>
      <c r="F85" s="10" t="s">
        <v>2461</v>
      </c>
      <c r="G85" s="12"/>
      <c r="H85" s="12"/>
      <c r="I85" s="13">
        <v>0.0</v>
      </c>
      <c r="J85" s="13">
        <v>0.0</v>
      </c>
      <c r="K85" s="9" t="str">
        <f>HYPERLINK("http://twitter.com/#!/download/ipad","Twitter for iPad")</f>
        <v>Twitter for iPad</v>
      </c>
      <c r="L85" s="14">
        <v>69.0</v>
      </c>
      <c r="M85" s="14">
        <v>123.0</v>
      </c>
      <c r="N85" s="14">
        <v>0.0</v>
      </c>
      <c r="O85" s="19"/>
      <c r="P85" s="16">
        <v>40425.05965277778</v>
      </c>
      <c r="Q85" s="10" t="s">
        <v>2658</v>
      </c>
      <c r="R85" s="10" t="s">
        <v>2659</v>
      </c>
      <c r="S85" s="12"/>
      <c r="T85" s="12"/>
      <c r="U85" s="17" t="str">
        <f>HYPERLINK("https://pbs.twimg.com/profile_images/1295572910631866370/XokfeoP3.jpg","View")</f>
        <v>View</v>
      </c>
      <c r="V85" s="12"/>
      <c r="W85" s="12"/>
      <c r="X85" s="12"/>
      <c r="Y85" s="12"/>
      <c r="Z85" s="12"/>
    </row>
    <row r="86">
      <c r="A86" s="8">
        <v>44222.546956018516</v>
      </c>
      <c r="B86" s="9" t="str">
        <f>HYPERLINK("https://twitter.com/ElchamoAmlove","@ElchamoAmlove")</f>
        <v>@ElchamoAmlove</v>
      </c>
      <c r="C86" s="10" t="s">
        <v>2660</v>
      </c>
      <c r="D86" s="10" t="s">
        <v>2661</v>
      </c>
      <c r="E86" s="9" t="str">
        <f>HYPERLINK("https://twitter.com/ElchamoAmlove/status/1354143977646268417","1354143977646268417")</f>
        <v>1354143977646268417</v>
      </c>
      <c r="F86" s="12"/>
      <c r="G86" s="12"/>
      <c r="H86" s="12"/>
      <c r="I86" s="13">
        <v>0.0</v>
      </c>
      <c r="J86" s="13">
        <v>0.0</v>
      </c>
      <c r="K86" s="9" t="str">
        <f t="shared" ref="K86:K87" si="19">HYPERLINK("http://twitter.com/download/android","Twitter for Android")</f>
        <v>Twitter for Android</v>
      </c>
      <c r="L86" s="14">
        <v>2098.0</v>
      </c>
      <c r="M86" s="14">
        <v>1467.0</v>
      </c>
      <c r="N86" s="14">
        <v>2.0</v>
      </c>
      <c r="O86" s="19"/>
      <c r="P86" s="16">
        <v>43420.71986111111</v>
      </c>
      <c r="Q86" s="10" t="s">
        <v>526</v>
      </c>
      <c r="R86" s="10" t="s">
        <v>2662</v>
      </c>
      <c r="S86" s="12"/>
      <c r="T86" s="12"/>
      <c r="U86" s="17" t="str">
        <f>HYPERLINK("https://pbs.twimg.com/profile_images/1309726514984947712/zJk1KpdO.jpg","View")</f>
        <v>View</v>
      </c>
      <c r="V86" s="12"/>
      <c r="W86" s="12"/>
      <c r="X86" s="12"/>
      <c r="Y86" s="12"/>
      <c r="Z86" s="12"/>
    </row>
    <row r="87">
      <c r="A87" s="8">
        <v>44222.54618055555</v>
      </c>
      <c r="B87" s="9" t="str">
        <f>HYPERLINK("https://twitter.com/PortLuisVallgim","@PortLuisVallgim")</f>
        <v>@PortLuisVallgim</v>
      </c>
      <c r="C87" s="10" t="s">
        <v>2663</v>
      </c>
      <c r="D87" s="10" t="s">
        <v>2664</v>
      </c>
      <c r="E87" s="9" t="str">
        <f>HYPERLINK("https://twitter.com/PortLuisVallgim/status/1354143696850210816","1354143696850210816")</f>
        <v>1354143696850210816</v>
      </c>
      <c r="F87" s="12"/>
      <c r="G87" s="12"/>
      <c r="H87" s="12"/>
      <c r="I87" s="13">
        <v>0.0</v>
      </c>
      <c r="J87" s="13">
        <v>0.0</v>
      </c>
      <c r="K87" s="9" t="str">
        <f t="shared" si="19"/>
        <v>Twitter for Android</v>
      </c>
      <c r="L87" s="14">
        <v>89.0</v>
      </c>
      <c r="M87" s="14">
        <v>332.0</v>
      </c>
      <c r="N87" s="14">
        <v>0.0</v>
      </c>
      <c r="O87" s="19"/>
      <c r="P87" s="16">
        <v>42332.681226851855</v>
      </c>
      <c r="Q87" s="12"/>
      <c r="R87" s="12"/>
      <c r="S87" s="12"/>
      <c r="T87" s="12"/>
      <c r="U87" s="17" t="str">
        <f>HYPERLINK("https://pbs.twimg.com/profile_images/1281670222097911808/_tkUxlYe.jpg","View")</f>
        <v>View</v>
      </c>
      <c r="V87" s="12"/>
      <c r="W87" s="12"/>
      <c r="X87" s="12"/>
      <c r="Y87" s="12"/>
      <c r="Z87" s="12"/>
    </row>
    <row r="88">
      <c r="A88" s="8">
        <v>44222.54609953704</v>
      </c>
      <c r="B88" s="9" t="str">
        <f>HYPERLINK("https://twitter.com/CaraveoBertha","@CaraveoBertha")</f>
        <v>@CaraveoBertha</v>
      </c>
      <c r="C88" s="10" t="s">
        <v>2365</v>
      </c>
      <c r="D88" s="10" t="s">
        <v>2665</v>
      </c>
      <c r="E88" s="9" t="str">
        <f>HYPERLINK("https://twitter.com/CaraveoBertha/status/1354143666676195328","1354143666676195328")</f>
        <v>1354143666676195328</v>
      </c>
      <c r="F88" s="12"/>
      <c r="G88" s="12"/>
      <c r="H88" s="12"/>
      <c r="I88" s="13">
        <v>12.0</v>
      </c>
      <c r="J88" s="13">
        <v>13.0</v>
      </c>
      <c r="K88" s="9" t="str">
        <f>HYPERLINK("http://twitter.com/download/iphone","Twitter for iPhone")</f>
        <v>Twitter for iPhone</v>
      </c>
      <c r="L88" s="14">
        <v>7924.0</v>
      </c>
      <c r="M88" s="14">
        <v>612.0</v>
      </c>
      <c r="N88" s="14">
        <v>47.0</v>
      </c>
      <c r="O88" s="15" t="s">
        <v>24</v>
      </c>
      <c r="P88" s="16">
        <v>42074.41003472223</v>
      </c>
      <c r="Q88" s="10" t="s">
        <v>325</v>
      </c>
      <c r="R88" s="10" t="s">
        <v>2368</v>
      </c>
      <c r="S88" s="11" t="s">
        <v>2369</v>
      </c>
      <c r="T88" s="12"/>
      <c r="U88" s="17" t="str">
        <f>HYPERLINK("https://pbs.twimg.com/profile_images/1340084801240326145/zTWBHuO_.jpg","View")</f>
        <v>View</v>
      </c>
      <c r="V88" s="12"/>
      <c r="W88" s="12"/>
      <c r="X88" s="12"/>
      <c r="Y88" s="12"/>
      <c r="Z88" s="12"/>
    </row>
    <row r="89">
      <c r="A89" s="8">
        <v>44222.54603009259</v>
      </c>
      <c r="B89" s="9" t="str">
        <f>HYPERLINK("https://twitter.com/DianaMtzHdz3","@DianaMtzHdz3")</f>
        <v>@DianaMtzHdz3</v>
      </c>
      <c r="C89" s="10" t="s">
        <v>2666</v>
      </c>
      <c r="D89" s="10" t="s">
        <v>2667</v>
      </c>
      <c r="E89" s="9" t="str">
        <f>HYPERLINK("https://twitter.com/DianaMtzHdz3/status/1354143641732788224","1354143641732788224")</f>
        <v>1354143641732788224</v>
      </c>
      <c r="F89" s="12"/>
      <c r="G89" s="12"/>
      <c r="H89" s="12"/>
      <c r="I89" s="13">
        <v>1.0</v>
      </c>
      <c r="J89" s="13">
        <v>2.0</v>
      </c>
      <c r="K89" s="9" t="str">
        <f t="shared" ref="K89:K93" si="20">HYPERLINK("http://twitter.com/download/android","Twitter for Android")</f>
        <v>Twitter for Android</v>
      </c>
      <c r="L89" s="14">
        <v>451.0</v>
      </c>
      <c r="M89" s="14">
        <v>527.0</v>
      </c>
      <c r="N89" s="14">
        <v>2.0</v>
      </c>
      <c r="O89" s="19"/>
      <c r="P89" s="16">
        <v>44201.03465277777</v>
      </c>
      <c r="Q89" s="12"/>
      <c r="R89" s="10" t="s">
        <v>2668</v>
      </c>
      <c r="S89" s="12"/>
      <c r="T89" s="12"/>
      <c r="U89" s="17" t="str">
        <f>HYPERLINK("https://pbs.twimg.com/profile_images/1346348438603051008/0PK4JYQx.jpg","View")</f>
        <v>View</v>
      </c>
      <c r="V89" s="12"/>
      <c r="W89" s="12"/>
      <c r="X89" s="12"/>
      <c r="Y89" s="12"/>
      <c r="Z89" s="12"/>
    </row>
    <row r="90">
      <c r="A90" s="8">
        <v>44222.54582175926</v>
      </c>
      <c r="B90" s="9" t="str">
        <f>HYPERLINK("https://twitter.com/TAMBORRELmx","@TAMBORRELmx")</f>
        <v>@TAMBORRELmx</v>
      </c>
      <c r="C90" s="10" t="s">
        <v>2669</v>
      </c>
      <c r="D90" s="10" t="s">
        <v>2670</v>
      </c>
      <c r="E90" s="9" t="str">
        <f>HYPERLINK("https://twitter.com/TAMBORRELmx/status/1354143566654812161","1354143566654812161")</f>
        <v>1354143566654812161</v>
      </c>
      <c r="F90" s="12"/>
      <c r="G90" s="12"/>
      <c r="H90" s="12"/>
      <c r="I90" s="13">
        <v>0.0</v>
      </c>
      <c r="J90" s="13">
        <v>1.0</v>
      </c>
      <c r="K90" s="9" t="str">
        <f t="shared" si="20"/>
        <v>Twitter for Android</v>
      </c>
      <c r="L90" s="14">
        <v>8276.0</v>
      </c>
      <c r="M90" s="14">
        <v>2779.0</v>
      </c>
      <c r="N90" s="14">
        <v>116.0</v>
      </c>
      <c r="O90" s="19"/>
      <c r="P90" s="16">
        <v>40563.68849537037</v>
      </c>
      <c r="Q90" s="10" t="s">
        <v>2671</v>
      </c>
      <c r="R90" s="10" t="s">
        <v>2672</v>
      </c>
      <c r="S90" s="12"/>
      <c r="T90" s="12"/>
      <c r="U90" s="17" t="str">
        <f>HYPERLINK("https://pbs.twimg.com/profile_images/613874168019337216/eRgec70-.jpg","View")</f>
        <v>View</v>
      </c>
      <c r="V90" s="12"/>
      <c r="W90" s="12"/>
      <c r="X90" s="12"/>
      <c r="Y90" s="12"/>
      <c r="Z90" s="12"/>
    </row>
    <row r="91">
      <c r="A91" s="8">
        <v>44222.545798611114</v>
      </c>
      <c r="B91" s="9" t="str">
        <f>HYPERLINK("https://twitter.com/M_ArellanoMx","@M_ArellanoMx")</f>
        <v>@M_ArellanoMx</v>
      </c>
      <c r="C91" s="10" t="s">
        <v>2370</v>
      </c>
      <c r="D91" s="10" t="s">
        <v>2673</v>
      </c>
      <c r="E91" s="9" t="str">
        <f>HYPERLINK("https://twitter.com/M_ArellanoMx/status/1354143555724464128","1354143555724464128")</f>
        <v>1354143555724464128</v>
      </c>
      <c r="F91" s="11" t="s">
        <v>2674</v>
      </c>
      <c r="G91" s="12"/>
      <c r="H91" s="12"/>
      <c r="I91" s="13">
        <v>1.0</v>
      </c>
      <c r="J91" s="13">
        <v>1.0</v>
      </c>
      <c r="K91" s="9" t="str">
        <f t="shared" si="20"/>
        <v>Twitter for Android</v>
      </c>
      <c r="L91" s="14">
        <v>6697.0</v>
      </c>
      <c r="M91" s="14">
        <v>2091.0</v>
      </c>
      <c r="N91" s="14">
        <v>10.0</v>
      </c>
      <c r="O91" s="19"/>
      <c r="P91" s="16">
        <v>40314.64232638889</v>
      </c>
      <c r="Q91" s="10" t="s">
        <v>325</v>
      </c>
      <c r="R91" s="10" t="s">
        <v>2373</v>
      </c>
      <c r="S91" s="11" t="s">
        <v>2374</v>
      </c>
      <c r="T91" s="12"/>
      <c r="U91" s="17" t="str">
        <f>HYPERLINK("https://pbs.twimg.com/profile_images/1345591168135012358/bjYevZ0h.jpg","View")</f>
        <v>View</v>
      </c>
      <c r="V91" s="12"/>
      <c r="W91" s="12"/>
      <c r="X91" s="12"/>
      <c r="Y91" s="12"/>
      <c r="Z91" s="12"/>
    </row>
    <row r="92">
      <c r="A92" s="8">
        <v>44222.54530092592</v>
      </c>
      <c r="B92" s="9" t="str">
        <f>HYPERLINK("https://twitter.com/Jerryko16541850","@Jerryko16541850")</f>
        <v>@Jerryko16541850</v>
      </c>
      <c r="C92" s="10" t="s">
        <v>2675</v>
      </c>
      <c r="D92" s="10" t="s">
        <v>2676</v>
      </c>
      <c r="E92" s="9" t="str">
        <f>HYPERLINK("https://twitter.com/Jerryko16541850/status/1354143376652849157","1354143376652849157")</f>
        <v>1354143376652849157</v>
      </c>
      <c r="F92" s="12"/>
      <c r="G92" s="12"/>
      <c r="H92" s="12"/>
      <c r="I92" s="13">
        <v>0.0</v>
      </c>
      <c r="J92" s="13">
        <v>0.0</v>
      </c>
      <c r="K92" s="9" t="str">
        <f t="shared" si="20"/>
        <v>Twitter for Android</v>
      </c>
      <c r="L92" s="14">
        <v>8.0</v>
      </c>
      <c r="M92" s="14">
        <v>51.0</v>
      </c>
      <c r="N92" s="14">
        <v>0.0</v>
      </c>
      <c r="O92" s="19"/>
      <c r="P92" s="16">
        <v>43177.77780092593</v>
      </c>
      <c r="Q92" s="12"/>
      <c r="R92" s="12"/>
      <c r="S92" s="12"/>
      <c r="T92" s="12"/>
      <c r="U92" s="15" t="s">
        <v>848</v>
      </c>
      <c r="V92" s="12"/>
      <c r="W92" s="12"/>
      <c r="X92" s="12"/>
      <c r="Y92" s="12"/>
      <c r="Z92" s="12"/>
    </row>
    <row r="93">
      <c r="A93" s="8">
        <v>44222.54516203704</v>
      </c>
      <c r="B93" s="9" t="str">
        <f>HYPERLINK("https://twitter.com/JoseIsaiasHdezE","@JoseIsaiasHdezE")</f>
        <v>@JoseIsaiasHdezE</v>
      </c>
      <c r="C93" s="10" t="s">
        <v>2677</v>
      </c>
      <c r="D93" s="10" t="s">
        <v>2678</v>
      </c>
      <c r="E93" s="9" t="str">
        <f>HYPERLINK("https://twitter.com/JoseIsaiasHdezE/status/1354143326560247813","1354143326560247813")</f>
        <v>1354143326560247813</v>
      </c>
      <c r="F93" s="11" t="s">
        <v>2679</v>
      </c>
      <c r="G93" s="11" t="s">
        <v>2680</v>
      </c>
      <c r="H93" s="12"/>
      <c r="I93" s="13">
        <v>0.0</v>
      </c>
      <c r="J93" s="13">
        <v>0.0</v>
      </c>
      <c r="K93" s="9" t="str">
        <f t="shared" si="20"/>
        <v>Twitter for Android</v>
      </c>
      <c r="L93" s="14">
        <v>75.0</v>
      </c>
      <c r="M93" s="14">
        <v>1973.0</v>
      </c>
      <c r="N93" s="14">
        <v>0.0</v>
      </c>
      <c r="O93" s="19"/>
      <c r="P93" s="16">
        <v>43253.80061342593</v>
      </c>
      <c r="Q93" s="10" t="s">
        <v>2681</v>
      </c>
      <c r="R93" s="10" t="s">
        <v>2682</v>
      </c>
      <c r="S93" s="12"/>
      <c r="T93" s="12"/>
      <c r="U93" s="17" t="str">
        <f>HYPERLINK("https://pbs.twimg.com/profile_images/1335085005496745984/KElF58u_.jpg","View")</f>
        <v>View</v>
      </c>
      <c r="V93" s="12"/>
      <c r="W93" s="12"/>
      <c r="X93" s="12"/>
      <c r="Y93" s="12"/>
      <c r="Z93" s="12"/>
    </row>
    <row r="94">
      <c r="A94" s="8">
        <v>44222.54513888889</v>
      </c>
      <c r="B94" s="9" t="str">
        <f>HYPERLINK("https://twitter.com/El_Universal_Mx","@El_Universal_Mx")</f>
        <v>@El_Universal_Mx</v>
      </c>
      <c r="C94" s="10" t="s">
        <v>2683</v>
      </c>
      <c r="D94" s="10" t="s">
        <v>2684</v>
      </c>
      <c r="E94" s="9" t="str">
        <f>HYPERLINK("https://twitter.com/El_Universal_Mx/status/1354143317521477632","1354143317521477632")</f>
        <v>1354143317521477632</v>
      </c>
      <c r="F94" s="11" t="s">
        <v>2685</v>
      </c>
      <c r="G94" s="12"/>
      <c r="H94" s="12"/>
      <c r="I94" s="13">
        <v>21.0</v>
      </c>
      <c r="J94" s="13">
        <v>54.0</v>
      </c>
      <c r="K94" s="9" t="str">
        <f>HYPERLINK("https://mobile.twitter.com","Twitter Web App")</f>
        <v>Twitter Web App</v>
      </c>
      <c r="L94" s="14">
        <v>5891629.0</v>
      </c>
      <c r="M94" s="14">
        <v>14220.0</v>
      </c>
      <c r="N94" s="14">
        <v>24462.0</v>
      </c>
      <c r="O94" s="15" t="s">
        <v>24</v>
      </c>
      <c r="P94" s="16">
        <v>39730.79798611111</v>
      </c>
      <c r="Q94" s="10" t="s">
        <v>2686</v>
      </c>
      <c r="R94" s="10" t="s">
        <v>2687</v>
      </c>
      <c r="S94" s="11" t="s">
        <v>2688</v>
      </c>
      <c r="T94" s="12"/>
      <c r="U94" s="17" t="str">
        <f>HYPERLINK("https://pbs.twimg.com/profile_images/1290059307195670529/BniAB8VL.jpg","View")</f>
        <v>View</v>
      </c>
      <c r="V94" s="12"/>
      <c r="W94" s="12"/>
      <c r="X94" s="12"/>
      <c r="Y94" s="12"/>
      <c r="Z94" s="12"/>
    </row>
    <row r="95">
      <c r="A95" s="8">
        <v>44222.54510416667</v>
      </c>
      <c r="B95" s="9" t="str">
        <f>HYPERLINK("https://twitter.com/hmbrhrmg","@hmbrhrmg")</f>
        <v>@hmbrhrmg</v>
      </c>
      <c r="C95" s="10" t="s">
        <v>1958</v>
      </c>
      <c r="D95" s="10" t="s">
        <v>2689</v>
      </c>
      <c r="E95" s="9" t="str">
        <f>HYPERLINK("https://twitter.com/hmbrhrmg/status/1354143306712838144","1354143306712838144")</f>
        <v>1354143306712838144</v>
      </c>
      <c r="F95" s="11" t="s">
        <v>2690</v>
      </c>
      <c r="G95" s="12"/>
      <c r="H95" s="12"/>
      <c r="I95" s="13">
        <v>7.0</v>
      </c>
      <c r="J95" s="13">
        <v>8.0</v>
      </c>
      <c r="K95" s="9" t="str">
        <f t="shared" ref="K95:K96" si="21">HYPERLINK("http://twitter.com/download/android","Twitter for Android")</f>
        <v>Twitter for Android</v>
      </c>
      <c r="L95" s="14">
        <v>6882.0</v>
      </c>
      <c r="M95" s="14">
        <v>6088.0</v>
      </c>
      <c r="N95" s="14">
        <v>5.0</v>
      </c>
      <c r="O95" s="19"/>
      <c r="P95" s="16">
        <v>43766.81524305556</v>
      </c>
      <c r="Q95" s="10" t="s">
        <v>1960</v>
      </c>
      <c r="R95" s="10" t="s">
        <v>1961</v>
      </c>
      <c r="S95" s="12"/>
      <c r="T95" s="12"/>
      <c r="U95" s="17" t="str">
        <f>HYPERLINK("https://pbs.twimg.com/profile_images/1321267366324416512/fnYJBUjx.jpg","View")</f>
        <v>View</v>
      </c>
      <c r="V95" s="12"/>
      <c r="W95" s="12"/>
      <c r="X95" s="12"/>
      <c r="Y95" s="12"/>
      <c r="Z95" s="12"/>
    </row>
    <row r="96">
      <c r="A96" s="8">
        <v>44222.544583333336</v>
      </c>
      <c r="B96" s="9" t="str">
        <f>HYPERLINK("https://twitter.com/PorfirioDiazOf","@PorfirioDiazOf")</f>
        <v>@PorfirioDiazOf</v>
      </c>
      <c r="C96" s="10" t="s">
        <v>2691</v>
      </c>
      <c r="D96" s="10" t="s">
        <v>2692</v>
      </c>
      <c r="E96" s="9" t="str">
        <f>HYPERLINK("https://twitter.com/PorfirioDiazOf/status/1354143116203347971","1354143116203347971")</f>
        <v>1354143116203347971</v>
      </c>
      <c r="F96" s="12"/>
      <c r="G96" s="11" t="s">
        <v>2693</v>
      </c>
      <c r="H96" s="12"/>
      <c r="I96" s="13">
        <v>0.0</v>
      </c>
      <c r="J96" s="13">
        <v>0.0</v>
      </c>
      <c r="K96" s="9" t="str">
        <f t="shared" si="21"/>
        <v>Twitter for Android</v>
      </c>
      <c r="L96" s="14">
        <v>0.0</v>
      </c>
      <c r="M96" s="14">
        <v>4.0</v>
      </c>
      <c r="N96" s="14">
        <v>0.0</v>
      </c>
      <c r="O96" s="19"/>
      <c r="P96" s="16">
        <v>44217.94097222222</v>
      </c>
      <c r="Q96" s="12"/>
      <c r="R96" s="10" t="s">
        <v>2694</v>
      </c>
      <c r="S96" s="12"/>
      <c r="T96" s="12"/>
      <c r="U96" s="17" t="str">
        <f>HYPERLINK("https://pbs.twimg.com/profile_images/1352864717589639168/6yEKeD-y.jpg","View")</f>
        <v>View</v>
      </c>
      <c r="V96" s="12"/>
      <c r="W96" s="12"/>
      <c r="X96" s="12"/>
      <c r="Y96" s="12"/>
      <c r="Z96" s="12"/>
    </row>
    <row r="97">
      <c r="A97" s="8">
        <v>44222.54428240741</v>
      </c>
      <c r="B97" s="9" t="str">
        <f>HYPERLINK("https://twitter.com/padillacarlosmx","@padillacarlosmx")</f>
        <v>@padillacarlosmx</v>
      </c>
      <c r="C97" s="10" t="s">
        <v>2600</v>
      </c>
      <c r="D97" s="10" t="s">
        <v>2695</v>
      </c>
      <c r="E97" s="9" t="str">
        <f>HYPERLINK("https://twitter.com/padillacarlosmx/status/1354143009944825856","1354143009944825856")</f>
        <v>1354143009944825856</v>
      </c>
      <c r="F97" s="11" t="s">
        <v>2602</v>
      </c>
      <c r="G97" s="12"/>
      <c r="H97" s="12"/>
      <c r="I97" s="13">
        <v>3.0</v>
      </c>
      <c r="J97" s="13">
        <v>11.0</v>
      </c>
      <c r="K97" s="9" t="str">
        <f>HYPERLINK("http://twitter.com/download/iphone","Twitter for iPhone")</f>
        <v>Twitter for iPhone</v>
      </c>
      <c r="L97" s="14">
        <v>16742.0</v>
      </c>
      <c r="M97" s="14">
        <v>4772.0</v>
      </c>
      <c r="N97" s="14">
        <v>21.0</v>
      </c>
      <c r="O97" s="19"/>
      <c r="P97" s="16">
        <v>43212.08333333333</v>
      </c>
      <c r="Q97" s="10" t="s">
        <v>2603</v>
      </c>
      <c r="R97" s="10" t="s">
        <v>2604</v>
      </c>
      <c r="S97" s="12"/>
      <c r="T97" s="12"/>
      <c r="U97" s="17" t="str">
        <f>HYPERLINK("https://pbs.twimg.com/profile_images/1323873604996603904/3X64qlI_.jpg","View")</f>
        <v>View</v>
      </c>
      <c r="V97" s="12"/>
      <c r="W97" s="12"/>
      <c r="X97" s="12"/>
      <c r="Y97" s="12"/>
      <c r="Z97" s="12"/>
    </row>
    <row r="98">
      <c r="A98" s="8">
        <v>44222.54394675926</v>
      </c>
      <c r="B98" s="9" t="str">
        <f>HYPERLINK("https://twitter.com/alfonsorosas88","@alfonsorosas88")</f>
        <v>@alfonsorosas88</v>
      </c>
      <c r="C98" s="10" t="s">
        <v>2696</v>
      </c>
      <c r="D98" s="10" t="s">
        <v>2697</v>
      </c>
      <c r="E98" s="9" t="str">
        <f>HYPERLINK("https://twitter.com/alfonsorosas88/status/1354142886699409408","1354142886699409408")</f>
        <v>1354142886699409408</v>
      </c>
      <c r="F98" s="10" t="s">
        <v>2461</v>
      </c>
      <c r="G98" s="12"/>
      <c r="H98" s="12"/>
      <c r="I98" s="13">
        <v>0.0</v>
      </c>
      <c r="J98" s="13">
        <v>1.0</v>
      </c>
      <c r="K98" s="9" t="str">
        <f t="shared" ref="K98:K102" si="22">HYPERLINK("http://twitter.com/download/android","Twitter for Android")</f>
        <v>Twitter for Android</v>
      </c>
      <c r="L98" s="14">
        <v>2691.0</v>
      </c>
      <c r="M98" s="14">
        <v>3298.0</v>
      </c>
      <c r="N98" s="14">
        <v>15.0</v>
      </c>
      <c r="O98" s="19"/>
      <c r="P98" s="16">
        <v>40983.040613425925</v>
      </c>
      <c r="Q98" s="10" t="s">
        <v>325</v>
      </c>
      <c r="R98" s="10" t="s">
        <v>2698</v>
      </c>
      <c r="S98" s="12"/>
      <c r="T98" s="12"/>
      <c r="U98" s="17" t="str">
        <f>HYPERLINK("https://pbs.twimg.com/profile_images/1264668911997337600/VuQwMyrj.jpg","View")</f>
        <v>View</v>
      </c>
      <c r="V98" s="12"/>
      <c r="W98" s="12"/>
      <c r="X98" s="12"/>
      <c r="Y98" s="12"/>
      <c r="Z98" s="12"/>
    </row>
    <row r="99">
      <c r="A99" s="8">
        <v>44222.5438425926</v>
      </c>
      <c r="B99" s="9" t="str">
        <f>HYPERLINK("https://twitter.com/LuisLpez14","@LuisLpez14")</f>
        <v>@LuisLpez14</v>
      </c>
      <c r="C99" s="10" t="s">
        <v>2699</v>
      </c>
      <c r="D99" s="10" t="s">
        <v>2700</v>
      </c>
      <c r="E99" s="9" t="str">
        <f>HYPERLINK("https://twitter.com/LuisLpez14/status/1354142850599018497","1354142850599018497")</f>
        <v>1354142850599018497</v>
      </c>
      <c r="F99" s="12"/>
      <c r="G99" s="11" t="s">
        <v>2701</v>
      </c>
      <c r="H99" s="12"/>
      <c r="I99" s="13">
        <v>0.0</v>
      </c>
      <c r="J99" s="13">
        <v>0.0</v>
      </c>
      <c r="K99" s="9" t="str">
        <f t="shared" si="22"/>
        <v>Twitter for Android</v>
      </c>
      <c r="L99" s="14">
        <v>673.0</v>
      </c>
      <c r="M99" s="14">
        <v>1659.0</v>
      </c>
      <c r="N99" s="14">
        <v>4.0</v>
      </c>
      <c r="O99" s="19"/>
      <c r="P99" s="16">
        <v>40820.448125</v>
      </c>
      <c r="Q99" s="10" t="s">
        <v>2702</v>
      </c>
      <c r="R99" s="10" t="s">
        <v>2703</v>
      </c>
      <c r="S99" s="12"/>
      <c r="T99" s="12"/>
      <c r="U99" s="17" t="str">
        <f>HYPERLINK("https://pbs.twimg.com/profile_images/666071110845239296/74XVxJgG.png","View")</f>
        <v>View</v>
      </c>
      <c r="V99" s="12"/>
      <c r="W99" s="12"/>
      <c r="X99" s="12"/>
      <c r="Y99" s="12"/>
      <c r="Z99" s="12"/>
    </row>
    <row r="100">
      <c r="A100" s="8">
        <v>44222.54378472222</v>
      </c>
      <c r="B100" s="9" t="str">
        <f>HYPERLINK("https://twitter.com/janette1072","@janette1072")</f>
        <v>@janette1072</v>
      </c>
      <c r="C100" s="10" t="s">
        <v>2704</v>
      </c>
      <c r="D100" s="10" t="s">
        <v>2705</v>
      </c>
      <c r="E100" s="9" t="str">
        <f>HYPERLINK("https://twitter.com/janette1072/status/1354142827819790337","1354142827819790337")</f>
        <v>1354142827819790337</v>
      </c>
      <c r="F100" s="11" t="s">
        <v>2706</v>
      </c>
      <c r="G100" s="12"/>
      <c r="H100" s="12"/>
      <c r="I100" s="13">
        <v>0.0</v>
      </c>
      <c r="J100" s="13">
        <v>1.0</v>
      </c>
      <c r="K100" s="9" t="str">
        <f t="shared" si="22"/>
        <v>Twitter for Android</v>
      </c>
      <c r="L100" s="14">
        <v>67.0</v>
      </c>
      <c r="M100" s="14">
        <v>124.0</v>
      </c>
      <c r="N100" s="14">
        <v>0.0</v>
      </c>
      <c r="O100" s="19"/>
      <c r="P100" s="16">
        <v>41025.74503472222</v>
      </c>
      <c r="Q100" s="12"/>
      <c r="R100" s="12"/>
      <c r="S100" s="12"/>
      <c r="T100" s="12"/>
      <c r="U100" s="17" t="str">
        <f>HYPERLINK("https://pbs.twimg.com/profile_images/2168517291/Cascada_01.jpg","View")</f>
        <v>View</v>
      </c>
      <c r="V100" s="12"/>
      <c r="W100" s="12"/>
      <c r="X100" s="12"/>
      <c r="Y100" s="12"/>
      <c r="Z100" s="12"/>
    </row>
    <row r="101">
      <c r="A101" s="8">
        <v>44222.54328703704</v>
      </c>
      <c r="B101" s="9" t="str">
        <f>HYPERLINK("https://twitter.com/GlezLevy","@GlezLevy")</f>
        <v>@GlezLevy</v>
      </c>
      <c r="C101" s="10" t="s">
        <v>2707</v>
      </c>
      <c r="D101" s="10" t="s">
        <v>2708</v>
      </c>
      <c r="E101" s="9" t="str">
        <f>HYPERLINK("https://twitter.com/GlezLevy/status/1354142645593976833","1354142645593976833")</f>
        <v>1354142645593976833</v>
      </c>
      <c r="F101" s="12"/>
      <c r="G101" s="12"/>
      <c r="H101" s="12"/>
      <c r="I101" s="13">
        <v>1.0</v>
      </c>
      <c r="J101" s="13">
        <v>1.0</v>
      </c>
      <c r="K101" s="9" t="str">
        <f t="shared" si="22"/>
        <v>Twitter for Android</v>
      </c>
      <c r="L101" s="14">
        <v>1232.0</v>
      </c>
      <c r="M101" s="14">
        <v>1071.0</v>
      </c>
      <c r="N101" s="14">
        <v>0.0</v>
      </c>
      <c r="O101" s="19"/>
      <c r="P101" s="16">
        <v>43789.44756944444</v>
      </c>
      <c r="Q101" s="12"/>
      <c r="R101" s="10" t="s">
        <v>2709</v>
      </c>
      <c r="S101" s="12"/>
      <c r="T101" s="12"/>
      <c r="U101" s="17" t="str">
        <f>HYPERLINK("https://pbs.twimg.com/profile_images/1342943811790647313/bKH59ze8.jpg","View")</f>
        <v>View</v>
      </c>
      <c r="V101" s="12"/>
      <c r="W101" s="12"/>
      <c r="X101" s="12"/>
      <c r="Y101" s="12"/>
      <c r="Z101" s="12"/>
    </row>
    <row r="102">
      <c r="A102" s="8">
        <v>44222.54300925926</v>
      </c>
      <c r="B102" s="9" t="str">
        <f>HYPERLINK("https://twitter.com/Gustavo_DiazU","@Gustavo_DiazU")</f>
        <v>@Gustavo_DiazU</v>
      </c>
      <c r="C102" s="10" t="s">
        <v>2710</v>
      </c>
      <c r="D102" s="10" t="s">
        <v>2711</v>
      </c>
      <c r="E102" s="9" t="str">
        <f>HYPERLINK("https://twitter.com/Gustavo_DiazU/status/1354142547019526145","1354142547019526145")</f>
        <v>1354142547019526145</v>
      </c>
      <c r="F102" s="10" t="s">
        <v>2432</v>
      </c>
      <c r="G102" s="12"/>
      <c r="H102" s="12"/>
      <c r="I102" s="13">
        <v>0.0</v>
      </c>
      <c r="J102" s="13">
        <v>0.0</v>
      </c>
      <c r="K102" s="9" t="str">
        <f t="shared" si="22"/>
        <v>Twitter for Android</v>
      </c>
      <c r="L102" s="14">
        <v>687.0</v>
      </c>
      <c r="M102" s="14">
        <v>639.0</v>
      </c>
      <c r="N102" s="14">
        <v>2.0</v>
      </c>
      <c r="O102" s="19"/>
      <c r="P102" s="16">
        <v>40072.781701388885</v>
      </c>
      <c r="Q102" s="10" t="s">
        <v>520</v>
      </c>
      <c r="R102" s="10" t="s">
        <v>2712</v>
      </c>
      <c r="S102" s="12"/>
      <c r="T102" s="12"/>
      <c r="U102" s="17" t="str">
        <f>HYPERLINK("https://pbs.twimg.com/profile_images/1283272903505502209/PtUy_8ZZ.jpg","View")</f>
        <v>View</v>
      </c>
      <c r="V102" s="12"/>
      <c r="W102" s="12"/>
      <c r="X102" s="12"/>
      <c r="Y102" s="12"/>
      <c r="Z102" s="12"/>
    </row>
    <row r="103">
      <c r="A103" s="18"/>
      <c r="B103" s="12"/>
      <c r="C103" s="12"/>
      <c r="D103" s="12"/>
      <c r="E103" s="12"/>
      <c r="F103" s="12"/>
      <c r="G103" s="12"/>
      <c r="H103" s="12"/>
      <c r="I103" s="12"/>
      <c r="J103" s="12"/>
      <c r="K103" s="12"/>
      <c r="L103" s="19"/>
      <c r="M103" s="19"/>
      <c r="N103" s="19"/>
      <c r="O103" s="19"/>
      <c r="P103" s="19"/>
      <c r="Q103" s="12"/>
      <c r="R103" s="12"/>
      <c r="S103" s="12"/>
      <c r="T103" s="12"/>
      <c r="U103" s="19"/>
      <c r="V103" s="12"/>
      <c r="W103" s="12"/>
      <c r="X103" s="12"/>
      <c r="Y103" s="12"/>
      <c r="Z103" s="12"/>
    </row>
    <row r="104">
      <c r="A104" s="18"/>
      <c r="B104" s="12"/>
      <c r="C104" s="12"/>
      <c r="D104" s="12"/>
      <c r="E104" s="12"/>
      <c r="F104" s="12"/>
      <c r="G104" s="12"/>
      <c r="H104" s="12"/>
      <c r="I104" s="12"/>
      <c r="J104" s="12"/>
      <c r="K104" s="12"/>
      <c r="L104" s="19"/>
      <c r="M104" s="19"/>
      <c r="N104" s="19"/>
      <c r="O104" s="19"/>
      <c r="P104" s="19"/>
      <c r="Q104" s="12"/>
      <c r="R104" s="12"/>
      <c r="S104" s="12"/>
      <c r="T104" s="12"/>
      <c r="U104" s="19"/>
      <c r="V104" s="12"/>
      <c r="W104" s="12"/>
      <c r="X104" s="12"/>
      <c r="Y104" s="12"/>
      <c r="Z104" s="12"/>
    </row>
    <row r="105">
      <c r="A105" s="18"/>
      <c r="B105" s="12"/>
      <c r="C105" s="12"/>
      <c r="D105" s="12"/>
      <c r="E105" s="12"/>
      <c r="F105" s="12"/>
      <c r="G105" s="12"/>
      <c r="H105" s="12"/>
      <c r="I105" s="12"/>
      <c r="J105" s="12"/>
      <c r="K105" s="12"/>
      <c r="L105" s="19"/>
      <c r="M105" s="19"/>
      <c r="N105" s="19"/>
      <c r="O105" s="19"/>
      <c r="P105" s="19"/>
      <c r="Q105" s="12"/>
      <c r="R105" s="12"/>
      <c r="S105" s="12"/>
      <c r="T105" s="12"/>
      <c r="U105" s="19"/>
      <c r="V105" s="12"/>
      <c r="W105" s="12"/>
      <c r="X105" s="12"/>
      <c r="Y105" s="12"/>
      <c r="Z105" s="12"/>
    </row>
    <row r="106">
      <c r="A106" s="18"/>
      <c r="B106" s="12"/>
      <c r="C106" s="12"/>
      <c r="D106" s="12"/>
      <c r="E106" s="12"/>
      <c r="F106" s="12"/>
      <c r="G106" s="12"/>
      <c r="H106" s="12"/>
      <c r="I106" s="12"/>
      <c r="J106" s="12"/>
      <c r="K106" s="12"/>
      <c r="L106" s="19"/>
      <c r="M106" s="19"/>
      <c r="N106" s="19"/>
      <c r="O106" s="19"/>
      <c r="P106" s="19"/>
      <c r="Q106" s="12"/>
      <c r="R106" s="12"/>
      <c r="S106" s="12"/>
      <c r="T106" s="12"/>
      <c r="U106" s="19"/>
      <c r="V106" s="12"/>
      <c r="W106" s="12"/>
      <c r="X106" s="12"/>
      <c r="Y106" s="12"/>
      <c r="Z106" s="12"/>
    </row>
    <row r="107">
      <c r="A107" s="18"/>
      <c r="B107" s="12"/>
      <c r="C107" s="12"/>
      <c r="D107" s="12"/>
      <c r="E107" s="12"/>
      <c r="F107" s="12"/>
      <c r="G107" s="12"/>
      <c r="H107" s="12"/>
      <c r="I107" s="12"/>
      <c r="J107" s="12"/>
      <c r="K107" s="12"/>
      <c r="L107" s="19"/>
      <c r="M107" s="19"/>
      <c r="N107" s="19"/>
      <c r="O107" s="19"/>
      <c r="P107" s="19"/>
      <c r="Q107" s="12"/>
      <c r="R107" s="12"/>
      <c r="S107" s="12"/>
      <c r="T107" s="12"/>
      <c r="U107" s="19"/>
      <c r="V107" s="12"/>
      <c r="W107" s="12"/>
      <c r="X107" s="12"/>
      <c r="Y107" s="12"/>
      <c r="Z107" s="12"/>
    </row>
    <row r="108">
      <c r="A108" s="18"/>
      <c r="B108" s="12"/>
      <c r="C108" s="12"/>
      <c r="D108" s="12"/>
      <c r="E108" s="12"/>
      <c r="F108" s="12"/>
      <c r="G108" s="12"/>
      <c r="H108" s="12"/>
      <c r="I108" s="12"/>
      <c r="J108" s="12"/>
      <c r="K108" s="12"/>
      <c r="L108" s="19"/>
      <c r="M108" s="19"/>
      <c r="N108" s="19"/>
      <c r="O108" s="19"/>
      <c r="P108" s="19"/>
      <c r="Q108" s="12"/>
      <c r="R108" s="12"/>
      <c r="S108" s="12"/>
      <c r="T108" s="12"/>
      <c r="U108" s="19"/>
      <c r="V108" s="12"/>
      <c r="W108" s="12"/>
      <c r="X108" s="12"/>
      <c r="Y108" s="12"/>
      <c r="Z108" s="12"/>
    </row>
    <row r="109">
      <c r="A109" s="18"/>
      <c r="B109" s="12"/>
      <c r="C109" s="12"/>
      <c r="D109" s="12"/>
      <c r="E109" s="12"/>
      <c r="F109" s="12"/>
      <c r="G109" s="12"/>
      <c r="H109" s="12"/>
      <c r="I109" s="12"/>
      <c r="J109" s="12"/>
      <c r="K109" s="12"/>
      <c r="L109" s="19"/>
      <c r="M109" s="19"/>
      <c r="N109" s="19"/>
      <c r="O109" s="19"/>
      <c r="P109" s="19"/>
      <c r="Q109" s="12"/>
      <c r="R109" s="12"/>
      <c r="S109" s="12"/>
      <c r="T109" s="12"/>
      <c r="U109" s="19"/>
      <c r="V109" s="12"/>
      <c r="W109" s="12"/>
      <c r="X109" s="12"/>
      <c r="Y109" s="12"/>
      <c r="Z109" s="12"/>
    </row>
    <row r="110">
      <c r="A110" s="18"/>
      <c r="B110" s="12"/>
      <c r="C110" s="12"/>
      <c r="D110" s="12"/>
      <c r="E110" s="12"/>
      <c r="F110" s="12"/>
      <c r="G110" s="12"/>
      <c r="H110" s="12"/>
      <c r="I110" s="12"/>
      <c r="J110" s="12"/>
      <c r="K110" s="12"/>
      <c r="L110" s="19"/>
      <c r="M110" s="19"/>
      <c r="N110" s="19"/>
      <c r="O110" s="19"/>
      <c r="P110" s="19"/>
      <c r="Q110" s="12"/>
      <c r="R110" s="12"/>
      <c r="S110" s="12"/>
      <c r="T110" s="12"/>
      <c r="U110" s="19"/>
      <c r="V110" s="12"/>
      <c r="W110" s="12"/>
      <c r="X110" s="12"/>
      <c r="Y110" s="12"/>
      <c r="Z110" s="12"/>
    </row>
    <row r="111">
      <c r="A111" s="18"/>
      <c r="B111" s="12"/>
      <c r="C111" s="12"/>
      <c r="D111" s="12"/>
      <c r="E111" s="12"/>
      <c r="F111" s="12"/>
      <c r="G111" s="12"/>
      <c r="H111" s="12"/>
      <c r="I111" s="12"/>
      <c r="J111" s="12"/>
      <c r="K111" s="12"/>
      <c r="L111" s="19"/>
      <c r="M111" s="19"/>
      <c r="N111" s="19"/>
      <c r="O111" s="19"/>
      <c r="P111" s="19"/>
      <c r="Q111" s="12"/>
      <c r="R111" s="12"/>
      <c r="S111" s="12"/>
      <c r="T111" s="12"/>
      <c r="U111" s="19"/>
      <c r="V111" s="12"/>
      <c r="W111" s="12"/>
      <c r="X111" s="12"/>
      <c r="Y111" s="12"/>
      <c r="Z111" s="12"/>
    </row>
    <row r="112">
      <c r="A112" s="18"/>
      <c r="B112" s="12"/>
      <c r="C112" s="12"/>
      <c r="D112" s="12"/>
      <c r="E112" s="12"/>
      <c r="F112" s="12"/>
      <c r="G112" s="12"/>
      <c r="H112" s="12"/>
      <c r="I112" s="12"/>
      <c r="J112" s="12"/>
      <c r="K112" s="12"/>
      <c r="L112" s="19"/>
      <c r="M112" s="19"/>
      <c r="N112" s="19"/>
      <c r="O112" s="19"/>
      <c r="P112" s="19"/>
      <c r="Q112" s="12"/>
      <c r="R112" s="12"/>
      <c r="S112" s="12"/>
      <c r="T112" s="12"/>
      <c r="U112" s="19"/>
      <c r="V112" s="12"/>
      <c r="W112" s="12"/>
      <c r="X112" s="12"/>
      <c r="Y112" s="12"/>
      <c r="Z112" s="12"/>
    </row>
    <row r="113">
      <c r="A113" s="18"/>
      <c r="B113" s="12"/>
      <c r="C113" s="12"/>
      <c r="D113" s="12"/>
      <c r="E113" s="12"/>
      <c r="F113" s="12"/>
      <c r="G113" s="12"/>
      <c r="H113" s="12"/>
      <c r="I113" s="12"/>
      <c r="J113" s="12"/>
      <c r="K113" s="12"/>
      <c r="L113" s="19"/>
      <c r="M113" s="19"/>
      <c r="N113" s="19"/>
      <c r="O113" s="19"/>
      <c r="P113" s="19"/>
      <c r="Q113" s="12"/>
      <c r="R113" s="12"/>
      <c r="S113" s="12"/>
      <c r="T113" s="12"/>
      <c r="U113" s="19"/>
      <c r="V113" s="12"/>
      <c r="W113" s="12"/>
      <c r="X113" s="12"/>
      <c r="Y113" s="12"/>
      <c r="Z113" s="12"/>
    </row>
    <row r="114">
      <c r="A114" s="18"/>
      <c r="B114" s="12"/>
      <c r="C114" s="12"/>
      <c r="D114" s="12"/>
      <c r="E114" s="12"/>
      <c r="F114" s="12"/>
      <c r="G114" s="12"/>
      <c r="H114" s="12"/>
      <c r="I114" s="12"/>
      <c r="J114" s="12"/>
      <c r="K114" s="12"/>
      <c r="L114" s="19"/>
      <c r="M114" s="19"/>
      <c r="N114" s="19"/>
      <c r="O114" s="19"/>
      <c r="P114" s="19"/>
      <c r="Q114" s="12"/>
      <c r="R114" s="12"/>
      <c r="S114" s="12"/>
      <c r="T114" s="12"/>
      <c r="U114" s="19"/>
      <c r="V114" s="12"/>
      <c r="W114" s="12"/>
      <c r="X114" s="12"/>
      <c r="Y114" s="12"/>
      <c r="Z114" s="12"/>
    </row>
    <row r="115">
      <c r="A115" s="18"/>
      <c r="B115" s="12"/>
      <c r="C115" s="12"/>
      <c r="D115" s="12"/>
      <c r="E115" s="12"/>
      <c r="F115" s="12"/>
      <c r="G115" s="12"/>
      <c r="H115" s="12"/>
      <c r="I115" s="12"/>
      <c r="J115" s="12"/>
      <c r="K115" s="12"/>
      <c r="L115" s="19"/>
      <c r="M115" s="19"/>
      <c r="N115" s="19"/>
      <c r="O115" s="19"/>
      <c r="P115" s="19"/>
      <c r="Q115" s="12"/>
      <c r="R115" s="12"/>
      <c r="S115" s="12"/>
      <c r="T115" s="12"/>
      <c r="U115" s="19"/>
      <c r="V115" s="12"/>
      <c r="W115" s="12"/>
      <c r="X115" s="12"/>
      <c r="Y115" s="12"/>
      <c r="Z115" s="12"/>
    </row>
    <row r="116">
      <c r="A116" s="18"/>
      <c r="B116" s="12"/>
      <c r="C116" s="12"/>
      <c r="D116" s="12"/>
      <c r="E116" s="12"/>
      <c r="F116" s="12"/>
      <c r="G116" s="12"/>
      <c r="H116" s="12"/>
      <c r="I116" s="12"/>
      <c r="J116" s="12"/>
      <c r="K116" s="12"/>
      <c r="L116" s="19"/>
      <c r="M116" s="19"/>
      <c r="N116" s="19"/>
      <c r="O116" s="19"/>
      <c r="P116" s="19"/>
      <c r="Q116" s="12"/>
      <c r="R116" s="12"/>
      <c r="S116" s="12"/>
      <c r="T116" s="12"/>
      <c r="U116" s="19"/>
      <c r="V116" s="12"/>
      <c r="W116" s="12"/>
      <c r="X116" s="12"/>
      <c r="Y116" s="12"/>
      <c r="Z116" s="12"/>
    </row>
    <row r="117">
      <c r="A117" s="18"/>
      <c r="B117" s="12"/>
      <c r="C117" s="12"/>
      <c r="D117" s="12"/>
      <c r="E117" s="12"/>
      <c r="F117" s="12"/>
      <c r="G117" s="12"/>
      <c r="H117" s="12"/>
      <c r="I117" s="12"/>
      <c r="J117" s="12"/>
      <c r="K117" s="12"/>
      <c r="L117" s="19"/>
      <c r="M117" s="19"/>
      <c r="N117" s="19"/>
      <c r="O117" s="19"/>
      <c r="P117" s="19"/>
      <c r="Q117" s="12"/>
      <c r="R117" s="12"/>
      <c r="S117" s="12"/>
      <c r="T117" s="12"/>
      <c r="U117" s="19"/>
      <c r="V117" s="12"/>
      <c r="W117" s="12"/>
      <c r="X117" s="12"/>
      <c r="Y117" s="12"/>
      <c r="Z117" s="12"/>
    </row>
    <row r="118">
      <c r="A118" s="18"/>
      <c r="B118" s="12"/>
      <c r="C118" s="12"/>
      <c r="D118" s="12"/>
      <c r="E118" s="12"/>
      <c r="F118" s="12"/>
      <c r="G118" s="12"/>
      <c r="H118" s="12"/>
      <c r="I118" s="12"/>
      <c r="J118" s="12"/>
      <c r="K118" s="12"/>
      <c r="L118" s="19"/>
      <c r="M118" s="19"/>
      <c r="N118" s="19"/>
      <c r="O118" s="19"/>
      <c r="P118" s="19"/>
      <c r="Q118" s="12"/>
      <c r="R118" s="12"/>
      <c r="S118" s="12"/>
      <c r="T118" s="12"/>
      <c r="U118" s="19"/>
      <c r="V118" s="12"/>
      <c r="W118" s="12"/>
      <c r="X118" s="12"/>
      <c r="Y118" s="12"/>
      <c r="Z118" s="12"/>
    </row>
    <row r="119">
      <c r="A119" s="18"/>
      <c r="B119" s="12"/>
      <c r="C119" s="12"/>
      <c r="D119" s="12"/>
      <c r="E119" s="12"/>
      <c r="F119" s="12"/>
      <c r="G119" s="12"/>
      <c r="H119" s="12"/>
      <c r="I119" s="12"/>
      <c r="J119" s="12"/>
      <c r="K119" s="12"/>
      <c r="L119" s="19"/>
      <c r="M119" s="19"/>
      <c r="N119" s="19"/>
      <c r="O119" s="19"/>
      <c r="P119" s="19"/>
      <c r="Q119" s="12"/>
      <c r="R119" s="12"/>
      <c r="S119" s="12"/>
      <c r="T119" s="12"/>
      <c r="U119" s="19"/>
      <c r="V119" s="12"/>
      <c r="W119" s="12"/>
      <c r="X119" s="12"/>
      <c r="Y119" s="12"/>
      <c r="Z119" s="12"/>
    </row>
    <row r="120">
      <c r="A120" s="18"/>
      <c r="B120" s="12"/>
      <c r="C120" s="12"/>
      <c r="D120" s="12"/>
      <c r="E120" s="12"/>
      <c r="F120" s="12"/>
      <c r="G120" s="12"/>
      <c r="H120" s="12"/>
      <c r="I120" s="12"/>
      <c r="J120" s="12"/>
      <c r="K120" s="12"/>
      <c r="L120" s="19"/>
      <c r="M120" s="19"/>
      <c r="N120" s="19"/>
      <c r="O120" s="19"/>
      <c r="P120" s="19"/>
      <c r="Q120" s="12"/>
      <c r="R120" s="12"/>
      <c r="S120" s="12"/>
      <c r="T120" s="12"/>
      <c r="U120" s="19"/>
      <c r="V120" s="12"/>
      <c r="W120" s="12"/>
      <c r="X120" s="12"/>
      <c r="Y120" s="12"/>
      <c r="Z120" s="12"/>
    </row>
    <row r="121">
      <c r="A121" s="18"/>
      <c r="B121" s="12"/>
      <c r="C121" s="12"/>
      <c r="D121" s="12"/>
      <c r="E121" s="12"/>
      <c r="F121" s="12"/>
      <c r="G121" s="12"/>
      <c r="H121" s="12"/>
      <c r="I121" s="12"/>
      <c r="J121" s="12"/>
      <c r="K121" s="12"/>
      <c r="L121" s="19"/>
      <c r="M121" s="19"/>
      <c r="N121" s="19"/>
      <c r="O121" s="19"/>
      <c r="P121" s="19"/>
      <c r="Q121" s="12"/>
      <c r="R121" s="12"/>
      <c r="S121" s="12"/>
      <c r="T121" s="12"/>
      <c r="U121" s="19"/>
      <c r="V121" s="12"/>
      <c r="W121" s="12"/>
      <c r="X121" s="12"/>
      <c r="Y121" s="12"/>
      <c r="Z121" s="12"/>
    </row>
    <row r="122">
      <c r="A122" s="18"/>
      <c r="B122" s="12"/>
      <c r="C122" s="12"/>
      <c r="D122" s="12"/>
      <c r="E122" s="12"/>
      <c r="F122" s="12"/>
      <c r="G122" s="12"/>
      <c r="H122" s="12"/>
      <c r="I122" s="12"/>
      <c r="J122" s="12"/>
      <c r="K122" s="12"/>
      <c r="L122" s="19"/>
      <c r="M122" s="19"/>
      <c r="N122" s="19"/>
      <c r="O122" s="19"/>
      <c r="P122" s="19"/>
      <c r="Q122" s="12"/>
      <c r="R122" s="12"/>
      <c r="S122" s="12"/>
      <c r="T122" s="12"/>
      <c r="U122" s="19"/>
      <c r="V122" s="12"/>
      <c r="W122" s="12"/>
      <c r="X122" s="12"/>
      <c r="Y122" s="12"/>
      <c r="Z122" s="12"/>
    </row>
    <row r="123">
      <c r="A123" s="18"/>
      <c r="B123" s="12"/>
      <c r="C123" s="12"/>
      <c r="D123" s="12"/>
      <c r="E123" s="12"/>
      <c r="F123" s="12"/>
      <c r="G123" s="12"/>
      <c r="H123" s="12"/>
      <c r="I123" s="12"/>
      <c r="J123" s="12"/>
      <c r="K123" s="12"/>
      <c r="L123" s="19"/>
      <c r="M123" s="19"/>
      <c r="N123" s="19"/>
      <c r="O123" s="19"/>
      <c r="P123" s="19"/>
      <c r="Q123" s="12"/>
      <c r="R123" s="12"/>
      <c r="S123" s="12"/>
      <c r="T123" s="12"/>
      <c r="U123" s="19"/>
      <c r="V123" s="12"/>
      <c r="W123" s="12"/>
      <c r="X123" s="12"/>
      <c r="Y123" s="12"/>
      <c r="Z123" s="12"/>
    </row>
    <row r="124">
      <c r="A124" s="18"/>
      <c r="B124" s="12"/>
      <c r="C124" s="12"/>
      <c r="D124" s="12"/>
      <c r="E124" s="12"/>
      <c r="F124" s="12"/>
      <c r="G124" s="12"/>
      <c r="H124" s="12"/>
      <c r="I124" s="12"/>
      <c r="J124" s="12"/>
      <c r="K124" s="12"/>
      <c r="L124" s="19"/>
      <c r="M124" s="19"/>
      <c r="N124" s="19"/>
      <c r="O124" s="19"/>
      <c r="P124" s="19"/>
      <c r="Q124" s="12"/>
      <c r="R124" s="12"/>
      <c r="S124" s="12"/>
      <c r="T124" s="12"/>
      <c r="U124" s="19"/>
      <c r="V124" s="12"/>
      <c r="W124" s="12"/>
      <c r="X124" s="12"/>
      <c r="Y124" s="12"/>
      <c r="Z124" s="12"/>
    </row>
    <row r="125">
      <c r="A125" s="18"/>
      <c r="B125" s="12"/>
      <c r="C125" s="12"/>
      <c r="D125" s="12"/>
      <c r="E125" s="12"/>
      <c r="F125" s="12"/>
      <c r="G125" s="12"/>
      <c r="H125" s="12"/>
      <c r="I125" s="12"/>
      <c r="J125" s="12"/>
      <c r="K125" s="12"/>
      <c r="L125" s="19"/>
      <c r="M125" s="19"/>
      <c r="N125" s="19"/>
      <c r="O125" s="19"/>
      <c r="P125" s="19"/>
      <c r="Q125" s="12"/>
      <c r="R125" s="12"/>
      <c r="S125" s="12"/>
      <c r="T125" s="12"/>
      <c r="U125" s="19"/>
      <c r="V125" s="12"/>
      <c r="W125" s="12"/>
      <c r="X125" s="12"/>
      <c r="Y125" s="12"/>
      <c r="Z125" s="12"/>
    </row>
    <row r="126">
      <c r="A126" s="18"/>
      <c r="B126" s="12"/>
      <c r="C126" s="12"/>
      <c r="D126" s="12"/>
      <c r="E126" s="12"/>
      <c r="F126" s="12"/>
      <c r="G126" s="12"/>
      <c r="H126" s="12"/>
      <c r="I126" s="12"/>
      <c r="J126" s="12"/>
      <c r="K126" s="12"/>
      <c r="L126" s="19"/>
      <c r="M126" s="19"/>
      <c r="N126" s="19"/>
      <c r="O126" s="19"/>
      <c r="P126" s="19"/>
      <c r="Q126" s="12"/>
      <c r="R126" s="12"/>
      <c r="S126" s="12"/>
      <c r="T126" s="12"/>
      <c r="U126" s="19"/>
      <c r="V126" s="12"/>
      <c r="W126" s="12"/>
      <c r="X126" s="12"/>
      <c r="Y126" s="12"/>
      <c r="Z126" s="12"/>
    </row>
    <row r="127">
      <c r="A127" s="18"/>
      <c r="B127" s="12"/>
      <c r="C127" s="12"/>
      <c r="D127" s="12"/>
      <c r="E127" s="12"/>
      <c r="F127" s="12"/>
      <c r="G127" s="12"/>
      <c r="H127" s="12"/>
      <c r="I127" s="12"/>
      <c r="J127" s="12"/>
      <c r="K127" s="12"/>
      <c r="L127" s="19"/>
      <c r="M127" s="19"/>
      <c r="N127" s="19"/>
      <c r="O127" s="19"/>
      <c r="P127" s="19"/>
      <c r="Q127" s="12"/>
      <c r="R127" s="12"/>
      <c r="S127" s="12"/>
      <c r="T127" s="12"/>
      <c r="U127" s="19"/>
      <c r="V127" s="12"/>
      <c r="W127" s="12"/>
      <c r="X127" s="12"/>
      <c r="Y127" s="12"/>
      <c r="Z127" s="12"/>
    </row>
    <row r="128">
      <c r="A128" s="18"/>
      <c r="B128" s="12"/>
      <c r="C128" s="12"/>
      <c r="D128" s="12"/>
      <c r="E128" s="12"/>
      <c r="F128" s="12"/>
      <c r="G128" s="12"/>
      <c r="H128" s="12"/>
      <c r="I128" s="12"/>
      <c r="J128" s="12"/>
      <c r="K128" s="12"/>
      <c r="L128" s="19"/>
      <c r="M128" s="19"/>
      <c r="N128" s="19"/>
      <c r="O128" s="19"/>
      <c r="P128" s="19"/>
      <c r="Q128" s="12"/>
      <c r="R128" s="12"/>
      <c r="S128" s="12"/>
      <c r="T128" s="12"/>
      <c r="U128" s="19"/>
      <c r="V128" s="12"/>
      <c r="W128" s="12"/>
      <c r="X128" s="12"/>
      <c r="Y128" s="12"/>
      <c r="Z128" s="12"/>
    </row>
    <row r="129">
      <c r="A129" s="18"/>
      <c r="B129" s="12"/>
      <c r="C129" s="12"/>
      <c r="D129" s="12"/>
      <c r="E129" s="12"/>
      <c r="F129" s="12"/>
      <c r="G129" s="12"/>
      <c r="H129" s="12"/>
      <c r="I129" s="12"/>
      <c r="J129" s="12"/>
      <c r="K129" s="12"/>
      <c r="L129" s="19"/>
      <c r="M129" s="19"/>
      <c r="N129" s="19"/>
      <c r="O129" s="19"/>
      <c r="P129" s="19"/>
      <c r="Q129" s="12"/>
      <c r="R129" s="12"/>
      <c r="S129" s="12"/>
      <c r="T129" s="12"/>
      <c r="U129" s="19"/>
      <c r="V129" s="12"/>
      <c r="W129" s="12"/>
      <c r="X129" s="12"/>
      <c r="Y129" s="12"/>
      <c r="Z129" s="12"/>
    </row>
    <row r="130">
      <c r="A130" s="18"/>
      <c r="B130" s="12"/>
      <c r="C130" s="12"/>
      <c r="D130" s="12"/>
      <c r="E130" s="12"/>
      <c r="F130" s="12"/>
      <c r="G130" s="12"/>
      <c r="H130" s="12"/>
      <c r="I130" s="12"/>
      <c r="J130" s="12"/>
      <c r="K130" s="12"/>
      <c r="L130" s="19"/>
      <c r="M130" s="19"/>
      <c r="N130" s="19"/>
      <c r="O130" s="19"/>
      <c r="P130" s="19"/>
      <c r="Q130" s="12"/>
      <c r="R130" s="12"/>
      <c r="S130" s="12"/>
      <c r="T130" s="12"/>
      <c r="U130" s="19"/>
      <c r="V130" s="12"/>
      <c r="W130" s="12"/>
      <c r="X130" s="12"/>
      <c r="Y130" s="12"/>
      <c r="Z130" s="12"/>
    </row>
    <row r="131">
      <c r="A131" s="18"/>
      <c r="B131" s="12"/>
      <c r="C131" s="12"/>
      <c r="D131" s="12"/>
      <c r="E131" s="12"/>
      <c r="F131" s="12"/>
      <c r="G131" s="12"/>
      <c r="H131" s="12"/>
      <c r="I131" s="12"/>
      <c r="J131" s="12"/>
      <c r="K131" s="12"/>
      <c r="L131" s="19"/>
      <c r="M131" s="19"/>
      <c r="N131" s="19"/>
      <c r="O131" s="19"/>
      <c r="P131" s="19"/>
      <c r="Q131" s="12"/>
      <c r="R131" s="12"/>
      <c r="S131" s="12"/>
      <c r="T131" s="12"/>
      <c r="U131" s="19"/>
      <c r="V131" s="12"/>
      <c r="W131" s="12"/>
      <c r="X131" s="12"/>
      <c r="Y131" s="12"/>
      <c r="Z131" s="12"/>
    </row>
    <row r="132">
      <c r="A132" s="18"/>
      <c r="B132" s="12"/>
      <c r="C132" s="12"/>
      <c r="D132" s="12"/>
      <c r="E132" s="12"/>
      <c r="F132" s="12"/>
      <c r="G132" s="12"/>
      <c r="H132" s="12"/>
      <c r="I132" s="12"/>
      <c r="J132" s="12"/>
      <c r="K132" s="12"/>
      <c r="L132" s="19"/>
      <c r="M132" s="19"/>
      <c r="N132" s="19"/>
      <c r="O132" s="19"/>
      <c r="P132" s="19"/>
      <c r="Q132" s="12"/>
      <c r="R132" s="12"/>
      <c r="S132" s="12"/>
      <c r="T132" s="12"/>
      <c r="U132" s="19"/>
      <c r="V132" s="12"/>
      <c r="W132" s="12"/>
      <c r="X132" s="12"/>
      <c r="Y132" s="12"/>
      <c r="Z132" s="12"/>
    </row>
    <row r="133">
      <c r="A133" s="18"/>
      <c r="B133" s="12"/>
      <c r="C133" s="12"/>
      <c r="D133" s="12"/>
      <c r="E133" s="12"/>
      <c r="F133" s="12"/>
      <c r="G133" s="12"/>
      <c r="H133" s="12"/>
      <c r="I133" s="12"/>
      <c r="J133" s="12"/>
      <c r="K133" s="12"/>
      <c r="L133" s="19"/>
      <c r="M133" s="19"/>
      <c r="N133" s="19"/>
      <c r="O133" s="19"/>
      <c r="P133" s="19"/>
      <c r="Q133" s="12"/>
      <c r="R133" s="12"/>
      <c r="S133" s="12"/>
      <c r="T133" s="12"/>
      <c r="U133" s="19"/>
      <c r="V133" s="12"/>
      <c r="W133" s="12"/>
      <c r="X133" s="12"/>
      <c r="Y133" s="12"/>
      <c r="Z133" s="12"/>
    </row>
    <row r="134">
      <c r="A134" s="18"/>
      <c r="B134" s="12"/>
      <c r="C134" s="12"/>
      <c r="D134" s="12"/>
      <c r="E134" s="12"/>
      <c r="F134" s="12"/>
      <c r="G134" s="12"/>
      <c r="H134" s="12"/>
      <c r="I134" s="12"/>
      <c r="J134" s="12"/>
      <c r="K134" s="12"/>
      <c r="L134" s="19"/>
      <c r="M134" s="19"/>
      <c r="N134" s="19"/>
      <c r="O134" s="19"/>
      <c r="P134" s="19"/>
      <c r="Q134" s="12"/>
      <c r="R134" s="12"/>
      <c r="S134" s="12"/>
      <c r="T134" s="12"/>
      <c r="U134" s="19"/>
      <c r="V134" s="12"/>
      <c r="W134" s="12"/>
      <c r="X134" s="12"/>
      <c r="Y134" s="12"/>
      <c r="Z134" s="12"/>
    </row>
    <row r="135">
      <c r="A135" s="18"/>
      <c r="B135" s="12"/>
      <c r="C135" s="12"/>
      <c r="D135" s="12"/>
      <c r="E135" s="12"/>
      <c r="F135" s="12"/>
      <c r="G135" s="12"/>
      <c r="H135" s="12"/>
      <c r="I135" s="12"/>
      <c r="J135" s="12"/>
      <c r="K135" s="12"/>
      <c r="L135" s="19"/>
      <c r="M135" s="19"/>
      <c r="N135" s="19"/>
      <c r="O135" s="19"/>
      <c r="P135" s="19"/>
      <c r="Q135" s="12"/>
      <c r="R135" s="12"/>
      <c r="S135" s="12"/>
      <c r="T135" s="12"/>
      <c r="U135" s="19"/>
      <c r="V135" s="12"/>
      <c r="W135" s="12"/>
      <c r="X135" s="12"/>
      <c r="Y135" s="12"/>
      <c r="Z135" s="12"/>
    </row>
    <row r="136">
      <c r="A136" s="18"/>
      <c r="B136" s="12"/>
      <c r="C136" s="12"/>
      <c r="D136" s="12"/>
      <c r="E136" s="12"/>
      <c r="F136" s="12"/>
      <c r="G136" s="12"/>
      <c r="H136" s="12"/>
      <c r="I136" s="12"/>
      <c r="J136" s="12"/>
      <c r="K136" s="12"/>
      <c r="L136" s="19"/>
      <c r="M136" s="19"/>
      <c r="N136" s="19"/>
      <c r="O136" s="19"/>
      <c r="P136" s="19"/>
      <c r="Q136" s="12"/>
      <c r="R136" s="12"/>
      <c r="S136" s="12"/>
      <c r="T136" s="12"/>
      <c r="U136" s="19"/>
      <c r="V136" s="12"/>
      <c r="W136" s="12"/>
      <c r="X136" s="12"/>
      <c r="Y136" s="12"/>
      <c r="Z136" s="12"/>
    </row>
    <row r="137">
      <c r="A137" s="18"/>
      <c r="B137" s="12"/>
      <c r="C137" s="12"/>
      <c r="D137" s="12"/>
      <c r="E137" s="12"/>
      <c r="F137" s="12"/>
      <c r="G137" s="12"/>
      <c r="H137" s="12"/>
      <c r="I137" s="12"/>
      <c r="J137" s="12"/>
      <c r="K137" s="12"/>
      <c r="L137" s="19"/>
      <c r="M137" s="19"/>
      <c r="N137" s="19"/>
      <c r="O137" s="19"/>
      <c r="P137" s="19"/>
      <c r="Q137" s="12"/>
      <c r="R137" s="12"/>
      <c r="S137" s="12"/>
      <c r="T137" s="12"/>
      <c r="U137" s="19"/>
      <c r="V137" s="12"/>
      <c r="W137" s="12"/>
      <c r="X137" s="12"/>
      <c r="Y137" s="12"/>
      <c r="Z137" s="12"/>
    </row>
    <row r="138">
      <c r="A138" s="18"/>
      <c r="B138" s="12"/>
      <c r="C138" s="12"/>
      <c r="D138" s="12"/>
      <c r="E138" s="12"/>
      <c r="F138" s="12"/>
      <c r="G138" s="12"/>
      <c r="H138" s="12"/>
      <c r="I138" s="12"/>
      <c r="J138" s="12"/>
      <c r="K138" s="12"/>
      <c r="L138" s="19"/>
      <c r="M138" s="19"/>
      <c r="N138" s="19"/>
      <c r="O138" s="19"/>
      <c r="P138" s="19"/>
      <c r="Q138" s="12"/>
      <c r="R138" s="12"/>
      <c r="S138" s="12"/>
      <c r="T138" s="12"/>
      <c r="U138" s="19"/>
      <c r="V138" s="12"/>
      <c r="W138" s="12"/>
      <c r="X138" s="12"/>
      <c r="Y138" s="12"/>
      <c r="Z138" s="12"/>
    </row>
    <row r="139">
      <c r="A139" s="18"/>
      <c r="B139" s="12"/>
      <c r="C139" s="12"/>
      <c r="D139" s="12"/>
      <c r="E139" s="12"/>
      <c r="F139" s="12"/>
      <c r="G139" s="12"/>
      <c r="H139" s="12"/>
      <c r="I139" s="12"/>
      <c r="J139" s="12"/>
      <c r="K139" s="12"/>
      <c r="L139" s="19"/>
      <c r="M139" s="19"/>
      <c r="N139" s="19"/>
      <c r="O139" s="19"/>
      <c r="P139" s="19"/>
      <c r="Q139" s="12"/>
      <c r="R139" s="12"/>
      <c r="S139" s="12"/>
      <c r="T139" s="12"/>
      <c r="U139" s="19"/>
      <c r="V139" s="12"/>
      <c r="W139" s="12"/>
      <c r="X139" s="12"/>
      <c r="Y139" s="12"/>
      <c r="Z139" s="12"/>
    </row>
    <row r="140">
      <c r="A140" s="18"/>
      <c r="B140" s="12"/>
      <c r="C140" s="12"/>
      <c r="D140" s="12"/>
      <c r="E140" s="12"/>
      <c r="F140" s="12"/>
      <c r="G140" s="12"/>
      <c r="H140" s="12"/>
      <c r="I140" s="12"/>
      <c r="J140" s="12"/>
      <c r="K140" s="12"/>
      <c r="L140" s="19"/>
      <c r="M140" s="19"/>
      <c r="N140" s="19"/>
      <c r="O140" s="19"/>
      <c r="P140" s="19"/>
      <c r="Q140" s="12"/>
      <c r="R140" s="12"/>
      <c r="S140" s="12"/>
      <c r="T140" s="12"/>
      <c r="U140" s="19"/>
      <c r="V140" s="12"/>
      <c r="W140" s="12"/>
      <c r="X140" s="12"/>
      <c r="Y140" s="12"/>
      <c r="Z140" s="12"/>
    </row>
    <row r="141">
      <c r="A141" s="18"/>
      <c r="B141" s="12"/>
      <c r="C141" s="12"/>
      <c r="D141" s="12"/>
      <c r="E141" s="12"/>
      <c r="F141" s="12"/>
      <c r="G141" s="12"/>
      <c r="H141" s="12"/>
      <c r="I141" s="12"/>
      <c r="J141" s="12"/>
      <c r="K141" s="12"/>
      <c r="L141" s="19"/>
      <c r="M141" s="19"/>
      <c r="N141" s="19"/>
      <c r="O141" s="19"/>
      <c r="P141" s="19"/>
      <c r="Q141" s="12"/>
      <c r="R141" s="12"/>
      <c r="S141" s="12"/>
      <c r="T141" s="12"/>
      <c r="U141" s="19"/>
      <c r="V141" s="12"/>
      <c r="W141" s="12"/>
      <c r="X141" s="12"/>
      <c r="Y141" s="12"/>
      <c r="Z141" s="12"/>
    </row>
    <row r="142">
      <c r="A142" s="18"/>
      <c r="B142" s="12"/>
      <c r="C142" s="12"/>
      <c r="D142" s="12"/>
      <c r="E142" s="12"/>
      <c r="F142" s="12"/>
      <c r="G142" s="12"/>
      <c r="H142" s="12"/>
      <c r="I142" s="12"/>
      <c r="J142" s="12"/>
      <c r="K142" s="12"/>
      <c r="L142" s="19"/>
      <c r="M142" s="19"/>
      <c r="N142" s="19"/>
      <c r="O142" s="19"/>
      <c r="P142" s="19"/>
      <c r="Q142" s="12"/>
      <c r="R142" s="12"/>
      <c r="S142" s="12"/>
      <c r="T142" s="12"/>
      <c r="U142" s="19"/>
      <c r="V142" s="12"/>
      <c r="W142" s="12"/>
      <c r="X142" s="12"/>
      <c r="Y142" s="12"/>
      <c r="Z142" s="12"/>
    </row>
    <row r="143">
      <c r="A143" s="18"/>
      <c r="B143" s="12"/>
      <c r="C143" s="12"/>
      <c r="D143" s="12"/>
      <c r="E143" s="12"/>
      <c r="F143" s="12"/>
      <c r="G143" s="12"/>
      <c r="H143" s="12"/>
      <c r="I143" s="12"/>
      <c r="J143" s="12"/>
      <c r="K143" s="12"/>
      <c r="L143" s="19"/>
      <c r="M143" s="19"/>
      <c r="N143" s="19"/>
      <c r="O143" s="19"/>
      <c r="P143" s="19"/>
      <c r="Q143" s="12"/>
      <c r="R143" s="12"/>
      <c r="S143" s="12"/>
      <c r="T143" s="12"/>
      <c r="U143" s="19"/>
      <c r="V143" s="12"/>
      <c r="W143" s="12"/>
      <c r="X143" s="12"/>
      <c r="Y143" s="12"/>
      <c r="Z143" s="12"/>
    </row>
    <row r="144">
      <c r="A144" s="18"/>
      <c r="B144" s="12"/>
      <c r="C144" s="12"/>
      <c r="D144" s="12"/>
      <c r="E144" s="12"/>
      <c r="F144" s="12"/>
      <c r="G144" s="12"/>
      <c r="H144" s="12"/>
      <c r="I144" s="12"/>
      <c r="J144" s="12"/>
      <c r="K144" s="12"/>
      <c r="L144" s="19"/>
      <c r="M144" s="19"/>
      <c r="N144" s="19"/>
      <c r="O144" s="19"/>
      <c r="P144" s="19"/>
      <c r="Q144" s="12"/>
      <c r="R144" s="12"/>
      <c r="S144" s="12"/>
      <c r="T144" s="12"/>
      <c r="U144" s="19"/>
      <c r="V144" s="12"/>
      <c r="W144" s="12"/>
      <c r="X144" s="12"/>
      <c r="Y144" s="12"/>
      <c r="Z144" s="12"/>
    </row>
    <row r="145">
      <c r="A145" s="18"/>
      <c r="B145" s="12"/>
      <c r="C145" s="12"/>
      <c r="D145" s="12"/>
      <c r="E145" s="12"/>
      <c r="F145" s="12"/>
      <c r="G145" s="12"/>
      <c r="H145" s="12"/>
      <c r="I145" s="12"/>
      <c r="J145" s="12"/>
      <c r="K145" s="12"/>
      <c r="L145" s="19"/>
      <c r="M145" s="19"/>
      <c r="N145" s="19"/>
      <c r="O145" s="19"/>
      <c r="P145" s="19"/>
      <c r="Q145" s="12"/>
      <c r="R145" s="12"/>
      <c r="S145" s="12"/>
      <c r="T145" s="12"/>
      <c r="U145" s="19"/>
      <c r="V145" s="12"/>
      <c r="W145" s="12"/>
      <c r="X145" s="12"/>
      <c r="Y145" s="12"/>
      <c r="Z145" s="12"/>
    </row>
    <row r="146">
      <c r="A146" s="18"/>
      <c r="B146" s="12"/>
      <c r="C146" s="12"/>
      <c r="D146" s="12"/>
      <c r="E146" s="12"/>
      <c r="F146" s="12"/>
      <c r="G146" s="12"/>
      <c r="H146" s="12"/>
      <c r="I146" s="12"/>
      <c r="J146" s="12"/>
      <c r="K146" s="12"/>
      <c r="L146" s="19"/>
      <c r="M146" s="19"/>
      <c r="N146" s="19"/>
      <c r="O146" s="19"/>
      <c r="P146" s="19"/>
      <c r="Q146" s="12"/>
      <c r="R146" s="12"/>
      <c r="S146" s="12"/>
      <c r="T146" s="12"/>
      <c r="U146" s="19"/>
      <c r="V146" s="12"/>
      <c r="W146" s="12"/>
      <c r="X146" s="12"/>
      <c r="Y146" s="12"/>
      <c r="Z146" s="12"/>
    </row>
    <row r="147">
      <c r="A147" s="18"/>
      <c r="B147" s="12"/>
      <c r="C147" s="12"/>
      <c r="D147" s="12"/>
      <c r="E147" s="12"/>
      <c r="F147" s="12"/>
      <c r="G147" s="12"/>
      <c r="H147" s="12"/>
      <c r="I147" s="12"/>
      <c r="J147" s="12"/>
      <c r="K147" s="12"/>
      <c r="L147" s="19"/>
      <c r="M147" s="19"/>
      <c r="N147" s="19"/>
      <c r="O147" s="19"/>
      <c r="P147" s="19"/>
      <c r="Q147" s="12"/>
      <c r="R147" s="12"/>
      <c r="S147" s="12"/>
      <c r="T147" s="12"/>
      <c r="U147" s="19"/>
      <c r="V147" s="12"/>
      <c r="W147" s="12"/>
      <c r="X147" s="12"/>
      <c r="Y147" s="12"/>
      <c r="Z147" s="12"/>
    </row>
    <row r="148">
      <c r="A148" s="18"/>
      <c r="B148" s="12"/>
      <c r="C148" s="12"/>
      <c r="D148" s="12"/>
      <c r="E148" s="12"/>
      <c r="F148" s="12"/>
      <c r="G148" s="12"/>
      <c r="H148" s="12"/>
      <c r="I148" s="12"/>
      <c r="J148" s="12"/>
      <c r="K148" s="12"/>
      <c r="L148" s="19"/>
      <c r="M148" s="19"/>
      <c r="N148" s="19"/>
      <c r="O148" s="19"/>
      <c r="P148" s="19"/>
      <c r="Q148" s="12"/>
      <c r="R148" s="12"/>
      <c r="S148" s="12"/>
      <c r="T148" s="12"/>
      <c r="U148" s="19"/>
      <c r="V148" s="12"/>
      <c r="W148" s="12"/>
      <c r="X148" s="12"/>
      <c r="Y148" s="12"/>
      <c r="Z148" s="12"/>
    </row>
    <row r="149">
      <c r="A149" s="18"/>
      <c r="B149" s="12"/>
      <c r="C149" s="12"/>
      <c r="D149" s="12"/>
      <c r="E149" s="12"/>
      <c r="F149" s="12"/>
      <c r="G149" s="12"/>
      <c r="H149" s="12"/>
      <c r="I149" s="12"/>
      <c r="J149" s="12"/>
      <c r="K149" s="12"/>
      <c r="L149" s="19"/>
      <c r="M149" s="19"/>
      <c r="N149" s="19"/>
      <c r="O149" s="19"/>
      <c r="P149" s="19"/>
      <c r="Q149" s="12"/>
      <c r="R149" s="12"/>
      <c r="S149" s="12"/>
      <c r="T149" s="12"/>
      <c r="U149" s="19"/>
      <c r="V149" s="12"/>
      <c r="W149" s="12"/>
      <c r="X149" s="12"/>
      <c r="Y149" s="12"/>
      <c r="Z149" s="12"/>
    </row>
    <row r="150">
      <c r="A150" s="18"/>
      <c r="B150" s="12"/>
      <c r="C150" s="12"/>
      <c r="D150" s="12"/>
      <c r="E150" s="12"/>
      <c r="F150" s="12"/>
      <c r="G150" s="12"/>
      <c r="H150" s="12"/>
      <c r="I150" s="12"/>
      <c r="J150" s="12"/>
      <c r="K150" s="12"/>
      <c r="L150" s="19"/>
      <c r="M150" s="19"/>
      <c r="N150" s="19"/>
      <c r="O150" s="19"/>
      <c r="P150" s="19"/>
      <c r="Q150" s="12"/>
      <c r="R150" s="12"/>
      <c r="S150" s="12"/>
      <c r="T150" s="12"/>
      <c r="U150" s="19"/>
      <c r="V150" s="12"/>
      <c r="W150" s="12"/>
      <c r="X150" s="12"/>
      <c r="Y150" s="12"/>
      <c r="Z150" s="12"/>
    </row>
    <row r="151">
      <c r="A151" s="18"/>
      <c r="B151" s="12"/>
      <c r="C151" s="12"/>
      <c r="D151" s="12"/>
      <c r="E151" s="12"/>
      <c r="F151" s="12"/>
      <c r="G151" s="12"/>
      <c r="H151" s="12"/>
      <c r="I151" s="12"/>
      <c r="J151" s="12"/>
      <c r="K151" s="12"/>
      <c r="L151" s="19"/>
      <c r="M151" s="19"/>
      <c r="N151" s="19"/>
      <c r="O151" s="19"/>
      <c r="P151" s="19"/>
      <c r="Q151" s="12"/>
      <c r="R151" s="12"/>
      <c r="S151" s="12"/>
      <c r="T151" s="12"/>
      <c r="U151" s="19"/>
      <c r="V151" s="12"/>
      <c r="W151" s="12"/>
      <c r="X151" s="12"/>
      <c r="Y151" s="12"/>
      <c r="Z151" s="12"/>
    </row>
    <row r="152">
      <c r="A152" s="18"/>
      <c r="B152" s="12"/>
      <c r="C152" s="12"/>
      <c r="D152" s="12"/>
      <c r="E152" s="12"/>
      <c r="F152" s="12"/>
      <c r="G152" s="12"/>
      <c r="H152" s="12"/>
      <c r="I152" s="12"/>
      <c r="J152" s="12"/>
      <c r="K152" s="12"/>
      <c r="L152" s="19"/>
      <c r="M152" s="19"/>
      <c r="N152" s="19"/>
      <c r="O152" s="19"/>
      <c r="P152" s="19"/>
      <c r="Q152" s="12"/>
      <c r="R152" s="12"/>
      <c r="S152" s="12"/>
      <c r="T152" s="12"/>
      <c r="U152" s="19"/>
      <c r="V152" s="12"/>
      <c r="W152" s="12"/>
      <c r="X152" s="12"/>
      <c r="Y152" s="12"/>
      <c r="Z152" s="12"/>
    </row>
    <row r="153">
      <c r="A153" s="18"/>
      <c r="B153" s="12"/>
      <c r="C153" s="12"/>
      <c r="D153" s="12"/>
      <c r="E153" s="12"/>
      <c r="F153" s="12"/>
      <c r="G153" s="12"/>
      <c r="H153" s="12"/>
      <c r="I153" s="12"/>
      <c r="J153" s="12"/>
      <c r="K153" s="12"/>
      <c r="L153" s="19"/>
      <c r="M153" s="19"/>
      <c r="N153" s="19"/>
      <c r="O153" s="19"/>
      <c r="P153" s="19"/>
      <c r="Q153" s="12"/>
      <c r="R153" s="12"/>
      <c r="S153" s="12"/>
      <c r="T153" s="12"/>
      <c r="U153" s="19"/>
      <c r="V153" s="12"/>
      <c r="W153" s="12"/>
      <c r="X153" s="12"/>
      <c r="Y153" s="12"/>
      <c r="Z153" s="12"/>
    </row>
    <row r="154">
      <c r="A154" s="18"/>
      <c r="B154" s="12"/>
      <c r="C154" s="12"/>
      <c r="D154" s="12"/>
      <c r="E154" s="12"/>
      <c r="F154" s="12"/>
      <c r="G154" s="12"/>
      <c r="H154" s="12"/>
      <c r="I154" s="12"/>
      <c r="J154" s="12"/>
      <c r="K154" s="12"/>
      <c r="L154" s="19"/>
      <c r="M154" s="19"/>
      <c r="N154" s="19"/>
      <c r="O154" s="19"/>
      <c r="P154" s="19"/>
      <c r="Q154" s="12"/>
      <c r="R154" s="12"/>
      <c r="S154" s="12"/>
      <c r="T154" s="12"/>
      <c r="U154" s="19"/>
      <c r="V154" s="12"/>
      <c r="W154" s="12"/>
      <c r="X154" s="12"/>
      <c r="Y154" s="12"/>
      <c r="Z154" s="12"/>
    </row>
    <row r="155">
      <c r="A155" s="18"/>
      <c r="B155" s="12"/>
      <c r="C155" s="12"/>
      <c r="D155" s="12"/>
      <c r="E155" s="12"/>
      <c r="F155" s="12"/>
      <c r="G155" s="12"/>
      <c r="H155" s="12"/>
      <c r="I155" s="12"/>
      <c r="J155" s="12"/>
      <c r="K155" s="12"/>
      <c r="L155" s="19"/>
      <c r="M155" s="19"/>
      <c r="N155" s="19"/>
      <c r="O155" s="19"/>
      <c r="P155" s="19"/>
      <c r="Q155" s="12"/>
      <c r="R155" s="12"/>
      <c r="S155" s="12"/>
      <c r="T155" s="12"/>
      <c r="U155" s="19"/>
      <c r="V155" s="12"/>
      <c r="W155" s="12"/>
      <c r="X155" s="12"/>
      <c r="Y155" s="12"/>
      <c r="Z155" s="12"/>
    </row>
    <row r="156">
      <c r="A156" s="18"/>
      <c r="B156" s="12"/>
      <c r="C156" s="12"/>
      <c r="D156" s="12"/>
      <c r="E156" s="12"/>
      <c r="F156" s="12"/>
      <c r="G156" s="12"/>
      <c r="H156" s="12"/>
      <c r="I156" s="12"/>
      <c r="J156" s="12"/>
      <c r="K156" s="12"/>
      <c r="L156" s="19"/>
      <c r="M156" s="19"/>
      <c r="N156" s="19"/>
      <c r="O156" s="19"/>
      <c r="P156" s="19"/>
      <c r="Q156" s="12"/>
      <c r="R156" s="12"/>
      <c r="S156" s="12"/>
      <c r="T156" s="12"/>
      <c r="U156" s="19"/>
      <c r="V156" s="12"/>
      <c r="W156" s="12"/>
      <c r="X156" s="12"/>
      <c r="Y156" s="12"/>
      <c r="Z156" s="12"/>
    </row>
    <row r="157">
      <c r="A157" s="18"/>
      <c r="B157" s="12"/>
      <c r="C157" s="12"/>
      <c r="D157" s="12"/>
      <c r="E157" s="12"/>
      <c r="F157" s="12"/>
      <c r="G157" s="12"/>
      <c r="H157" s="12"/>
      <c r="I157" s="12"/>
      <c r="J157" s="12"/>
      <c r="K157" s="12"/>
      <c r="L157" s="19"/>
      <c r="M157" s="19"/>
      <c r="N157" s="19"/>
      <c r="O157" s="19"/>
      <c r="P157" s="19"/>
      <c r="Q157" s="12"/>
      <c r="R157" s="12"/>
      <c r="S157" s="12"/>
      <c r="T157" s="12"/>
      <c r="U157" s="19"/>
      <c r="V157" s="12"/>
      <c r="W157" s="12"/>
      <c r="X157" s="12"/>
      <c r="Y157" s="12"/>
      <c r="Z157" s="12"/>
    </row>
    <row r="158">
      <c r="A158" s="18"/>
      <c r="B158" s="12"/>
      <c r="C158" s="12"/>
      <c r="D158" s="12"/>
      <c r="E158" s="12"/>
      <c r="F158" s="12"/>
      <c r="G158" s="12"/>
      <c r="H158" s="12"/>
      <c r="I158" s="12"/>
      <c r="J158" s="12"/>
      <c r="K158" s="12"/>
      <c r="L158" s="19"/>
      <c r="M158" s="19"/>
      <c r="N158" s="19"/>
      <c r="O158" s="19"/>
      <c r="P158" s="19"/>
      <c r="Q158" s="12"/>
      <c r="R158" s="12"/>
      <c r="S158" s="12"/>
      <c r="T158" s="12"/>
      <c r="U158" s="19"/>
      <c r="V158" s="12"/>
      <c r="W158" s="12"/>
      <c r="X158" s="12"/>
      <c r="Y158" s="12"/>
      <c r="Z158" s="12"/>
    </row>
    <row r="159">
      <c r="A159" s="18"/>
      <c r="B159" s="12"/>
      <c r="C159" s="12"/>
      <c r="D159" s="12"/>
      <c r="E159" s="12"/>
      <c r="F159" s="12"/>
      <c r="G159" s="12"/>
      <c r="H159" s="12"/>
      <c r="I159" s="12"/>
      <c r="J159" s="12"/>
      <c r="K159" s="12"/>
      <c r="L159" s="19"/>
      <c r="M159" s="19"/>
      <c r="N159" s="19"/>
      <c r="O159" s="19"/>
      <c r="P159" s="19"/>
      <c r="Q159" s="12"/>
      <c r="R159" s="12"/>
      <c r="S159" s="12"/>
      <c r="T159" s="12"/>
      <c r="U159" s="19"/>
      <c r="V159" s="12"/>
      <c r="W159" s="12"/>
      <c r="X159" s="12"/>
      <c r="Y159" s="12"/>
      <c r="Z159" s="12"/>
    </row>
    <row r="160">
      <c r="A160" s="18"/>
      <c r="B160" s="12"/>
      <c r="C160" s="12"/>
      <c r="D160" s="12"/>
      <c r="E160" s="12"/>
      <c r="F160" s="12"/>
      <c r="G160" s="12"/>
      <c r="H160" s="12"/>
      <c r="I160" s="12"/>
      <c r="J160" s="12"/>
      <c r="K160" s="12"/>
      <c r="L160" s="19"/>
      <c r="M160" s="19"/>
      <c r="N160" s="19"/>
      <c r="O160" s="19"/>
      <c r="P160" s="19"/>
      <c r="Q160" s="12"/>
      <c r="R160" s="12"/>
      <c r="S160" s="12"/>
      <c r="T160" s="12"/>
      <c r="U160" s="19"/>
      <c r="V160" s="12"/>
      <c r="W160" s="12"/>
      <c r="X160" s="12"/>
      <c r="Y160" s="12"/>
      <c r="Z160" s="12"/>
    </row>
    <row r="161">
      <c r="A161" s="18"/>
      <c r="B161" s="12"/>
      <c r="C161" s="12"/>
      <c r="D161" s="12"/>
      <c r="E161" s="12"/>
      <c r="F161" s="12"/>
      <c r="G161" s="12"/>
      <c r="H161" s="12"/>
      <c r="I161" s="12"/>
      <c r="J161" s="12"/>
      <c r="K161" s="12"/>
      <c r="L161" s="19"/>
      <c r="M161" s="19"/>
      <c r="N161" s="19"/>
      <c r="O161" s="19"/>
      <c r="P161" s="19"/>
      <c r="Q161" s="12"/>
      <c r="R161" s="12"/>
      <c r="S161" s="12"/>
      <c r="T161" s="12"/>
      <c r="U161" s="19"/>
      <c r="V161" s="12"/>
      <c r="W161" s="12"/>
      <c r="X161" s="12"/>
      <c r="Y161" s="12"/>
      <c r="Z161" s="12"/>
    </row>
    <row r="162">
      <c r="A162" s="18"/>
      <c r="B162" s="12"/>
      <c r="C162" s="12"/>
      <c r="D162" s="12"/>
      <c r="E162" s="12"/>
      <c r="F162" s="12"/>
      <c r="G162" s="12"/>
      <c r="H162" s="12"/>
      <c r="I162" s="12"/>
      <c r="J162" s="12"/>
      <c r="K162" s="12"/>
      <c r="L162" s="19"/>
      <c r="M162" s="19"/>
      <c r="N162" s="19"/>
      <c r="O162" s="19"/>
      <c r="P162" s="19"/>
      <c r="Q162" s="12"/>
      <c r="R162" s="12"/>
      <c r="S162" s="12"/>
      <c r="T162" s="12"/>
      <c r="U162" s="19"/>
      <c r="V162" s="12"/>
      <c r="W162" s="12"/>
      <c r="X162" s="12"/>
      <c r="Y162" s="12"/>
      <c r="Z162" s="12"/>
    </row>
    <row r="163">
      <c r="A163" s="18"/>
      <c r="B163" s="12"/>
      <c r="C163" s="12"/>
      <c r="D163" s="12"/>
      <c r="E163" s="12"/>
      <c r="F163" s="12"/>
      <c r="G163" s="12"/>
      <c r="H163" s="12"/>
      <c r="I163" s="12"/>
      <c r="J163" s="12"/>
      <c r="K163" s="12"/>
      <c r="L163" s="19"/>
      <c r="M163" s="19"/>
      <c r="N163" s="19"/>
      <c r="O163" s="19"/>
      <c r="P163" s="19"/>
      <c r="Q163" s="12"/>
      <c r="R163" s="12"/>
      <c r="S163" s="12"/>
      <c r="T163" s="12"/>
      <c r="U163" s="19"/>
      <c r="V163" s="12"/>
      <c r="W163" s="12"/>
      <c r="X163" s="12"/>
      <c r="Y163" s="12"/>
      <c r="Z163" s="12"/>
    </row>
    <row r="164">
      <c r="A164" s="18"/>
      <c r="B164" s="12"/>
      <c r="C164" s="12"/>
      <c r="D164" s="12"/>
      <c r="E164" s="12"/>
      <c r="F164" s="12"/>
      <c r="G164" s="12"/>
      <c r="H164" s="12"/>
      <c r="I164" s="12"/>
      <c r="J164" s="12"/>
      <c r="K164" s="12"/>
      <c r="L164" s="19"/>
      <c r="M164" s="19"/>
      <c r="N164" s="19"/>
      <c r="O164" s="19"/>
      <c r="P164" s="19"/>
      <c r="Q164" s="12"/>
      <c r="R164" s="12"/>
      <c r="S164" s="12"/>
      <c r="T164" s="12"/>
      <c r="U164" s="19"/>
      <c r="V164" s="12"/>
      <c r="W164" s="12"/>
      <c r="X164" s="12"/>
      <c r="Y164" s="12"/>
      <c r="Z164" s="12"/>
    </row>
    <row r="165">
      <c r="A165" s="18"/>
      <c r="B165" s="12"/>
      <c r="C165" s="12"/>
      <c r="D165" s="12"/>
      <c r="E165" s="12"/>
      <c r="F165" s="12"/>
      <c r="G165" s="12"/>
      <c r="H165" s="12"/>
      <c r="I165" s="12"/>
      <c r="J165" s="12"/>
      <c r="K165" s="12"/>
      <c r="L165" s="19"/>
      <c r="M165" s="19"/>
      <c r="N165" s="19"/>
      <c r="O165" s="19"/>
      <c r="P165" s="19"/>
      <c r="Q165" s="12"/>
      <c r="R165" s="12"/>
      <c r="S165" s="12"/>
      <c r="T165" s="12"/>
      <c r="U165" s="19"/>
      <c r="V165" s="12"/>
      <c r="W165" s="12"/>
      <c r="X165" s="12"/>
      <c r="Y165" s="12"/>
      <c r="Z165" s="12"/>
    </row>
    <row r="166">
      <c r="A166" s="18"/>
      <c r="B166" s="12"/>
      <c r="C166" s="12"/>
      <c r="D166" s="12"/>
      <c r="E166" s="12"/>
      <c r="F166" s="12"/>
      <c r="G166" s="12"/>
      <c r="H166" s="12"/>
      <c r="I166" s="12"/>
      <c r="J166" s="12"/>
      <c r="K166" s="12"/>
      <c r="L166" s="19"/>
      <c r="M166" s="19"/>
      <c r="N166" s="19"/>
      <c r="O166" s="19"/>
      <c r="P166" s="19"/>
      <c r="Q166" s="12"/>
      <c r="R166" s="12"/>
      <c r="S166" s="12"/>
      <c r="T166" s="12"/>
      <c r="U166" s="19"/>
      <c r="V166" s="12"/>
      <c r="W166" s="12"/>
      <c r="X166" s="12"/>
      <c r="Y166" s="12"/>
      <c r="Z166" s="12"/>
    </row>
    <row r="167">
      <c r="A167" s="18"/>
      <c r="B167" s="12"/>
      <c r="C167" s="12"/>
      <c r="D167" s="12"/>
      <c r="E167" s="12"/>
      <c r="F167" s="12"/>
      <c r="G167" s="12"/>
      <c r="H167" s="12"/>
      <c r="I167" s="12"/>
      <c r="J167" s="12"/>
      <c r="K167" s="12"/>
      <c r="L167" s="19"/>
      <c r="M167" s="19"/>
      <c r="N167" s="19"/>
      <c r="O167" s="19"/>
      <c r="P167" s="19"/>
      <c r="Q167" s="12"/>
      <c r="R167" s="12"/>
      <c r="S167" s="12"/>
      <c r="T167" s="12"/>
      <c r="U167" s="19"/>
      <c r="V167" s="12"/>
      <c r="W167" s="12"/>
      <c r="X167" s="12"/>
      <c r="Y167" s="12"/>
      <c r="Z167" s="12"/>
    </row>
    <row r="168">
      <c r="A168" s="18"/>
      <c r="B168" s="12"/>
      <c r="C168" s="12"/>
      <c r="D168" s="12"/>
      <c r="E168" s="12"/>
      <c r="F168" s="12"/>
      <c r="G168" s="12"/>
      <c r="H168" s="12"/>
      <c r="I168" s="12"/>
      <c r="J168" s="12"/>
      <c r="K168" s="12"/>
      <c r="L168" s="19"/>
      <c r="M168" s="19"/>
      <c r="N168" s="19"/>
      <c r="O168" s="19"/>
      <c r="P168" s="19"/>
      <c r="Q168" s="12"/>
      <c r="R168" s="12"/>
      <c r="S168" s="12"/>
      <c r="T168" s="12"/>
      <c r="U168" s="19"/>
      <c r="V168" s="12"/>
      <c r="W168" s="12"/>
      <c r="X168" s="12"/>
      <c r="Y168" s="12"/>
      <c r="Z168" s="12"/>
    </row>
    <row r="169">
      <c r="A169" s="18"/>
      <c r="B169" s="12"/>
      <c r="C169" s="12"/>
      <c r="D169" s="12"/>
      <c r="E169" s="12"/>
      <c r="F169" s="12"/>
      <c r="G169" s="12"/>
      <c r="H169" s="12"/>
      <c r="I169" s="12"/>
      <c r="J169" s="12"/>
      <c r="K169" s="12"/>
      <c r="L169" s="19"/>
      <c r="M169" s="19"/>
      <c r="N169" s="19"/>
      <c r="O169" s="19"/>
      <c r="P169" s="19"/>
      <c r="Q169" s="12"/>
      <c r="R169" s="12"/>
      <c r="S169" s="12"/>
      <c r="T169" s="12"/>
      <c r="U169" s="19"/>
      <c r="V169" s="12"/>
      <c r="W169" s="12"/>
      <c r="X169" s="12"/>
      <c r="Y169" s="12"/>
      <c r="Z169" s="12"/>
    </row>
    <row r="170">
      <c r="A170" s="18"/>
      <c r="B170" s="12"/>
      <c r="C170" s="12"/>
      <c r="D170" s="12"/>
      <c r="E170" s="12"/>
      <c r="F170" s="12"/>
      <c r="G170" s="12"/>
      <c r="H170" s="12"/>
      <c r="I170" s="12"/>
      <c r="J170" s="12"/>
      <c r="K170" s="12"/>
      <c r="L170" s="19"/>
      <c r="M170" s="19"/>
      <c r="N170" s="19"/>
      <c r="O170" s="19"/>
      <c r="P170" s="19"/>
      <c r="Q170" s="12"/>
      <c r="R170" s="12"/>
      <c r="S170" s="12"/>
      <c r="T170" s="12"/>
      <c r="U170" s="19"/>
      <c r="V170" s="12"/>
      <c r="W170" s="12"/>
      <c r="X170" s="12"/>
      <c r="Y170" s="12"/>
      <c r="Z170" s="12"/>
    </row>
    <row r="171">
      <c r="A171" s="18"/>
      <c r="B171" s="12"/>
      <c r="C171" s="12"/>
      <c r="D171" s="12"/>
      <c r="E171" s="12"/>
      <c r="F171" s="12"/>
      <c r="G171" s="12"/>
      <c r="H171" s="12"/>
      <c r="I171" s="12"/>
      <c r="J171" s="12"/>
      <c r="K171" s="12"/>
      <c r="L171" s="19"/>
      <c r="M171" s="19"/>
      <c r="N171" s="19"/>
      <c r="O171" s="19"/>
      <c r="P171" s="19"/>
      <c r="Q171" s="12"/>
      <c r="R171" s="12"/>
      <c r="S171" s="12"/>
      <c r="T171" s="12"/>
      <c r="U171" s="19"/>
      <c r="V171" s="12"/>
      <c r="W171" s="12"/>
      <c r="X171" s="12"/>
      <c r="Y171" s="12"/>
      <c r="Z171" s="12"/>
    </row>
    <row r="172">
      <c r="A172" s="18"/>
      <c r="B172" s="12"/>
      <c r="C172" s="12"/>
      <c r="D172" s="12"/>
      <c r="E172" s="12"/>
      <c r="F172" s="12"/>
      <c r="G172" s="12"/>
      <c r="H172" s="12"/>
      <c r="I172" s="12"/>
      <c r="J172" s="12"/>
      <c r="K172" s="12"/>
      <c r="L172" s="19"/>
      <c r="M172" s="19"/>
      <c r="N172" s="19"/>
      <c r="O172" s="19"/>
      <c r="P172" s="19"/>
      <c r="Q172" s="12"/>
      <c r="R172" s="12"/>
      <c r="S172" s="12"/>
      <c r="T172" s="12"/>
      <c r="U172" s="19"/>
      <c r="V172" s="12"/>
      <c r="W172" s="12"/>
      <c r="X172" s="12"/>
      <c r="Y172" s="12"/>
      <c r="Z172" s="12"/>
    </row>
    <row r="173">
      <c r="A173" s="18"/>
      <c r="B173" s="12"/>
      <c r="C173" s="12"/>
      <c r="D173" s="12"/>
      <c r="E173" s="12"/>
      <c r="F173" s="12"/>
      <c r="G173" s="12"/>
      <c r="H173" s="12"/>
      <c r="I173" s="12"/>
      <c r="J173" s="12"/>
      <c r="K173" s="12"/>
      <c r="L173" s="19"/>
      <c r="M173" s="19"/>
      <c r="N173" s="19"/>
      <c r="O173" s="19"/>
      <c r="P173" s="19"/>
      <c r="Q173" s="12"/>
      <c r="R173" s="12"/>
      <c r="S173" s="12"/>
      <c r="T173" s="12"/>
      <c r="U173" s="19"/>
      <c r="V173" s="12"/>
      <c r="W173" s="12"/>
      <c r="X173" s="12"/>
      <c r="Y173" s="12"/>
      <c r="Z173" s="12"/>
    </row>
    <row r="174">
      <c r="A174" s="18"/>
      <c r="B174" s="12"/>
      <c r="C174" s="12"/>
      <c r="D174" s="12"/>
      <c r="E174" s="12"/>
      <c r="F174" s="12"/>
      <c r="G174" s="12"/>
      <c r="H174" s="12"/>
      <c r="I174" s="12"/>
      <c r="J174" s="12"/>
      <c r="K174" s="12"/>
      <c r="L174" s="19"/>
      <c r="M174" s="19"/>
      <c r="N174" s="19"/>
      <c r="O174" s="19"/>
      <c r="P174" s="19"/>
      <c r="Q174" s="12"/>
      <c r="R174" s="12"/>
      <c r="S174" s="12"/>
      <c r="T174" s="12"/>
      <c r="U174" s="19"/>
      <c r="V174" s="12"/>
      <c r="W174" s="12"/>
      <c r="X174" s="12"/>
      <c r="Y174" s="12"/>
      <c r="Z174" s="12"/>
    </row>
    <row r="175">
      <c r="A175" s="18"/>
      <c r="B175" s="12"/>
      <c r="C175" s="12"/>
      <c r="D175" s="12"/>
      <c r="E175" s="12"/>
      <c r="F175" s="12"/>
      <c r="G175" s="12"/>
      <c r="H175" s="12"/>
      <c r="I175" s="12"/>
      <c r="J175" s="12"/>
      <c r="K175" s="12"/>
      <c r="L175" s="19"/>
      <c r="M175" s="19"/>
      <c r="N175" s="19"/>
      <c r="O175" s="19"/>
      <c r="P175" s="19"/>
      <c r="Q175" s="12"/>
      <c r="R175" s="12"/>
      <c r="S175" s="12"/>
      <c r="T175" s="12"/>
      <c r="U175" s="19"/>
      <c r="V175" s="12"/>
      <c r="W175" s="12"/>
      <c r="X175" s="12"/>
      <c r="Y175" s="12"/>
      <c r="Z175" s="12"/>
    </row>
    <row r="176">
      <c r="A176" s="18"/>
      <c r="B176" s="12"/>
      <c r="C176" s="12"/>
      <c r="D176" s="12"/>
      <c r="E176" s="12"/>
      <c r="F176" s="12"/>
      <c r="G176" s="12"/>
      <c r="H176" s="12"/>
      <c r="I176" s="12"/>
      <c r="J176" s="12"/>
      <c r="K176" s="12"/>
      <c r="L176" s="19"/>
      <c r="M176" s="19"/>
      <c r="N176" s="19"/>
      <c r="O176" s="19"/>
      <c r="P176" s="19"/>
      <c r="Q176" s="12"/>
      <c r="R176" s="12"/>
      <c r="S176" s="12"/>
      <c r="T176" s="12"/>
      <c r="U176" s="19"/>
      <c r="V176" s="12"/>
      <c r="W176" s="12"/>
      <c r="X176" s="12"/>
      <c r="Y176" s="12"/>
      <c r="Z176" s="12"/>
    </row>
    <row r="177">
      <c r="A177" s="18"/>
      <c r="B177" s="12"/>
      <c r="C177" s="12"/>
      <c r="D177" s="12"/>
      <c r="E177" s="12"/>
      <c r="F177" s="12"/>
      <c r="G177" s="12"/>
      <c r="H177" s="12"/>
      <c r="I177" s="12"/>
      <c r="J177" s="12"/>
      <c r="K177" s="12"/>
      <c r="L177" s="19"/>
      <c r="M177" s="19"/>
      <c r="N177" s="19"/>
      <c r="O177" s="19"/>
      <c r="P177" s="19"/>
      <c r="Q177" s="12"/>
      <c r="R177" s="12"/>
      <c r="S177" s="12"/>
      <c r="T177" s="12"/>
      <c r="U177" s="19"/>
      <c r="V177" s="12"/>
      <c r="W177" s="12"/>
      <c r="X177" s="12"/>
      <c r="Y177" s="12"/>
      <c r="Z177" s="12"/>
    </row>
    <row r="178">
      <c r="A178" s="18"/>
      <c r="B178" s="12"/>
      <c r="C178" s="12"/>
      <c r="D178" s="12"/>
      <c r="E178" s="12"/>
      <c r="F178" s="12"/>
      <c r="G178" s="12"/>
      <c r="H178" s="12"/>
      <c r="I178" s="12"/>
      <c r="J178" s="12"/>
      <c r="K178" s="12"/>
      <c r="L178" s="19"/>
      <c r="M178" s="19"/>
      <c r="N178" s="19"/>
      <c r="O178" s="19"/>
      <c r="P178" s="19"/>
      <c r="Q178" s="12"/>
      <c r="R178" s="12"/>
      <c r="S178" s="12"/>
      <c r="T178" s="12"/>
      <c r="U178" s="19"/>
      <c r="V178" s="12"/>
      <c r="W178" s="12"/>
      <c r="X178" s="12"/>
      <c r="Y178" s="12"/>
      <c r="Z178" s="12"/>
    </row>
    <row r="179">
      <c r="A179" s="18"/>
      <c r="B179" s="12"/>
      <c r="C179" s="12"/>
      <c r="D179" s="12"/>
      <c r="E179" s="12"/>
      <c r="F179" s="12"/>
      <c r="G179" s="12"/>
      <c r="H179" s="12"/>
      <c r="I179" s="12"/>
      <c r="J179" s="12"/>
      <c r="K179" s="12"/>
      <c r="L179" s="19"/>
      <c r="M179" s="19"/>
      <c r="N179" s="19"/>
      <c r="O179" s="19"/>
      <c r="P179" s="19"/>
      <c r="Q179" s="12"/>
      <c r="R179" s="12"/>
      <c r="S179" s="12"/>
      <c r="T179" s="12"/>
      <c r="U179" s="19"/>
      <c r="V179" s="12"/>
      <c r="W179" s="12"/>
      <c r="X179" s="12"/>
      <c r="Y179" s="12"/>
      <c r="Z179" s="12"/>
    </row>
    <row r="180">
      <c r="A180" s="18"/>
      <c r="B180" s="12"/>
      <c r="C180" s="12"/>
      <c r="D180" s="12"/>
      <c r="E180" s="12"/>
      <c r="F180" s="12"/>
      <c r="G180" s="12"/>
      <c r="H180" s="12"/>
      <c r="I180" s="12"/>
      <c r="J180" s="12"/>
      <c r="K180" s="12"/>
      <c r="L180" s="19"/>
      <c r="M180" s="19"/>
      <c r="N180" s="19"/>
      <c r="O180" s="19"/>
      <c r="P180" s="19"/>
      <c r="Q180" s="12"/>
      <c r="R180" s="12"/>
      <c r="S180" s="12"/>
      <c r="T180" s="12"/>
      <c r="U180" s="19"/>
      <c r="V180" s="12"/>
      <c r="W180" s="12"/>
      <c r="X180" s="12"/>
      <c r="Y180" s="12"/>
      <c r="Z180" s="12"/>
    </row>
    <row r="181">
      <c r="A181" s="18"/>
      <c r="B181" s="12"/>
      <c r="C181" s="12"/>
      <c r="D181" s="12"/>
      <c r="E181" s="12"/>
      <c r="F181" s="12"/>
      <c r="G181" s="12"/>
      <c r="H181" s="12"/>
      <c r="I181" s="12"/>
      <c r="J181" s="12"/>
      <c r="K181" s="12"/>
      <c r="L181" s="19"/>
      <c r="M181" s="19"/>
      <c r="N181" s="19"/>
      <c r="O181" s="19"/>
      <c r="P181" s="19"/>
      <c r="Q181" s="12"/>
      <c r="R181" s="12"/>
      <c r="S181" s="12"/>
      <c r="T181" s="12"/>
      <c r="U181" s="19"/>
      <c r="V181" s="12"/>
      <c r="W181" s="12"/>
      <c r="X181" s="12"/>
      <c r="Y181" s="12"/>
      <c r="Z181" s="12"/>
    </row>
    <row r="182">
      <c r="A182" s="18"/>
      <c r="B182" s="12"/>
      <c r="C182" s="12"/>
      <c r="D182" s="12"/>
      <c r="E182" s="12"/>
      <c r="F182" s="12"/>
      <c r="G182" s="12"/>
      <c r="H182" s="12"/>
      <c r="I182" s="12"/>
      <c r="J182" s="12"/>
      <c r="K182" s="12"/>
      <c r="L182" s="19"/>
      <c r="M182" s="19"/>
      <c r="N182" s="19"/>
      <c r="O182" s="19"/>
      <c r="P182" s="19"/>
      <c r="Q182" s="12"/>
      <c r="R182" s="12"/>
      <c r="S182" s="12"/>
      <c r="T182" s="12"/>
      <c r="U182" s="19"/>
      <c r="V182" s="12"/>
      <c r="W182" s="12"/>
      <c r="X182" s="12"/>
      <c r="Y182" s="12"/>
      <c r="Z182" s="12"/>
    </row>
    <row r="183">
      <c r="A183" s="18"/>
      <c r="B183" s="12"/>
      <c r="C183" s="12"/>
      <c r="D183" s="12"/>
      <c r="E183" s="12"/>
      <c r="F183" s="12"/>
      <c r="G183" s="12"/>
      <c r="H183" s="12"/>
      <c r="I183" s="12"/>
      <c r="J183" s="12"/>
      <c r="K183" s="12"/>
      <c r="L183" s="19"/>
      <c r="M183" s="19"/>
      <c r="N183" s="19"/>
      <c r="O183" s="19"/>
      <c r="P183" s="19"/>
      <c r="Q183" s="12"/>
      <c r="R183" s="12"/>
      <c r="S183" s="12"/>
      <c r="T183" s="12"/>
      <c r="U183" s="19"/>
      <c r="V183" s="12"/>
      <c r="W183" s="12"/>
      <c r="X183" s="12"/>
      <c r="Y183" s="12"/>
      <c r="Z183" s="12"/>
    </row>
    <row r="184">
      <c r="A184" s="18"/>
      <c r="B184" s="12"/>
      <c r="C184" s="12"/>
      <c r="D184" s="12"/>
      <c r="E184" s="12"/>
      <c r="F184" s="12"/>
      <c r="G184" s="12"/>
      <c r="H184" s="12"/>
      <c r="I184" s="12"/>
      <c r="J184" s="12"/>
      <c r="K184" s="12"/>
      <c r="L184" s="19"/>
      <c r="M184" s="19"/>
      <c r="N184" s="19"/>
      <c r="O184" s="19"/>
      <c r="P184" s="19"/>
      <c r="Q184" s="12"/>
      <c r="R184" s="12"/>
      <c r="S184" s="12"/>
      <c r="T184" s="12"/>
      <c r="U184" s="19"/>
      <c r="V184" s="12"/>
      <c r="W184" s="12"/>
      <c r="X184" s="12"/>
      <c r="Y184" s="12"/>
      <c r="Z184" s="12"/>
    </row>
    <row r="185">
      <c r="A185" s="18"/>
      <c r="B185" s="12"/>
      <c r="C185" s="12"/>
      <c r="D185" s="12"/>
      <c r="E185" s="12"/>
      <c r="F185" s="12"/>
      <c r="G185" s="12"/>
      <c r="H185" s="12"/>
      <c r="I185" s="12"/>
      <c r="J185" s="12"/>
      <c r="K185" s="12"/>
      <c r="L185" s="19"/>
      <c r="M185" s="19"/>
      <c r="N185" s="19"/>
      <c r="O185" s="19"/>
      <c r="P185" s="19"/>
      <c r="Q185" s="12"/>
      <c r="R185" s="12"/>
      <c r="S185" s="12"/>
      <c r="T185" s="12"/>
      <c r="U185" s="19"/>
      <c r="V185" s="12"/>
      <c r="W185" s="12"/>
      <c r="X185" s="12"/>
      <c r="Y185" s="12"/>
      <c r="Z185" s="12"/>
    </row>
    <row r="186">
      <c r="A186" s="18"/>
      <c r="B186" s="12"/>
      <c r="C186" s="12"/>
      <c r="D186" s="12"/>
      <c r="E186" s="12"/>
      <c r="F186" s="12"/>
      <c r="G186" s="12"/>
      <c r="H186" s="12"/>
      <c r="I186" s="12"/>
      <c r="J186" s="12"/>
      <c r="K186" s="12"/>
      <c r="L186" s="19"/>
      <c r="M186" s="19"/>
      <c r="N186" s="19"/>
      <c r="O186" s="19"/>
      <c r="P186" s="19"/>
      <c r="Q186" s="12"/>
      <c r="R186" s="12"/>
      <c r="S186" s="12"/>
      <c r="T186" s="12"/>
      <c r="U186" s="19"/>
      <c r="V186" s="12"/>
      <c r="W186" s="12"/>
      <c r="X186" s="12"/>
      <c r="Y186" s="12"/>
      <c r="Z186" s="12"/>
    </row>
    <row r="187">
      <c r="A187" s="18"/>
      <c r="B187" s="12"/>
      <c r="C187" s="12"/>
      <c r="D187" s="12"/>
      <c r="E187" s="12"/>
      <c r="F187" s="12"/>
      <c r="G187" s="12"/>
      <c r="H187" s="12"/>
      <c r="I187" s="12"/>
      <c r="J187" s="12"/>
      <c r="K187" s="12"/>
      <c r="L187" s="19"/>
      <c r="M187" s="19"/>
      <c r="N187" s="19"/>
      <c r="O187" s="19"/>
      <c r="P187" s="19"/>
      <c r="Q187" s="12"/>
      <c r="R187" s="12"/>
      <c r="S187" s="12"/>
      <c r="T187" s="12"/>
      <c r="U187" s="19"/>
      <c r="V187" s="12"/>
      <c r="W187" s="12"/>
      <c r="X187" s="12"/>
      <c r="Y187" s="12"/>
      <c r="Z187" s="12"/>
    </row>
    <row r="188">
      <c r="A188" s="18"/>
      <c r="B188" s="12"/>
      <c r="C188" s="12"/>
      <c r="D188" s="12"/>
      <c r="E188" s="12"/>
      <c r="F188" s="12"/>
      <c r="G188" s="12"/>
      <c r="H188" s="12"/>
      <c r="I188" s="12"/>
      <c r="J188" s="12"/>
      <c r="K188" s="12"/>
      <c r="L188" s="19"/>
      <c r="M188" s="19"/>
      <c r="N188" s="19"/>
      <c r="O188" s="19"/>
      <c r="P188" s="19"/>
      <c r="Q188" s="12"/>
      <c r="R188" s="12"/>
      <c r="S188" s="12"/>
      <c r="T188" s="12"/>
      <c r="U188" s="19"/>
      <c r="V188" s="12"/>
      <c r="W188" s="12"/>
      <c r="X188" s="12"/>
      <c r="Y188" s="12"/>
      <c r="Z188" s="12"/>
    </row>
    <row r="189">
      <c r="A189" s="18"/>
      <c r="B189" s="12"/>
      <c r="C189" s="12"/>
      <c r="D189" s="12"/>
      <c r="E189" s="12"/>
      <c r="F189" s="12"/>
      <c r="G189" s="12"/>
      <c r="H189" s="12"/>
      <c r="I189" s="12"/>
      <c r="J189" s="12"/>
      <c r="K189" s="12"/>
      <c r="L189" s="19"/>
      <c r="M189" s="19"/>
      <c r="N189" s="19"/>
      <c r="O189" s="19"/>
      <c r="P189" s="19"/>
      <c r="Q189" s="12"/>
      <c r="R189" s="12"/>
      <c r="S189" s="12"/>
      <c r="T189" s="12"/>
      <c r="U189" s="19"/>
      <c r="V189" s="12"/>
      <c r="W189" s="12"/>
      <c r="X189" s="12"/>
      <c r="Y189" s="12"/>
      <c r="Z189" s="12"/>
    </row>
    <row r="190">
      <c r="A190" s="18"/>
      <c r="B190" s="12"/>
      <c r="C190" s="12"/>
      <c r="D190" s="12"/>
      <c r="E190" s="12"/>
      <c r="F190" s="12"/>
      <c r="G190" s="12"/>
      <c r="H190" s="12"/>
      <c r="I190" s="12"/>
      <c r="J190" s="12"/>
      <c r="K190" s="12"/>
      <c r="L190" s="19"/>
      <c r="M190" s="19"/>
      <c r="N190" s="19"/>
      <c r="O190" s="19"/>
      <c r="P190" s="19"/>
      <c r="Q190" s="12"/>
      <c r="R190" s="12"/>
      <c r="S190" s="12"/>
      <c r="T190" s="12"/>
      <c r="U190" s="19"/>
      <c r="V190" s="12"/>
      <c r="W190" s="12"/>
      <c r="X190" s="12"/>
      <c r="Y190" s="12"/>
      <c r="Z190" s="12"/>
    </row>
    <row r="191">
      <c r="A191" s="18"/>
      <c r="B191" s="12"/>
      <c r="C191" s="12"/>
      <c r="D191" s="12"/>
      <c r="E191" s="12"/>
      <c r="F191" s="12"/>
      <c r="G191" s="12"/>
      <c r="H191" s="12"/>
      <c r="I191" s="12"/>
      <c r="J191" s="12"/>
      <c r="K191" s="12"/>
      <c r="L191" s="19"/>
      <c r="M191" s="19"/>
      <c r="N191" s="19"/>
      <c r="O191" s="19"/>
      <c r="P191" s="19"/>
      <c r="Q191" s="12"/>
      <c r="R191" s="12"/>
      <c r="S191" s="12"/>
      <c r="T191" s="12"/>
      <c r="U191" s="19"/>
      <c r="V191" s="12"/>
      <c r="W191" s="12"/>
      <c r="X191" s="12"/>
      <c r="Y191" s="12"/>
      <c r="Z191" s="12"/>
    </row>
    <row r="192">
      <c r="A192" s="18"/>
      <c r="B192" s="12"/>
      <c r="C192" s="12"/>
      <c r="D192" s="12"/>
      <c r="E192" s="12"/>
      <c r="F192" s="12"/>
      <c r="G192" s="12"/>
      <c r="H192" s="12"/>
      <c r="I192" s="12"/>
      <c r="J192" s="12"/>
      <c r="K192" s="12"/>
      <c r="L192" s="19"/>
      <c r="M192" s="19"/>
      <c r="N192" s="19"/>
      <c r="O192" s="19"/>
      <c r="P192" s="19"/>
      <c r="Q192" s="12"/>
      <c r="R192" s="12"/>
      <c r="S192" s="12"/>
      <c r="T192" s="12"/>
      <c r="U192" s="19"/>
      <c r="V192" s="12"/>
      <c r="W192" s="12"/>
      <c r="X192" s="12"/>
      <c r="Y192" s="12"/>
      <c r="Z192" s="12"/>
    </row>
    <row r="193">
      <c r="A193" s="18"/>
      <c r="B193" s="12"/>
      <c r="C193" s="12"/>
      <c r="D193" s="12"/>
      <c r="E193" s="12"/>
      <c r="F193" s="12"/>
      <c r="G193" s="12"/>
      <c r="H193" s="12"/>
      <c r="I193" s="12"/>
      <c r="J193" s="12"/>
      <c r="K193" s="12"/>
      <c r="L193" s="19"/>
      <c r="M193" s="19"/>
      <c r="N193" s="19"/>
      <c r="O193" s="19"/>
      <c r="P193" s="19"/>
      <c r="Q193" s="12"/>
      <c r="R193" s="12"/>
      <c r="S193" s="12"/>
      <c r="T193" s="12"/>
      <c r="U193" s="19"/>
      <c r="V193" s="12"/>
      <c r="W193" s="12"/>
      <c r="X193" s="12"/>
      <c r="Y193" s="12"/>
      <c r="Z193" s="12"/>
    </row>
    <row r="194">
      <c r="A194" s="18"/>
      <c r="B194" s="12"/>
      <c r="C194" s="12"/>
      <c r="D194" s="12"/>
      <c r="E194" s="12"/>
      <c r="F194" s="12"/>
      <c r="G194" s="12"/>
      <c r="H194" s="12"/>
      <c r="I194" s="12"/>
      <c r="J194" s="12"/>
      <c r="K194" s="12"/>
      <c r="L194" s="19"/>
      <c r="M194" s="19"/>
      <c r="N194" s="19"/>
      <c r="O194" s="19"/>
      <c r="P194" s="19"/>
      <c r="Q194" s="12"/>
      <c r="R194" s="12"/>
      <c r="S194" s="12"/>
      <c r="T194" s="12"/>
      <c r="U194" s="19"/>
      <c r="V194" s="12"/>
      <c r="W194" s="12"/>
      <c r="X194" s="12"/>
      <c r="Y194" s="12"/>
      <c r="Z194" s="12"/>
    </row>
    <row r="195">
      <c r="A195" s="18"/>
      <c r="B195" s="12"/>
      <c r="C195" s="12"/>
      <c r="D195" s="12"/>
      <c r="E195" s="12"/>
      <c r="F195" s="12"/>
      <c r="G195" s="12"/>
      <c r="H195" s="12"/>
      <c r="I195" s="12"/>
      <c r="J195" s="12"/>
      <c r="K195" s="12"/>
      <c r="L195" s="19"/>
      <c r="M195" s="19"/>
      <c r="N195" s="19"/>
      <c r="O195" s="19"/>
      <c r="P195" s="19"/>
      <c r="Q195" s="12"/>
      <c r="R195" s="12"/>
      <c r="S195" s="12"/>
      <c r="T195" s="12"/>
      <c r="U195" s="19"/>
      <c r="V195" s="12"/>
      <c r="W195" s="12"/>
      <c r="X195" s="12"/>
      <c r="Y195" s="12"/>
      <c r="Z195" s="12"/>
    </row>
    <row r="196">
      <c r="A196" s="18"/>
      <c r="B196" s="12"/>
      <c r="C196" s="12"/>
      <c r="D196" s="12"/>
      <c r="E196" s="12"/>
      <c r="F196" s="12"/>
      <c r="G196" s="12"/>
      <c r="H196" s="12"/>
      <c r="I196" s="12"/>
      <c r="J196" s="12"/>
      <c r="K196" s="12"/>
      <c r="L196" s="19"/>
      <c r="M196" s="19"/>
      <c r="N196" s="19"/>
      <c r="O196" s="19"/>
      <c r="P196" s="19"/>
      <c r="Q196" s="12"/>
      <c r="R196" s="12"/>
      <c r="S196" s="12"/>
      <c r="T196" s="12"/>
      <c r="U196" s="19"/>
      <c r="V196" s="12"/>
      <c r="W196" s="12"/>
      <c r="X196" s="12"/>
      <c r="Y196" s="12"/>
      <c r="Z196" s="12"/>
    </row>
    <row r="197">
      <c r="A197" s="18"/>
      <c r="B197" s="12"/>
      <c r="C197" s="12"/>
      <c r="D197" s="12"/>
      <c r="E197" s="12"/>
      <c r="F197" s="12"/>
      <c r="G197" s="12"/>
      <c r="H197" s="12"/>
      <c r="I197" s="12"/>
      <c r="J197" s="12"/>
      <c r="K197" s="12"/>
      <c r="L197" s="19"/>
      <c r="M197" s="19"/>
      <c r="N197" s="19"/>
      <c r="O197" s="19"/>
      <c r="P197" s="19"/>
      <c r="Q197" s="12"/>
      <c r="R197" s="12"/>
      <c r="S197" s="12"/>
      <c r="T197" s="12"/>
      <c r="U197" s="19"/>
      <c r="V197" s="12"/>
      <c r="W197" s="12"/>
      <c r="X197" s="12"/>
      <c r="Y197" s="12"/>
      <c r="Z197" s="12"/>
    </row>
    <row r="198">
      <c r="A198" s="18"/>
      <c r="B198" s="12"/>
      <c r="C198" s="12"/>
      <c r="D198" s="12"/>
      <c r="E198" s="12"/>
      <c r="F198" s="12"/>
      <c r="G198" s="12"/>
      <c r="H198" s="12"/>
      <c r="I198" s="12"/>
      <c r="J198" s="12"/>
      <c r="K198" s="12"/>
      <c r="L198" s="19"/>
      <c r="M198" s="19"/>
      <c r="N198" s="19"/>
      <c r="O198" s="19"/>
      <c r="P198" s="19"/>
      <c r="Q198" s="12"/>
      <c r="R198" s="12"/>
      <c r="S198" s="12"/>
      <c r="T198" s="12"/>
      <c r="U198" s="19"/>
      <c r="V198" s="12"/>
      <c r="W198" s="12"/>
      <c r="X198" s="12"/>
      <c r="Y198" s="12"/>
      <c r="Z198" s="12"/>
    </row>
    <row r="199">
      <c r="A199" s="18"/>
      <c r="B199" s="12"/>
      <c r="C199" s="12"/>
      <c r="D199" s="12"/>
      <c r="E199" s="12"/>
      <c r="F199" s="12"/>
      <c r="G199" s="12"/>
      <c r="H199" s="12"/>
      <c r="I199" s="12"/>
      <c r="J199" s="12"/>
      <c r="K199" s="12"/>
      <c r="L199" s="19"/>
      <c r="M199" s="19"/>
      <c r="N199" s="19"/>
      <c r="O199" s="19"/>
      <c r="P199" s="19"/>
      <c r="Q199" s="12"/>
      <c r="R199" s="12"/>
      <c r="S199" s="12"/>
      <c r="T199" s="12"/>
      <c r="U199" s="19"/>
      <c r="V199" s="12"/>
      <c r="W199" s="12"/>
      <c r="X199" s="12"/>
      <c r="Y199" s="12"/>
      <c r="Z199" s="12"/>
    </row>
    <row r="200">
      <c r="A200" s="18"/>
      <c r="B200" s="12"/>
      <c r="C200" s="12"/>
      <c r="D200" s="12"/>
      <c r="E200" s="12"/>
      <c r="F200" s="12"/>
      <c r="G200" s="12"/>
      <c r="H200" s="12"/>
      <c r="I200" s="12"/>
      <c r="J200" s="12"/>
      <c r="K200" s="12"/>
      <c r="L200" s="19"/>
      <c r="M200" s="19"/>
      <c r="N200" s="19"/>
      <c r="O200" s="19"/>
      <c r="P200" s="19"/>
      <c r="Q200" s="12"/>
      <c r="R200" s="12"/>
      <c r="S200" s="12"/>
      <c r="T200" s="12"/>
      <c r="U200" s="19"/>
      <c r="V200" s="12"/>
      <c r="W200" s="12"/>
      <c r="X200" s="12"/>
      <c r="Y200" s="12"/>
      <c r="Z200" s="12"/>
    </row>
    <row r="201">
      <c r="A201" s="18"/>
      <c r="B201" s="12"/>
      <c r="C201" s="12"/>
      <c r="D201" s="12"/>
      <c r="E201" s="12"/>
      <c r="F201" s="12"/>
      <c r="G201" s="12"/>
      <c r="H201" s="12"/>
      <c r="I201" s="12"/>
      <c r="J201" s="12"/>
      <c r="K201" s="12"/>
      <c r="L201" s="19"/>
      <c r="M201" s="19"/>
      <c r="N201" s="19"/>
      <c r="O201" s="19"/>
      <c r="P201" s="19"/>
      <c r="Q201" s="12"/>
      <c r="R201" s="12"/>
      <c r="S201" s="12"/>
      <c r="T201" s="12"/>
      <c r="U201" s="19"/>
      <c r="V201" s="12"/>
      <c r="W201" s="12"/>
      <c r="X201" s="12"/>
      <c r="Y201" s="12"/>
      <c r="Z201" s="12"/>
    </row>
    <row r="202">
      <c r="A202" s="18"/>
      <c r="B202" s="12"/>
      <c r="C202" s="12"/>
      <c r="D202" s="12"/>
      <c r="E202" s="12"/>
      <c r="F202" s="12"/>
      <c r="G202" s="12"/>
      <c r="H202" s="12"/>
      <c r="I202" s="12"/>
      <c r="J202" s="12"/>
      <c r="K202" s="12"/>
      <c r="L202" s="19"/>
      <c r="M202" s="19"/>
      <c r="N202" s="19"/>
      <c r="O202" s="19"/>
      <c r="P202" s="19"/>
      <c r="Q202" s="12"/>
      <c r="R202" s="12"/>
      <c r="S202" s="12"/>
      <c r="T202" s="12"/>
      <c r="U202" s="19"/>
      <c r="V202" s="12"/>
      <c r="W202" s="12"/>
      <c r="X202" s="12"/>
      <c r="Y202" s="12"/>
      <c r="Z202" s="12"/>
    </row>
    <row r="203">
      <c r="A203" s="18"/>
      <c r="B203" s="12"/>
      <c r="C203" s="12"/>
      <c r="D203" s="12"/>
      <c r="E203" s="12"/>
      <c r="F203" s="12"/>
      <c r="G203" s="12"/>
      <c r="H203" s="12"/>
      <c r="I203" s="12"/>
      <c r="J203" s="12"/>
      <c r="K203" s="12"/>
      <c r="L203" s="19"/>
      <c r="M203" s="19"/>
      <c r="N203" s="19"/>
      <c r="O203" s="19"/>
      <c r="P203" s="19"/>
      <c r="Q203" s="12"/>
      <c r="R203" s="12"/>
      <c r="S203" s="12"/>
      <c r="T203" s="12"/>
      <c r="U203" s="19"/>
      <c r="V203" s="12"/>
      <c r="W203" s="12"/>
      <c r="X203" s="12"/>
      <c r="Y203" s="12"/>
      <c r="Z203" s="12"/>
    </row>
    <row r="204">
      <c r="A204" s="18"/>
      <c r="B204" s="12"/>
      <c r="C204" s="12"/>
      <c r="D204" s="12"/>
      <c r="E204" s="12"/>
      <c r="F204" s="12"/>
      <c r="G204" s="12"/>
      <c r="H204" s="12"/>
      <c r="I204" s="12"/>
      <c r="J204" s="12"/>
      <c r="K204" s="12"/>
      <c r="L204" s="19"/>
      <c r="M204" s="19"/>
      <c r="N204" s="19"/>
      <c r="O204" s="19"/>
      <c r="P204" s="19"/>
      <c r="Q204" s="12"/>
      <c r="R204" s="12"/>
      <c r="S204" s="12"/>
      <c r="T204" s="12"/>
      <c r="U204" s="19"/>
      <c r="V204" s="12"/>
      <c r="W204" s="12"/>
      <c r="X204" s="12"/>
      <c r="Y204" s="12"/>
      <c r="Z204" s="12"/>
    </row>
    <row r="205">
      <c r="A205" s="18"/>
      <c r="B205" s="12"/>
      <c r="C205" s="12"/>
      <c r="D205" s="12"/>
      <c r="E205" s="12"/>
      <c r="F205" s="12"/>
      <c r="G205" s="12"/>
      <c r="H205" s="12"/>
      <c r="I205" s="12"/>
      <c r="J205" s="12"/>
      <c r="K205" s="12"/>
      <c r="L205" s="19"/>
      <c r="M205" s="19"/>
      <c r="N205" s="19"/>
      <c r="O205" s="19"/>
      <c r="P205" s="19"/>
      <c r="Q205" s="12"/>
      <c r="R205" s="12"/>
      <c r="S205" s="12"/>
      <c r="T205" s="12"/>
      <c r="U205" s="19"/>
      <c r="V205" s="12"/>
      <c r="W205" s="12"/>
      <c r="X205" s="12"/>
      <c r="Y205" s="12"/>
      <c r="Z205" s="12"/>
    </row>
    <row r="206">
      <c r="A206" s="18"/>
      <c r="B206" s="12"/>
      <c r="C206" s="12"/>
      <c r="D206" s="12"/>
      <c r="E206" s="12"/>
      <c r="F206" s="12"/>
      <c r="G206" s="12"/>
      <c r="H206" s="12"/>
      <c r="I206" s="12"/>
      <c r="J206" s="12"/>
      <c r="K206" s="12"/>
      <c r="L206" s="19"/>
      <c r="M206" s="19"/>
      <c r="N206" s="19"/>
      <c r="O206" s="19"/>
      <c r="P206" s="19"/>
      <c r="Q206" s="12"/>
      <c r="R206" s="12"/>
      <c r="S206" s="12"/>
      <c r="T206" s="12"/>
      <c r="U206" s="19"/>
      <c r="V206" s="12"/>
      <c r="W206" s="12"/>
      <c r="X206" s="12"/>
      <c r="Y206" s="12"/>
      <c r="Z206" s="12"/>
    </row>
    <row r="207">
      <c r="A207" s="18"/>
      <c r="B207" s="12"/>
      <c r="C207" s="12"/>
      <c r="D207" s="12"/>
      <c r="E207" s="12"/>
      <c r="F207" s="12"/>
      <c r="G207" s="12"/>
      <c r="H207" s="12"/>
      <c r="I207" s="12"/>
      <c r="J207" s="12"/>
      <c r="K207" s="12"/>
      <c r="L207" s="19"/>
      <c r="M207" s="19"/>
      <c r="N207" s="19"/>
      <c r="O207" s="19"/>
      <c r="P207" s="19"/>
      <c r="Q207" s="12"/>
      <c r="R207" s="12"/>
      <c r="S207" s="12"/>
      <c r="T207" s="12"/>
      <c r="U207" s="19"/>
      <c r="V207" s="12"/>
      <c r="W207" s="12"/>
      <c r="X207" s="12"/>
      <c r="Y207" s="12"/>
      <c r="Z207" s="12"/>
    </row>
    <row r="208">
      <c r="A208" s="18"/>
      <c r="B208" s="12"/>
      <c r="C208" s="12"/>
      <c r="D208" s="12"/>
      <c r="E208" s="12"/>
      <c r="F208" s="12"/>
      <c r="G208" s="12"/>
      <c r="H208" s="12"/>
      <c r="I208" s="12"/>
      <c r="J208" s="12"/>
      <c r="K208" s="12"/>
      <c r="L208" s="19"/>
      <c r="M208" s="19"/>
      <c r="N208" s="19"/>
      <c r="O208" s="19"/>
      <c r="P208" s="19"/>
      <c r="Q208" s="12"/>
      <c r="R208" s="12"/>
      <c r="S208" s="12"/>
      <c r="T208" s="12"/>
      <c r="U208" s="19"/>
      <c r="V208" s="12"/>
      <c r="W208" s="12"/>
      <c r="X208" s="12"/>
      <c r="Y208" s="12"/>
      <c r="Z208" s="12"/>
    </row>
    <row r="209">
      <c r="A209" s="18"/>
      <c r="B209" s="12"/>
      <c r="C209" s="12"/>
      <c r="D209" s="12"/>
      <c r="E209" s="12"/>
      <c r="F209" s="12"/>
      <c r="G209" s="12"/>
      <c r="H209" s="12"/>
      <c r="I209" s="12"/>
      <c r="J209" s="12"/>
      <c r="K209" s="12"/>
      <c r="L209" s="19"/>
      <c r="M209" s="19"/>
      <c r="N209" s="19"/>
      <c r="O209" s="19"/>
      <c r="P209" s="19"/>
      <c r="Q209" s="12"/>
      <c r="R209" s="12"/>
      <c r="S209" s="12"/>
      <c r="T209" s="12"/>
      <c r="U209" s="19"/>
      <c r="V209" s="12"/>
      <c r="W209" s="12"/>
      <c r="X209" s="12"/>
      <c r="Y209" s="12"/>
      <c r="Z209" s="12"/>
    </row>
    <row r="210">
      <c r="A210" s="18"/>
      <c r="B210" s="12"/>
      <c r="C210" s="12"/>
      <c r="D210" s="12"/>
      <c r="E210" s="12"/>
      <c r="F210" s="12"/>
      <c r="G210" s="12"/>
      <c r="H210" s="12"/>
      <c r="I210" s="12"/>
      <c r="J210" s="12"/>
      <c r="K210" s="12"/>
      <c r="L210" s="19"/>
      <c r="M210" s="19"/>
      <c r="N210" s="19"/>
      <c r="O210" s="19"/>
      <c r="P210" s="19"/>
      <c r="Q210" s="12"/>
      <c r="R210" s="12"/>
      <c r="S210" s="12"/>
      <c r="T210" s="12"/>
      <c r="U210" s="19"/>
      <c r="V210" s="12"/>
      <c r="W210" s="12"/>
      <c r="X210" s="12"/>
      <c r="Y210" s="12"/>
      <c r="Z210" s="12"/>
    </row>
    <row r="211">
      <c r="A211" s="18"/>
      <c r="B211" s="12"/>
      <c r="C211" s="12"/>
      <c r="D211" s="12"/>
      <c r="E211" s="12"/>
      <c r="F211" s="12"/>
      <c r="G211" s="12"/>
      <c r="H211" s="12"/>
      <c r="I211" s="12"/>
      <c r="J211" s="12"/>
      <c r="K211" s="12"/>
      <c r="L211" s="19"/>
      <c r="M211" s="19"/>
      <c r="N211" s="19"/>
      <c r="O211" s="19"/>
      <c r="P211" s="19"/>
      <c r="Q211" s="12"/>
      <c r="R211" s="12"/>
      <c r="S211" s="12"/>
      <c r="T211" s="12"/>
      <c r="U211" s="19"/>
      <c r="V211" s="12"/>
      <c r="W211" s="12"/>
      <c r="X211" s="12"/>
      <c r="Y211" s="12"/>
      <c r="Z211" s="12"/>
    </row>
    <row r="212">
      <c r="A212" s="18"/>
      <c r="B212" s="12"/>
      <c r="C212" s="12"/>
      <c r="D212" s="12"/>
      <c r="E212" s="12"/>
      <c r="F212" s="12"/>
      <c r="G212" s="12"/>
      <c r="H212" s="12"/>
      <c r="I212" s="12"/>
      <c r="J212" s="12"/>
      <c r="K212" s="12"/>
      <c r="L212" s="19"/>
      <c r="M212" s="19"/>
      <c r="N212" s="19"/>
      <c r="O212" s="19"/>
      <c r="P212" s="19"/>
      <c r="Q212" s="12"/>
      <c r="R212" s="12"/>
      <c r="S212" s="12"/>
      <c r="T212" s="12"/>
      <c r="U212" s="19"/>
      <c r="V212" s="12"/>
      <c r="W212" s="12"/>
      <c r="X212" s="12"/>
      <c r="Y212" s="12"/>
      <c r="Z212" s="12"/>
    </row>
    <row r="213">
      <c r="A213" s="18"/>
      <c r="B213" s="12"/>
      <c r="C213" s="12"/>
      <c r="D213" s="12"/>
      <c r="E213" s="12"/>
      <c r="F213" s="12"/>
      <c r="G213" s="12"/>
      <c r="H213" s="12"/>
      <c r="I213" s="12"/>
      <c r="J213" s="12"/>
      <c r="K213" s="12"/>
      <c r="L213" s="19"/>
      <c r="M213" s="19"/>
      <c r="N213" s="19"/>
      <c r="O213" s="19"/>
      <c r="P213" s="19"/>
      <c r="Q213" s="12"/>
      <c r="R213" s="12"/>
      <c r="S213" s="12"/>
      <c r="T213" s="12"/>
      <c r="U213" s="19"/>
      <c r="V213" s="12"/>
      <c r="W213" s="12"/>
      <c r="X213" s="12"/>
      <c r="Y213" s="12"/>
      <c r="Z213" s="12"/>
    </row>
    <row r="214">
      <c r="A214" s="18"/>
      <c r="B214" s="12"/>
      <c r="C214" s="12"/>
      <c r="D214" s="12"/>
      <c r="E214" s="12"/>
      <c r="F214" s="12"/>
      <c r="G214" s="12"/>
      <c r="H214" s="12"/>
      <c r="I214" s="12"/>
      <c r="J214" s="12"/>
      <c r="K214" s="12"/>
      <c r="L214" s="19"/>
      <c r="M214" s="19"/>
      <c r="N214" s="19"/>
      <c r="O214" s="19"/>
      <c r="P214" s="19"/>
      <c r="Q214" s="12"/>
      <c r="R214" s="12"/>
      <c r="S214" s="12"/>
      <c r="T214" s="12"/>
      <c r="U214" s="19"/>
      <c r="V214" s="12"/>
      <c r="W214" s="12"/>
      <c r="X214" s="12"/>
      <c r="Y214" s="12"/>
      <c r="Z214" s="12"/>
    </row>
    <row r="215">
      <c r="A215" s="18"/>
      <c r="B215" s="12"/>
      <c r="C215" s="12"/>
      <c r="D215" s="12"/>
      <c r="E215" s="12"/>
      <c r="F215" s="12"/>
      <c r="G215" s="12"/>
      <c r="H215" s="12"/>
      <c r="I215" s="12"/>
      <c r="J215" s="12"/>
      <c r="K215" s="12"/>
      <c r="L215" s="19"/>
      <c r="M215" s="19"/>
      <c r="N215" s="19"/>
      <c r="O215" s="19"/>
      <c r="P215" s="19"/>
      <c r="Q215" s="12"/>
      <c r="R215" s="12"/>
      <c r="S215" s="12"/>
      <c r="T215" s="12"/>
      <c r="U215" s="19"/>
      <c r="V215" s="12"/>
      <c r="W215" s="12"/>
      <c r="X215" s="12"/>
      <c r="Y215" s="12"/>
      <c r="Z215" s="12"/>
    </row>
    <row r="216">
      <c r="A216" s="18"/>
      <c r="B216" s="12"/>
      <c r="C216" s="12"/>
      <c r="D216" s="12"/>
      <c r="E216" s="12"/>
      <c r="F216" s="12"/>
      <c r="G216" s="12"/>
      <c r="H216" s="12"/>
      <c r="I216" s="12"/>
      <c r="J216" s="12"/>
      <c r="K216" s="12"/>
      <c r="L216" s="19"/>
      <c r="M216" s="19"/>
      <c r="N216" s="19"/>
      <c r="O216" s="19"/>
      <c r="P216" s="19"/>
      <c r="Q216" s="12"/>
      <c r="R216" s="12"/>
      <c r="S216" s="12"/>
      <c r="T216" s="12"/>
      <c r="U216" s="19"/>
      <c r="V216" s="12"/>
      <c r="W216" s="12"/>
      <c r="X216" s="12"/>
      <c r="Y216" s="12"/>
      <c r="Z216" s="12"/>
    </row>
    <row r="217">
      <c r="A217" s="18"/>
      <c r="B217" s="12"/>
      <c r="C217" s="12"/>
      <c r="D217" s="12"/>
      <c r="E217" s="12"/>
      <c r="F217" s="12"/>
      <c r="G217" s="12"/>
      <c r="H217" s="12"/>
      <c r="I217" s="12"/>
      <c r="J217" s="12"/>
      <c r="K217" s="12"/>
      <c r="L217" s="19"/>
      <c r="M217" s="19"/>
      <c r="N217" s="19"/>
      <c r="O217" s="19"/>
      <c r="P217" s="19"/>
      <c r="Q217" s="12"/>
      <c r="R217" s="12"/>
      <c r="S217" s="12"/>
      <c r="T217" s="12"/>
      <c r="U217" s="19"/>
      <c r="V217" s="12"/>
      <c r="W217" s="12"/>
      <c r="X217" s="12"/>
      <c r="Y217" s="12"/>
      <c r="Z217" s="12"/>
    </row>
    <row r="218">
      <c r="A218" s="18"/>
      <c r="B218" s="12"/>
      <c r="C218" s="12"/>
      <c r="D218" s="12"/>
      <c r="E218" s="12"/>
      <c r="F218" s="12"/>
      <c r="G218" s="12"/>
      <c r="H218" s="12"/>
      <c r="I218" s="12"/>
      <c r="J218" s="12"/>
      <c r="K218" s="12"/>
      <c r="L218" s="19"/>
      <c r="M218" s="19"/>
      <c r="N218" s="19"/>
      <c r="O218" s="19"/>
      <c r="P218" s="19"/>
      <c r="Q218" s="12"/>
      <c r="R218" s="12"/>
      <c r="S218" s="12"/>
      <c r="T218" s="12"/>
      <c r="U218" s="19"/>
      <c r="V218" s="12"/>
      <c r="W218" s="12"/>
      <c r="X218" s="12"/>
      <c r="Y218" s="12"/>
      <c r="Z218" s="12"/>
    </row>
    <row r="219">
      <c r="A219" s="18"/>
      <c r="B219" s="12"/>
      <c r="C219" s="12"/>
      <c r="D219" s="12"/>
      <c r="E219" s="12"/>
      <c r="F219" s="12"/>
      <c r="G219" s="12"/>
      <c r="H219" s="12"/>
      <c r="I219" s="12"/>
      <c r="J219" s="12"/>
      <c r="K219" s="12"/>
      <c r="L219" s="19"/>
      <c r="M219" s="19"/>
      <c r="N219" s="19"/>
      <c r="O219" s="19"/>
      <c r="P219" s="19"/>
      <c r="Q219" s="12"/>
      <c r="R219" s="12"/>
      <c r="S219" s="12"/>
      <c r="T219" s="12"/>
      <c r="U219" s="19"/>
      <c r="V219" s="12"/>
      <c r="W219" s="12"/>
      <c r="X219" s="12"/>
      <c r="Y219" s="12"/>
      <c r="Z219" s="12"/>
    </row>
    <row r="220">
      <c r="A220" s="18"/>
      <c r="B220" s="12"/>
      <c r="C220" s="12"/>
      <c r="D220" s="12"/>
      <c r="E220" s="12"/>
      <c r="F220" s="12"/>
      <c r="G220" s="12"/>
      <c r="H220" s="12"/>
      <c r="I220" s="12"/>
      <c r="J220" s="12"/>
      <c r="K220" s="12"/>
      <c r="L220" s="19"/>
      <c r="M220" s="19"/>
      <c r="N220" s="19"/>
      <c r="O220" s="19"/>
      <c r="P220" s="19"/>
      <c r="Q220" s="12"/>
      <c r="R220" s="12"/>
      <c r="S220" s="12"/>
      <c r="T220" s="12"/>
      <c r="U220" s="19"/>
      <c r="V220" s="12"/>
      <c r="W220" s="12"/>
      <c r="X220" s="12"/>
      <c r="Y220" s="12"/>
      <c r="Z220" s="12"/>
    </row>
    <row r="221">
      <c r="A221" s="18"/>
      <c r="B221" s="12"/>
      <c r="C221" s="12"/>
      <c r="D221" s="12"/>
      <c r="E221" s="12"/>
      <c r="F221" s="12"/>
      <c r="G221" s="12"/>
      <c r="H221" s="12"/>
      <c r="I221" s="12"/>
      <c r="J221" s="12"/>
      <c r="K221" s="12"/>
      <c r="L221" s="19"/>
      <c r="M221" s="19"/>
      <c r="N221" s="19"/>
      <c r="O221" s="19"/>
      <c r="P221" s="19"/>
      <c r="Q221" s="12"/>
      <c r="R221" s="12"/>
      <c r="S221" s="12"/>
      <c r="T221" s="12"/>
      <c r="U221" s="19"/>
      <c r="V221" s="12"/>
      <c r="W221" s="12"/>
      <c r="X221" s="12"/>
      <c r="Y221" s="12"/>
      <c r="Z221" s="12"/>
    </row>
    <row r="222">
      <c r="A222" s="18"/>
      <c r="B222" s="12"/>
      <c r="C222" s="12"/>
      <c r="D222" s="12"/>
      <c r="E222" s="12"/>
      <c r="F222" s="12"/>
      <c r="G222" s="12"/>
      <c r="H222" s="12"/>
      <c r="I222" s="12"/>
      <c r="J222" s="12"/>
      <c r="K222" s="12"/>
      <c r="L222" s="19"/>
      <c r="M222" s="19"/>
      <c r="N222" s="19"/>
      <c r="O222" s="19"/>
      <c r="P222" s="19"/>
      <c r="Q222" s="12"/>
      <c r="R222" s="12"/>
      <c r="S222" s="12"/>
      <c r="T222" s="12"/>
      <c r="U222" s="19"/>
      <c r="V222" s="12"/>
      <c r="W222" s="12"/>
      <c r="X222" s="12"/>
      <c r="Y222" s="12"/>
      <c r="Z222" s="12"/>
    </row>
    <row r="223">
      <c r="A223" s="18"/>
      <c r="B223" s="12"/>
      <c r="C223" s="12"/>
      <c r="D223" s="12"/>
      <c r="E223" s="12"/>
      <c r="F223" s="12"/>
      <c r="G223" s="12"/>
      <c r="H223" s="12"/>
      <c r="I223" s="12"/>
      <c r="J223" s="12"/>
      <c r="K223" s="12"/>
      <c r="L223" s="19"/>
      <c r="M223" s="19"/>
      <c r="N223" s="19"/>
      <c r="O223" s="19"/>
      <c r="P223" s="19"/>
      <c r="Q223" s="12"/>
      <c r="R223" s="12"/>
      <c r="S223" s="12"/>
      <c r="T223" s="12"/>
      <c r="U223" s="19"/>
      <c r="V223" s="12"/>
      <c r="W223" s="12"/>
      <c r="X223" s="12"/>
      <c r="Y223" s="12"/>
      <c r="Z223" s="12"/>
    </row>
    <row r="224">
      <c r="A224" s="18"/>
      <c r="B224" s="12"/>
      <c r="C224" s="12"/>
      <c r="D224" s="12"/>
      <c r="E224" s="12"/>
      <c r="F224" s="12"/>
      <c r="G224" s="12"/>
      <c r="H224" s="12"/>
      <c r="I224" s="12"/>
      <c r="J224" s="12"/>
      <c r="K224" s="12"/>
      <c r="L224" s="19"/>
      <c r="M224" s="19"/>
      <c r="N224" s="19"/>
      <c r="O224" s="19"/>
      <c r="P224" s="19"/>
      <c r="Q224" s="12"/>
      <c r="R224" s="12"/>
      <c r="S224" s="12"/>
      <c r="T224" s="12"/>
      <c r="U224" s="19"/>
      <c r="V224" s="12"/>
      <c r="W224" s="12"/>
      <c r="X224" s="12"/>
      <c r="Y224" s="12"/>
      <c r="Z224" s="12"/>
    </row>
    <row r="225">
      <c r="A225" s="18"/>
      <c r="B225" s="12"/>
      <c r="C225" s="12"/>
      <c r="D225" s="12"/>
      <c r="E225" s="12"/>
      <c r="F225" s="12"/>
      <c r="G225" s="12"/>
      <c r="H225" s="12"/>
      <c r="I225" s="12"/>
      <c r="J225" s="12"/>
      <c r="K225" s="12"/>
      <c r="L225" s="19"/>
      <c r="M225" s="19"/>
      <c r="N225" s="19"/>
      <c r="O225" s="19"/>
      <c r="P225" s="19"/>
      <c r="Q225" s="12"/>
      <c r="R225" s="12"/>
      <c r="S225" s="12"/>
      <c r="T225" s="12"/>
      <c r="U225" s="19"/>
      <c r="V225" s="12"/>
      <c r="W225" s="12"/>
      <c r="X225" s="12"/>
      <c r="Y225" s="12"/>
      <c r="Z225" s="12"/>
    </row>
    <row r="226">
      <c r="A226" s="18"/>
      <c r="B226" s="12"/>
      <c r="C226" s="12"/>
      <c r="D226" s="12"/>
      <c r="E226" s="12"/>
      <c r="F226" s="12"/>
      <c r="G226" s="12"/>
      <c r="H226" s="12"/>
      <c r="I226" s="12"/>
      <c r="J226" s="12"/>
      <c r="K226" s="12"/>
      <c r="L226" s="19"/>
      <c r="M226" s="19"/>
      <c r="N226" s="19"/>
      <c r="O226" s="19"/>
      <c r="P226" s="19"/>
      <c r="Q226" s="12"/>
      <c r="R226" s="12"/>
      <c r="S226" s="12"/>
      <c r="T226" s="12"/>
      <c r="U226" s="19"/>
      <c r="V226" s="12"/>
      <c r="W226" s="12"/>
      <c r="X226" s="12"/>
      <c r="Y226" s="12"/>
      <c r="Z226" s="12"/>
    </row>
    <row r="227">
      <c r="A227" s="18"/>
      <c r="B227" s="12"/>
      <c r="C227" s="12"/>
      <c r="D227" s="12"/>
      <c r="E227" s="12"/>
      <c r="F227" s="12"/>
      <c r="G227" s="12"/>
      <c r="H227" s="12"/>
      <c r="I227" s="12"/>
      <c r="J227" s="12"/>
      <c r="K227" s="12"/>
      <c r="L227" s="19"/>
      <c r="M227" s="19"/>
      <c r="N227" s="19"/>
      <c r="O227" s="19"/>
      <c r="P227" s="19"/>
      <c r="Q227" s="12"/>
      <c r="R227" s="12"/>
      <c r="S227" s="12"/>
      <c r="T227" s="12"/>
      <c r="U227" s="19"/>
      <c r="V227" s="12"/>
      <c r="W227" s="12"/>
      <c r="X227" s="12"/>
      <c r="Y227" s="12"/>
      <c r="Z227" s="12"/>
    </row>
    <row r="228">
      <c r="A228" s="18"/>
      <c r="B228" s="12"/>
      <c r="C228" s="12"/>
      <c r="D228" s="12"/>
      <c r="E228" s="12"/>
      <c r="F228" s="12"/>
      <c r="G228" s="12"/>
      <c r="H228" s="12"/>
      <c r="I228" s="12"/>
      <c r="J228" s="12"/>
      <c r="K228" s="12"/>
      <c r="L228" s="19"/>
      <c r="M228" s="19"/>
      <c r="N228" s="19"/>
      <c r="O228" s="19"/>
      <c r="P228" s="19"/>
      <c r="Q228" s="12"/>
      <c r="R228" s="12"/>
      <c r="S228" s="12"/>
      <c r="T228" s="12"/>
      <c r="U228" s="19"/>
      <c r="V228" s="12"/>
      <c r="W228" s="12"/>
      <c r="X228" s="12"/>
      <c r="Y228" s="12"/>
      <c r="Z228" s="12"/>
    </row>
    <row r="229">
      <c r="A229" s="18"/>
      <c r="B229" s="12"/>
      <c r="C229" s="12"/>
      <c r="D229" s="12"/>
      <c r="E229" s="12"/>
      <c r="F229" s="12"/>
      <c r="G229" s="12"/>
      <c r="H229" s="12"/>
      <c r="I229" s="12"/>
      <c r="J229" s="12"/>
      <c r="K229" s="12"/>
      <c r="L229" s="19"/>
      <c r="M229" s="19"/>
      <c r="N229" s="19"/>
      <c r="O229" s="19"/>
      <c r="P229" s="19"/>
      <c r="Q229" s="12"/>
      <c r="R229" s="12"/>
      <c r="S229" s="12"/>
      <c r="T229" s="12"/>
      <c r="U229" s="19"/>
      <c r="V229" s="12"/>
      <c r="W229" s="12"/>
      <c r="X229" s="12"/>
      <c r="Y229" s="12"/>
      <c r="Z229" s="12"/>
    </row>
    <row r="230">
      <c r="A230" s="18"/>
      <c r="B230" s="12"/>
      <c r="C230" s="12"/>
      <c r="D230" s="12"/>
      <c r="E230" s="12"/>
      <c r="F230" s="12"/>
      <c r="G230" s="12"/>
      <c r="H230" s="12"/>
      <c r="I230" s="12"/>
      <c r="J230" s="12"/>
      <c r="K230" s="12"/>
      <c r="L230" s="19"/>
      <c r="M230" s="19"/>
      <c r="N230" s="19"/>
      <c r="O230" s="19"/>
      <c r="P230" s="19"/>
      <c r="Q230" s="12"/>
      <c r="R230" s="12"/>
      <c r="S230" s="12"/>
      <c r="T230" s="12"/>
      <c r="U230" s="19"/>
      <c r="V230" s="12"/>
      <c r="W230" s="12"/>
      <c r="X230" s="12"/>
      <c r="Y230" s="12"/>
      <c r="Z230" s="12"/>
    </row>
    <row r="231">
      <c r="A231" s="18"/>
      <c r="B231" s="12"/>
      <c r="C231" s="12"/>
      <c r="D231" s="12"/>
      <c r="E231" s="12"/>
      <c r="F231" s="12"/>
      <c r="G231" s="12"/>
      <c r="H231" s="12"/>
      <c r="I231" s="12"/>
      <c r="J231" s="12"/>
      <c r="K231" s="12"/>
      <c r="L231" s="19"/>
      <c r="M231" s="19"/>
      <c r="N231" s="19"/>
      <c r="O231" s="19"/>
      <c r="P231" s="19"/>
      <c r="Q231" s="12"/>
      <c r="R231" s="12"/>
      <c r="S231" s="12"/>
      <c r="T231" s="12"/>
      <c r="U231" s="19"/>
      <c r="V231" s="12"/>
      <c r="W231" s="12"/>
      <c r="X231" s="12"/>
      <c r="Y231" s="12"/>
      <c r="Z231" s="12"/>
    </row>
    <row r="232">
      <c r="A232" s="18"/>
      <c r="B232" s="12"/>
      <c r="C232" s="12"/>
      <c r="D232" s="12"/>
      <c r="E232" s="12"/>
      <c r="F232" s="12"/>
      <c r="G232" s="12"/>
      <c r="H232" s="12"/>
      <c r="I232" s="12"/>
      <c r="J232" s="12"/>
      <c r="K232" s="12"/>
      <c r="L232" s="19"/>
      <c r="M232" s="19"/>
      <c r="N232" s="19"/>
      <c r="O232" s="19"/>
      <c r="P232" s="19"/>
      <c r="Q232" s="12"/>
      <c r="R232" s="12"/>
      <c r="S232" s="12"/>
      <c r="T232" s="12"/>
      <c r="U232" s="19"/>
      <c r="V232" s="12"/>
      <c r="W232" s="12"/>
      <c r="X232" s="12"/>
      <c r="Y232" s="12"/>
      <c r="Z232" s="12"/>
    </row>
    <row r="233">
      <c r="A233" s="18"/>
      <c r="B233" s="12"/>
      <c r="C233" s="12"/>
      <c r="D233" s="12"/>
      <c r="E233" s="12"/>
      <c r="F233" s="12"/>
      <c r="G233" s="12"/>
      <c r="H233" s="12"/>
      <c r="I233" s="12"/>
      <c r="J233" s="12"/>
      <c r="K233" s="12"/>
      <c r="L233" s="19"/>
      <c r="M233" s="19"/>
      <c r="N233" s="19"/>
      <c r="O233" s="19"/>
      <c r="P233" s="19"/>
      <c r="Q233" s="12"/>
      <c r="R233" s="12"/>
      <c r="S233" s="12"/>
      <c r="T233" s="12"/>
      <c r="U233" s="19"/>
      <c r="V233" s="12"/>
      <c r="W233" s="12"/>
      <c r="X233" s="12"/>
      <c r="Y233" s="12"/>
      <c r="Z233" s="12"/>
    </row>
    <row r="234">
      <c r="A234" s="18"/>
      <c r="B234" s="12"/>
      <c r="C234" s="12"/>
      <c r="D234" s="12"/>
      <c r="E234" s="12"/>
      <c r="F234" s="12"/>
      <c r="G234" s="12"/>
      <c r="H234" s="12"/>
      <c r="I234" s="12"/>
      <c r="J234" s="12"/>
      <c r="K234" s="12"/>
      <c r="L234" s="19"/>
      <c r="M234" s="19"/>
      <c r="N234" s="19"/>
      <c r="O234" s="19"/>
      <c r="P234" s="19"/>
      <c r="Q234" s="12"/>
      <c r="R234" s="12"/>
      <c r="S234" s="12"/>
      <c r="T234" s="12"/>
      <c r="U234" s="19"/>
      <c r="V234" s="12"/>
      <c r="W234" s="12"/>
      <c r="X234" s="12"/>
      <c r="Y234" s="12"/>
      <c r="Z234" s="12"/>
    </row>
    <row r="235">
      <c r="A235" s="18"/>
      <c r="B235" s="12"/>
      <c r="C235" s="12"/>
      <c r="D235" s="12"/>
      <c r="E235" s="12"/>
      <c r="F235" s="12"/>
      <c r="G235" s="12"/>
      <c r="H235" s="12"/>
      <c r="I235" s="12"/>
      <c r="J235" s="12"/>
      <c r="K235" s="12"/>
      <c r="L235" s="19"/>
      <c r="M235" s="19"/>
      <c r="N235" s="19"/>
      <c r="O235" s="19"/>
      <c r="P235" s="19"/>
      <c r="Q235" s="12"/>
      <c r="R235" s="12"/>
      <c r="S235" s="12"/>
      <c r="T235" s="12"/>
      <c r="U235" s="19"/>
      <c r="V235" s="12"/>
      <c r="W235" s="12"/>
      <c r="X235" s="12"/>
      <c r="Y235" s="12"/>
      <c r="Z235" s="12"/>
    </row>
    <row r="236">
      <c r="A236" s="18"/>
      <c r="B236" s="12"/>
      <c r="C236" s="12"/>
      <c r="D236" s="12"/>
      <c r="E236" s="12"/>
      <c r="F236" s="12"/>
      <c r="G236" s="12"/>
      <c r="H236" s="12"/>
      <c r="I236" s="12"/>
      <c r="J236" s="12"/>
      <c r="K236" s="12"/>
      <c r="L236" s="19"/>
      <c r="M236" s="19"/>
      <c r="N236" s="19"/>
      <c r="O236" s="19"/>
      <c r="P236" s="19"/>
      <c r="Q236" s="12"/>
      <c r="R236" s="12"/>
      <c r="S236" s="12"/>
      <c r="T236" s="12"/>
      <c r="U236" s="19"/>
      <c r="V236" s="12"/>
      <c r="W236" s="12"/>
      <c r="X236" s="12"/>
      <c r="Y236" s="12"/>
      <c r="Z236" s="12"/>
    </row>
    <row r="237">
      <c r="A237" s="18"/>
      <c r="B237" s="12"/>
      <c r="C237" s="12"/>
      <c r="D237" s="12"/>
      <c r="E237" s="12"/>
      <c r="F237" s="12"/>
      <c r="G237" s="12"/>
      <c r="H237" s="12"/>
      <c r="I237" s="12"/>
      <c r="J237" s="12"/>
      <c r="K237" s="12"/>
      <c r="L237" s="19"/>
      <c r="M237" s="19"/>
      <c r="N237" s="19"/>
      <c r="O237" s="19"/>
      <c r="P237" s="19"/>
      <c r="Q237" s="12"/>
      <c r="R237" s="12"/>
      <c r="S237" s="12"/>
      <c r="T237" s="12"/>
      <c r="U237" s="19"/>
      <c r="V237" s="12"/>
      <c r="W237" s="12"/>
      <c r="X237" s="12"/>
      <c r="Y237" s="12"/>
      <c r="Z237" s="12"/>
    </row>
    <row r="238">
      <c r="A238" s="18"/>
      <c r="B238" s="12"/>
      <c r="C238" s="12"/>
      <c r="D238" s="12"/>
      <c r="E238" s="12"/>
      <c r="F238" s="12"/>
      <c r="G238" s="12"/>
      <c r="H238" s="12"/>
      <c r="I238" s="12"/>
      <c r="J238" s="12"/>
      <c r="K238" s="12"/>
      <c r="L238" s="19"/>
      <c r="M238" s="19"/>
      <c r="N238" s="19"/>
      <c r="O238" s="19"/>
      <c r="P238" s="19"/>
      <c r="Q238" s="12"/>
      <c r="R238" s="12"/>
      <c r="S238" s="12"/>
      <c r="T238" s="12"/>
      <c r="U238" s="19"/>
      <c r="V238" s="12"/>
      <c r="W238" s="12"/>
      <c r="X238" s="12"/>
      <c r="Y238" s="12"/>
      <c r="Z238" s="12"/>
    </row>
    <row r="239">
      <c r="A239" s="18"/>
      <c r="B239" s="12"/>
      <c r="C239" s="12"/>
      <c r="D239" s="12"/>
      <c r="E239" s="12"/>
      <c r="F239" s="12"/>
      <c r="G239" s="12"/>
      <c r="H239" s="12"/>
      <c r="I239" s="12"/>
      <c r="J239" s="12"/>
      <c r="K239" s="12"/>
      <c r="L239" s="19"/>
      <c r="M239" s="19"/>
      <c r="N239" s="19"/>
      <c r="O239" s="19"/>
      <c r="P239" s="19"/>
      <c r="Q239" s="12"/>
      <c r="R239" s="12"/>
      <c r="S239" s="12"/>
      <c r="T239" s="12"/>
      <c r="U239" s="19"/>
      <c r="V239" s="12"/>
      <c r="W239" s="12"/>
      <c r="X239" s="12"/>
      <c r="Y239" s="12"/>
      <c r="Z239" s="12"/>
    </row>
    <row r="240">
      <c r="A240" s="18"/>
      <c r="B240" s="12"/>
      <c r="C240" s="12"/>
      <c r="D240" s="12"/>
      <c r="E240" s="12"/>
      <c r="F240" s="12"/>
      <c r="G240" s="12"/>
      <c r="H240" s="12"/>
      <c r="I240" s="12"/>
      <c r="J240" s="12"/>
      <c r="K240" s="12"/>
      <c r="L240" s="19"/>
      <c r="M240" s="19"/>
      <c r="N240" s="19"/>
      <c r="O240" s="19"/>
      <c r="P240" s="19"/>
      <c r="Q240" s="12"/>
      <c r="R240" s="12"/>
      <c r="S240" s="12"/>
      <c r="T240" s="12"/>
      <c r="U240" s="19"/>
      <c r="V240" s="12"/>
      <c r="W240" s="12"/>
      <c r="X240" s="12"/>
      <c r="Y240" s="12"/>
      <c r="Z240" s="12"/>
    </row>
    <row r="241">
      <c r="A241" s="18"/>
      <c r="B241" s="12"/>
      <c r="C241" s="12"/>
      <c r="D241" s="12"/>
      <c r="E241" s="12"/>
      <c r="F241" s="12"/>
      <c r="G241" s="12"/>
      <c r="H241" s="12"/>
      <c r="I241" s="12"/>
      <c r="J241" s="12"/>
      <c r="K241" s="12"/>
      <c r="L241" s="19"/>
      <c r="M241" s="19"/>
      <c r="N241" s="19"/>
      <c r="O241" s="19"/>
      <c r="P241" s="19"/>
      <c r="Q241" s="12"/>
      <c r="R241" s="12"/>
      <c r="S241" s="12"/>
      <c r="T241" s="12"/>
      <c r="U241" s="19"/>
      <c r="V241" s="12"/>
      <c r="W241" s="12"/>
      <c r="X241" s="12"/>
      <c r="Y241" s="12"/>
      <c r="Z241" s="12"/>
    </row>
    <row r="242">
      <c r="A242" s="18"/>
      <c r="B242" s="12"/>
      <c r="C242" s="12"/>
      <c r="D242" s="12"/>
      <c r="E242" s="12"/>
      <c r="F242" s="12"/>
      <c r="G242" s="12"/>
      <c r="H242" s="12"/>
      <c r="I242" s="12"/>
      <c r="J242" s="12"/>
      <c r="K242" s="12"/>
      <c r="L242" s="19"/>
      <c r="M242" s="19"/>
      <c r="N242" s="19"/>
      <c r="O242" s="19"/>
      <c r="P242" s="19"/>
      <c r="Q242" s="12"/>
      <c r="R242" s="12"/>
      <c r="S242" s="12"/>
      <c r="T242" s="12"/>
      <c r="U242" s="19"/>
      <c r="V242" s="12"/>
      <c r="W242" s="12"/>
      <c r="X242" s="12"/>
      <c r="Y242" s="12"/>
      <c r="Z242" s="12"/>
    </row>
    <row r="243">
      <c r="A243" s="18"/>
      <c r="B243" s="12"/>
      <c r="C243" s="12"/>
      <c r="D243" s="12"/>
      <c r="E243" s="12"/>
      <c r="F243" s="12"/>
      <c r="G243" s="12"/>
      <c r="H243" s="12"/>
      <c r="I243" s="12"/>
      <c r="J243" s="12"/>
      <c r="K243" s="12"/>
      <c r="L243" s="19"/>
      <c r="M243" s="19"/>
      <c r="N243" s="19"/>
      <c r="O243" s="19"/>
      <c r="P243" s="19"/>
      <c r="Q243" s="12"/>
      <c r="R243" s="12"/>
      <c r="S243" s="12"/>
      <c r="T243" s="12"/>
      <c r="U243" s="19"/>
      <c r="V243" s="12"/>
      <c r="W243" s="12"/>
      <c r="X243" s="12"/>
      <c r="Y243" s="12"/>
      <c r="Z243" s="12"/>
    </row>
    <row r="244">
      <c r="A244" s="18"/>
      <c r="B244" s="12"/>
      <c r="C244" s="12"/>
      <c r="D244" s="12"/>
      <c r="E244" s="12"/>
      <c r="F244" s="12"/>
      <c r="G244" s="12"/>
      <c r="H244" s="12"/>
      <c r="I244" s="12"/>
      <c r="J244" s="12"/>
      <c r="K244" s="12"/>
      <c r="L244" s="19"/>
      <c r="M244" s="19"/>
      <c r="N244" s="19"/>
      <c r="O244" s="19"/>
      <c r="P244" s="19"/>
      <c r="Q244" s="12"/>
      <c r="R244" s="12"/>
      <c r="S244" s="12"/>
      <c r="T244" s="12"/>
      <c r="U244" s="19"/>
      <c r="V244" s="12"/>
      <c r="W244" s="12"/>
      <c r="X244" s="12"/>
      <c r="Y244" s="12"/>
      <c r="Z244" s="12"/>
    </row>
    <row r="245">
      <c r="A245" s="18"/>
      <c r="B245" s="12"/>
      <c r="C245" s="12"/>
      <c r="D245" s="12"/>
      <c r="E245" s="12"/>
      <c r="F245" s="12"/>
      <c r="G245" s="12"/>
      <c r="H245" s="12"/>
      <c r="I245" s="12"/>
      <c r="J245" s="12"/>
      <c r="K245" s="12"/>
      <c r="L245" s="19"/>
      <c r="M245" s="19"/>
      <c r="N245" s="19"/>
      <c r="O245" s="19"/>
      <c r="P245" s="19"/>
      <c r="Q245" s="12"/>
      <c r="R245" s="12"/>
      <c r="S245" s="12"/>
      <c r="T245" s="12"/>
      <c r="U245" s="19"/>
      <c r="V245" s="12"/>
      <c r="W245" s="12"/>
      <c r="X245" s="12"/>
      <c r="Y245" s="12"/>
      <c r="Z245" s="12"/>
    </row>
    <row r="246">
      <c r="A246" s="18"/>
      <c r="B246" s="12"/>
      <c r="C246" s="12"/>
      <c r="D246" s="12"/>
      <c r="E246" s="12"/>
      <c r="F246" s="12"/>
      <c r="G246" s="12"/>
      <c r="H246" s="12"/>
      <c r="I246" s="12"/>
      <c r="J246" s="12"/>
      <c r="K246" s="12"/>
      <c r="L246" s="19"/>
      <c r="M246" s="19"/>
      <c r="N246" s="19"/>
      <c r="O246" s="19"/>
      <c r="P246" s="19"/>
      <c r="Q246" s="12"/>
      <c r="R246" s="12"/>
      <c r="S246" s="12"/>
      <c r="T246" s="12"/>
      <c r="U246" s="19"/>
      <c r="V246" s="12"/>
      <c r="W246" s="12"/>
      <c r="X246" s="12"/>
      <c r="Y246" s="12"/>
      <c r="Z246" s="12"/>
    </row>
    <row r="247">
      <c r="A247" s="18"/>
      <c r="B247" s="12"/>
      <c r="C247" s="12"/>
      <c r="D247" s="12"/>
      <c r="E247" s="12"/>
      <c r="F247" s="12"/>
      <c r="G247" s="12"/>
      <c r="H247" s="12"/>
      <c r="I247" s="12"/>
      <c r="J247" s="12"/>
      <c r="K247" s="12"/>
      <c r="L247" s="19"/>
      <c r="M247" s="19"/>
      <c r="N247" s="19"/>
      <c r="O247" s="19"/>
      <c r="P247" s="19"/>
      <c r="Q247" s="12"/>
      <c r="R247" s="12"/>
      <c r="S247" s="12"/>
      <c r="T247" s="12"/>
      <c r="U247" s="19"/>
      <c r="V247" s="12"/>
      <c r="W247" s="12"/>
      <c r="X247" s="12"/>
      <c r="Y247" s="12"/>
      <c r="Z247" s="12"/>
    </row>
    <row r="248">
      <c r="A248" s="18"/>
      <c r="B248" s="12"/>
      <c r="C248" s="12"/>
      <c r="D248" s="12"/>
      <c r="E248" s="12"/>
      <c r="F248" s="12"/>
      <c r="G248" s="12"/>
      <c r="H248" s="12"/>
      <c r="I248" s="12"/>
      <c r="J248" s="12"/>
      <c r="K248" s="12"/>
      <c r="L248" s="19"/>
      <c r="M248" s="19"/>
      <c r="N248" s="19"/>
      <c r="O248" s="19"/>
      <c r="P248" s="19"/>
      <c r="Q248" s="12"/>
      <c r="R248" s="12"/>
      <c r="S248" s="12"/>
      <c r="T248" s="12"/>
      <c r="U248" s="19"/>
      <c r="V248" s="12"/>
      <c r="W248" s="12"/>
      <c r="X248" s="12"/>
      <c r="Y248" s="12"/>
      <c r="Z248" s="12"/>
    </row>
    <row r="249">
      <c r="A249" s="18"/>
      <c r="B249" s="12"/>
      <c r="C249" s="12"/>
      <c r="D249" s="12"/>
      <c r="E249" s="12"/>
      <c r="F249" s="12"/>
      <c r="G249" s="12"/>
      <c r="H249" s="12"/>
      <c r="I249" s="12"/>
      <c r="J249" s="12"/>
      <c r="K249" s="12"/>
      <c r="L249" s="19"/>
      <c r="M249" s="19"/>
      <c r="N249" s="19"/>
      <c r="O249" s="19"/>
      <c r="P249" s="19"/>
      <c r="Q249" s="12"/>
      <c r="R249" s="12"/>
      <c r="S249" s="12"/>
      <c r="T249" s="12"/>
      <c r="U249" s="19"/>
      <c r="V249" s="12"/>
      <c r="W249" s="12"/>
      <c r="X249" s="12"/>
      <c r="Y249" s="12"/>
      <c r="Z249" s="12"/>
    </row>
    <row r="250">
      <c r="A250" s="18"/>
      <c r="B250" s="12"/>
      <c r="C250" s="12"/>
      <c r="D250" s="12"/>
      <c r="E250" s="12"/>
      <c r="F250" s="12"/>
      <c r="G250" s="12"/>
      <c r="H250" s="12"/>
      <c r="I250" s="12"/>
      <c r="J250" s="12"/>
      <c r="K250" s="12"/>
      <c r="L250" s="19"/>
      <c r="M250" s="19"/>
      <c r="N250" s="19"/>
      <c r="O250" s="19"/>
      <c r="P250" s="19"/>
      <c r="Q250" s="12"/>
      <c r="R250" s="12"/>
      <c r="S250" s="12"/>
      <c r="T250" s="12"/>
      <c r="U250" s="19"/>
      <c r="V250" s="12"/>
      <c r="W250" s="12"/>
      <c r="X250" s="12"/>
      <c r="Y250" s="12"/>
      <c r="Z250" s="12"/>
    </row>
    <row r="251">
      <c r="A251" s="18"/>
      <c r="B251" s="12"/>
      <c r="C251" s="12"/>
      <c r="D251" s="12"/>
      <c r="E251" s="12"/>
      <c r="F251" s="12"/>
      <c r="G251" s="12"/>
      <c r="H251" s="12"/>
      <c r="I251" s="12"/>
      <c r="J251" s="12"/>
      <c r="K251" s="12"/>
      <c r="L251" s="19"/>
      <c r="M251" s="19"/>
      <c r="N251" s="19"/>
      <c r="O251" s="19"/>
      <c r="P251" s="19"/>
      <c r="Q251" s="12"/>
      <c r="R251" s="12"/>
      <c r="S251" s="12"/>
      <c r="T251" s="12"/>
      <c r="U251" s="19"/>
      <c r="V251" s="12"/>
      <c r="W251" s="12"/>
      <c r="X251" s="12"/>
      <c r="Y251" s="12"/>
      <c r="Z251" s="12"/>
    </row>
    <row r="252">
      <c r="A252" s="18"/>
      <c r="B252" s="12"/>
      <c r="C252" s="12"/>
      <c r="D252" s="12"/>
      <c r="E252" s="12"/>
      <c r="F252" s="12"/>
      <c r="G252" s="12"/>
      <c r="H252" s="12"/>
      <c r="I252" s="12"/>
      <c r="J252" s="12"/>
      <c r="K252" s="12"/>
      <c r="L252" s="19"/>
      <c r="M252" s="19"/>
      <c r="N252" s="19"/>
      <c r="O252" s="19"/>
      <c r="P252" s="19"/>
      <c r="Q252" s="12"/>
      <c r="R252" s="12"/>
      <c r="S252" s="12"/>
      <c r="T252" s="12"/>
      <c r="U252" s="19"/>
      <c r="V252" s="12"/>
      <c r="W252" s="12"/>
      <c r="X252" s="12"/>
      <c r="Y252" s="12"/>
      <c r="Z252" s="12"/>
    </row>
    <row r="253">
      <c r="A253" s="18"/>
      <c r="B253" s="12"/>
      <c r="C253" s="12"/>
      <c r="D253" s="12"/>
      <c r="E253" s="12"/>
      <c r="F253" s="12"/>
      <c r="G253" s="12"/>
      <c r="H253" s="12"/>
      <c r="I253" s="12"/>
      <c r="J253" s="12"/>
      <c r="K253" s="12"/>
      <c r="L253" s="19"/>
      <c r="M253" s="19"/>
      <c r="N253" s="19"/>
      <c r="O253" s="19"/>
      <c r="P253" s="19"/>
      <c r="Q253" s="12"/>
      <c r="R253" s="12"/>
      <c r="S253" s="12"/>
      <c r="T253" s="12"/>
      <c r="U253" s="19"/>
      <c r="V253" s="12"/>
      <c r="W253" s="12"/>
      <c r="X253" s="12"/>
      <c r="Y253" s="12"/>
      <c r="Z253" s="12"/>
    </row>
    <row r="254">
      <c r="A254" s="18"/>
      <c r="B254" s="12"/>
      <c r="C254" s="12"/>
      <c r="D254" s="12"/>
      <c r="E254" s="12"/>
      <c r="F254" s="12"/>
      <c r="G254" s="12"/>
      <c r="H254" s="12"/>
      <c r="I254" s="12"/>
      <c r="J254" s="12"/>
      <c r="K254" s="12"/>
      <c r="L254" s="19"/>
      <c r="M254" s="19"/>
      <c r="N254" s="19"/>
      <c r="O254" s="19"/>
      <c r="P254" s="19"/>
      <c r="Q254" s="12"/>
      <c r="R254" s="12"/>
      <c r="S254" s="12"/>
      <c r="T254" s="12"/>
      <c r="U254" s="19"/>
      <c r="V254" s="12"/>
      <c r="W254" s="12"/>
      <c r="X254" s="12"/>
      <c r="Y254" s="12"/>
      <c r="Z254" s="12"/>
    </row>
    <row r="255">
      <c r="A255" s="18"/>
      <c r="B255" s="12"/>
      <c r="C255" s="12"/>
      <c r="D255" s="12"/>
      <c r="E255" s="12"/>
      <c r="F255" s="12"/>
      <c r="G255" s="12"/>
      <c r="H255" s="12"/>
      <c r="I255" s="12"/>
      <c r="J255" s="12"/>
      <c r="K255" s="12"/>
      <c r="L255" s="19"/>
      <c r="M255" s="19"/>
      <c r="N255" s="19"/>
      <c r="O255" s="19"/>
      <c r="P255" s="19"/>
      <c r="Q255" s="12"/>
      <c r="R255" s="12"/>
      <c r="S255" s="12"/>
      <c r="T255" s="12"/>
      <c r="U255" s="19"/>
      <c r="V255" s="12"/>
      <c r="W255" s="12"/>
      <c r="X255" s="12"/>
      <c r="Y255" s="12"/>
      <c r="Z255" s="12"/>
    </row>
    <row r="256">
      <c r="A256" s="18"/>
      <c r="B256" s="12"/>
      <c r="C256" s="12"/>
      <c r="D256" s="12"/>
      <c r="E256" s="12"/>
      <c r="F256" s="12"/>
      <c r="G256" s="12"/>
      <c r="H256" s="12"/>
      <c r="I256" s="12"/>
      <c r="J256" s="12"/>
      <c r="K256" s="12"/>
      <c r="L256" s="19"/>
      <c r="M256" s="19"/>
      <c r="N256" s="19"/>
      <c r="O256" s="19"/>
      <c r="P256" s="19"/>
      <c r="Q256" s="12"/>
      <c r="R256" s="12"/>
      <c r="S256" s="12"/>
      <c r="T256" s="12"/>
      <c r="U256" s="19"/>
      <c r="V256" s="12"/>
      <c r="W256" s="12"/>
      <c r="X256" s="12"/>
      <c r="Y256" s="12"/>
      <c r="Z256" s="12"/>
    </row>
    <row r="257">
      <c r="A257" s="18"/>
      <c r="B257" s="12"/>
      <c r="C257" s="12"/>
      <c r="D257" s="12"/>
      <c r="E257" s="12"/>
      <c r="F257" s="12"/>
      <c r="G257" s="12"/>
      <c r="H257" s="12"/>
      <c r="I257" s="12"/>
      <c r="J257" s="12"/>
      <c r="K257" s="12"/>
      <c r="L257" s="19"/>
      <c r="M257" s="19"/>
      <c r="N257" s="19"/>
      <c r="O257" s="19"/>
      <c r="P257" s="19"/>
      <c r="Q257" s="12"/>
      <c r="R257" s="12"/>
      <c r="S257" s="12"/>
      <c r="T257" s="12"/>
      <c r="U257" s="19"/>
      <c r="V257" s="12"/>
      <c r="W257" s="12"/>
      <c r="X257" s="12"/>
      <c r="Y257" s="12"/>
      <c r="Z257" s="12"/>
    </row>
    <row r="258">
      <c r="A258" s="18"/>
      <c r="B258" s="12"/>
      <c r="C258" s="12"/>
      <c r="D258" s="12"/>
      <c r="E258" s="12"/>
      <c r="F258" s="12"/>
      <c r="G258" s="12"/>
      <c r="H258" s="12"/>
      <c r="I258" s="12"/>
      <c r="J258" s="12"/>
      <c r="K258" s="12"/>
      <c r="L258" s="19"/>
      <c r="M258" s="19"/>
      <c r="N258" s="19"/>
      <c r="O258" s="19"/>
      <c r="P258" s="19"/>
      <c r="Q258" s="12"/>
      <c r="R258" s="12"/>
      <c r="S258" s="12"/>
      <c r="T258" s="12"/>
      <c r="U258" s="19"/>
      <c r="V258" s="12"/>
      <c r="W258" s="12"/>
      <c r="X258" s="12"/>
      <c r="Y258" s="12"/>
      <c r="Z258" s="12"/>
    </row>
    <row r="259">
      <c r="A259" s="18"/>
      <c r="B259" s="12"/>
      <c r="C259" s="12"/>
      <c r="D259" s="12"/>
      <c r="E259" s="12"/>
      <c r="F259" s="12"/>
      <c r="G259" s="12"/>
      <c r="H259" s="12"/>
      <c r="I259" s="12"/>
      <c r="J259" s="12"/>
      <c r="K259" s="12"/>
      <c r="L259" s="19"/>
      <c r="M259" s="19"/>
      <c r="N259" s="19"/>
      <c r="O259" s="19"/>
      <c r="P259" s="19"/>
      <c r="Q259" s="12"/>
      <c r="R259" s="12"/>
      <c r="S259" s="12"/>
      <c r="T259" s="12"/>
      <c r="U259" s="19"/>
      <c r="V259" s="12"/>
      <c r="W259" s="12"/>
      <c r="X259" s="12"/>
      <c r="Y259" s="12"/>
      <c r="Z259" s="12"/>
    </row>
    <row r="260">
      <c r="A260" s="18"/>
      <c r="B260" s="12"/>
      <c r="C260" s="12"/>
      <c r="D260" s="12"/>
      <c r="E260" s="12"/>
      <c r="F260" s="12"/>
      <c r="G260" s="12"/>
      <c r="H260" s="12"/>
      <c r="I260" s="12"/>
      <c r="J260" s="12"/>
      <c r="K260" s="12"/>
      <c r="L260" s="19"/>
      <c r="M260" s="19"/>
      <c r="N260" s="19"/>
      <c r="O260" s="19"/>
      <c r="P260" s="19"/>
      <c r="Q260" s="12"/>
      <c r="R260" s="12"/>
      <c r="S260" s="12"/>
      <c r="T260" s="12"/>
      <c r="U260" s="19"/>
      <c r="V260" s="12"/>
      <c r="W260" s="12"/>
      <c r="X260" s="12"/>
      <c r="Y260" s="12"/>
      <c r="Z260" s="12"/>
    </row>
    <row r="261">
      <c r="A261" s="18"/>
      <c r="B261" s="12"/>
      <c r="C261" s="12"/>
      <c r="D261" s="12"/>
      <c r="E261" s="12"/>
      <c r="F261" s="12"/>
      <c r="G261" s="12"/>
      <c r="H261" s="12"/>
      <c r="I261" s="12"/>
      <c r="J261" s="12"/>
      <c r="K261" s="12"/>
      <c r="L261" s="19"/>
      <c r="M261" s="19"/>
      <c r="N261" s="19"/>
      <c r="O261" s="19"/>
      <c r="P261" s="19"/>
      <c r="Q261" s="12"/>
      <c r="R261" s="12"/>
      <c r="S261" s="12"/>
      <c r="T261" s="12"/>
      <c r="U261" s="19"/>
      <c r="V261" s="12"/>
      <c r="W261" s="12"/>
      <c r="X261" s="12"/>
      <c r="Y261" s="12"/>
      <c r="Z261" s="12"/>
    </row>
    <row r="262">
      <c r="A262" s="18"/>
      <c r="B262" s="12"/>
      <c r="C262" s="12"/>
      <c r="D262" s="12"/>
      <c r="E262" s="12"/>
      <c r="F262" s="12"/>
      <c r="G262" s="12"/>
      <c r="H262" s="12"/>
      <c r="I262" s="12"/>
      <c r="J262" s="12"/>
      <c r="K262" s="12"/>
      <c r="L262" s="19"/>
      <c r="M262" s="19"/>
      <c r="N262" s="19"/>
      <c r="O262" s="19"/>
      <c r="P262" s="19"/>
      <c r="Q262" s="12"/>
      <c r="R262" s="12"/>
      <c r="S262" s="12"/>
      <c r="T262" s="12"/>
      <c r="U262" s="19"/>
      <c r="V262" s="12"/>
      <c r="W262" s="12"/>
      <c r="X262" s="12"/>
      <c r="Y262" s="12"/>
      <c r="Z262" s="12"/>
    </row>
    <row r="263">
      <c r="A263" s="18"/>
      <c r="B263" s="12"/>
      <c r="C263" s="12"/>
      <c r="D263" s="12"/>
      <c r="E263" s="12"/>
      <c r="F263" s="12"/>
      <c r="G263" s="12"/>
      <c r="H263" s="12"/>
      <c r="I263" s="12"/>
      <c r="J263" s="12"/>
      <c r="K263" s="12"/>
      <c r="L263" s="19"/>
      <c r="M263" s="19"/>
      <c r="N263" s="19"/>
      <c r="O263" s="19"/>
      <c r="P263" s="19"/>
      <c r="Q263" s="12"/>
      <c r="R263" s="12"/>
      <c r="S263" s="12"/>
      <c r="T263" s="12"/>
      <c r="U263" s="19"/>
      <c r="V263" s="12"/>
      <c r="W263" s="12"/>
      <c r="X263" s="12"/>
      <c r="Y263" s="12"/>
      <c r="Z263" s="12"/>
    </row>
    <row r="264">
      <c r="A264" s="18"/>
      <c r="B264" s="12"/>
      <c r="C264" s="12"/>
      <c r="D264" s="12"/>
      <c r="E264" s="12"/>
      <c r="F264" s="12"/>
      <c r="G264" s="12"/>
      <c r="H264" s="12"/>
      <c r="I264" s="12"/>
      <c r="J264" s="12"/>
      <c r="K264" s="12"/>
      <c r="L264" s="19"/>
      <c r="M264" s="19"/>
      <c r="N264" s="19"/>
      <c r="O264" s="19"/>
      <c r="P264" s="19"/>
      <c r="Q264" s="12"/>
      <c r="R264" s="12"/>
      <c r="S264" s="12"/>
      <c r="T264" s="12"/>
      <c r="U264" s="19"/>
      <c r="V264" s="12"/>
      <c r="W264" s="12"/>
      <c r="X264" s="12"/>
      <c r="Y264" s="12"/>
      <c r="Z264" s="12"/>
    </row>
    <row r="265">
      <c r="A265" s="18"/>
      <c r="B265" s="12"/>
      <c r="C265" s="12"/>
      <c r="D265" s="12"/>
      <c r="E265" s="12"/>
      <c r="F265" s="12"/>
      <c r="G265" s="12"/>
      <c r="H265" s="12"/>
      <c r="I265" s="12"/>
      <c r="J265" s="12"/>
      <c r="K265" s="12"/>
      <c r="L265" s="19"/>
      <c r="M265" s="19"/>
      <c r="N265" s="19"/>
      <c r="O265" s="19"/>
      <c r="P265" s="19"/>
      <c r="Q265" s="12"/>
      <c r="R265" s="12"/>
      <c r="S265" s="12"/>
      <c r="T265" s="12"/>
      <c r="U265" s="19"/>
      <c r="V265" s="12"/>
      <c r="W265" s="12"/>
      <c r="X265" s="12"/>
      <c r="Y265" s="12"/>
      <c r="Z265" s="12"/>
    </row>
    <row r="266">
      <c r="A266" s="18"/>
      <c r="B266" s="12"/>
      <c r="C266" s="12"/>
      <c r="D266" s="12"/>
      <c r="E266" s="12"/>
      <c r="F266" s="12"/>
      <c r="G266" s="12"/>
      <c r="H266" s="12"/>
      <c r="I266" s="12"/>
      <c r="J266" s="12"/>
      <c r="K266" s="12"/>
      <c r="L266" s="19"/>
      <c r="M266" s="19"/>
      <c r="N266" s="19"/>
      <c r="O266" s="19"/>
      <c r="P266" s="19"/>
      <c r="Q266" s="12"/>
      <c r="R266" s="12"/>
      <c r="S266" s="12"/>
      <c r="T266" s="12"/>
      <c r="U266" s="19"/>
      <c r="V266" s="12"/>
      <c r="W266" s="12"/>
      <c r="X266" s="12"/>
      <c r="Y266" s="12"/>
      <c r="Z266" s="12"/>
    </row>
    <row r="267">
      <c r="A267" s="18"/>
      <c r="B267" s="12"/>
      <c r="C267" s="12"/>
      <c r="D267" s="12"/>
      <c r="E267" s="12"/>
      <c r="F267" s="12"/>
      <c r="G267" s="12"/>
      <c r="H267" s="12"/>
      <c r="I267" s="12"/>
      <c r="J267" s="12"/>
      <c r="K267" s="12"/>
      <c r="L267" s="19"/>
      <c r="M267" s="19"/>
      <c r="N267" s="19"/>
      <c r="O267" s="19"/>
      <c r="P267" s="19"/>
      <c r="Q267" s="12"/>
      <c r="R267" s="12"/>
      <c r="S267" s="12"/>
      <c r="T267" s="12"/>
      <c r="U267" s="19"/>
      <c r="V267" s="12"/>
      <c r="W267" s="12"/>
      <c r="X267" s="12"/>
      <c r="Y267" s="12"/>
      <c r="Z267" s="12"/>
    </row>
    <row r="268">
      <c r="A268" s="18"/>
      <c r="B268" s="12"/>
      <c r="C268" s="12"/>
      <c r="D268" s="12"/>
      <c r="E268" s="12"/>
      <c r="F268" s="12"/>
      <c r="G268" s="12"/>
      <c r="H268" s="12"/>
      <c r="I268" s="12"/>
      <c r="J268" s="12"/>
      <c r="K268" s="12"/>
      <c r="L268" s="19"/>
      <c r="M268" s="19"/>
      <c r="N268" s="19"/>
      <c r="O268" s="19"/>
      <c r="P268" s="19"/>
      <c r="Q268" s="12"/>
      <c r="R268" s="12"/>
      <c r="S268" s="12"/>
      <c r="T268" s="12"/>
      <c r="U268" s="19"/>
      <c r="V268" s="12"/>
      <c r="W268" s="12"/>
      <c r="X268" s="12"/>
      <c r="Y268" s="12"/>
      <c r="Z268" s="12"/>
    </row>
    <row r="269">
      <c r="A269" s="18"/>
      <c r="B269" s="12"/>
      <c r="C269" s="12"/>
      <c r="D269" s="12"/>
      <c r="E269" s="12"/>
      <c r="F269" s="12"/>
      <c r="G269" s="12"/>
      <c r="H269" s="12"/>
      <c r="I269" s="12"/>
      <c r="J269" s="12"/>
      <c r="K269" s="12"/>
      <c r="L269" s="19"/>
      <c r="M269" s="19"/>
      <c r="N269" s="19"/>
      <c r="O269" s="19"/>
      <c r="P269" s="19"/>
      <c r="Q269" s="12"/>
      <c r="R269" s="12"/>
      <c r="S269" s="12"/>
      <c r="T269" s="12"/>
      <c r="U269" s="19"/>
      <c r="V269" s="12"/>
      <c r="W269" s="12"/>
      <c r="X269" s="12"/>
      <c r="Y269" s="12"/>
      <c r="Z269" s="12"/>
    </row>
    <row r="270">
      <c r="A270" s="18"/>
      <c r="B270" s="12"/>
      <c r="C270" s="12"/>
      <c r="D270" s="12"/>
      <c r="E270" s="12"/>
      <c r="F270" s="12"/>
      <c r="G270" s="12"/>
      <c r="H270" s="12"/>
      <c r="I270" s="12"/>
      <c r="J270" s="12"/>
      <c r="K270" s="12"/>
      <c r="L270" s="19"/>
      <c r="M270" s="19"/>
      <c r="N270" s="19"/>
      <c r="O270" s="19"/>
      <c r="P270" s="19"/>
      <c r="Q270" s="12"/>
      <c r="R270" s="12"/>
      <c r="S270" s="12"/>
      <c r="T270" s="12"/>
      <c r="U270" s="19"/>
      <c r="V270" s="12"/>
      <c r="W270" s="12"/>
      <c r="X270" s="12"/>
      <c r="Y270" s="12"/>
      <c r="Z270" s="12"/>
    </row>
    <row r="271">
      <c r="A271" s="18"/>
      <c r="B271" s="12"/>
      <c r="C271" s="12"/>
      <c r="D271" s="12"/>
      <c r="E271" s="12"/>
      <c r="F271" s="12"/>
      <c r="G271" s="12"/>
      <c r="H271" s="12"/>
      <c r="I271" s="12"/>
      <c r="J271" s="12"/>
      <c r="K271" s="12"/>
      <c r="L271" s="19"/>
      <c r="M271" s="19"/>
      <c r="N271" s="19"/>
      <c r="O271" s="19"/>
      <c r="P271" s="19"/>
      <c r="Q271" s="12"/>
      <c r="R271" s="12"/>
      <c r="S271" s="12"/>
      <c r="T271" s="12"/>
      <c r="U271" s="19"/>
      <c r="V271" s="12"/>
      <c r="W271" s="12"/>
      <c r="X271" s="12"/>
      <c r="Y271" s="12"/>
      <c r="Z271" s="12"/>
    </row>
    <row r="272">
      <c r="A272" s="18"/>
      <c r="B272" s="12"/>
      <c r="C272" s="12"/>
      <c r="D272" s="12"/>
      <c r="E272" s="12"/>
      <c r="F272" s="12"/>
      <c r="G272" s="12"/>
      <c r="H272" s="12"/>
      <c r="I272" s="12"/>
      <c r="J272" s="12"/>
      <c r="K272" s="12"/>
      <c r="L272" s="19"/>
      <c r="M272" s="19"/>
      <c r="N272" s="19"/>
      <c r="O272" s="19"/>
      <c r="P272" s="19"/>
      <c r="Q272" s="12"/>
      <c r="R272" s="12"/>
      <c r="S272" s="12"/>
      <c r="T272" s="12"/>
      <c r="U272" s="19"/>
      <c r="V272" s="12"/>
      <c r="W272" s="12"/>
      <c r="X272" s="12"/>
      <c r="Y272" s="12"/>
      <c r="Z272" s="12"/>
    </row>
    <row r="273">
      <c r="A273" s="18"/>
      <c r="B273" s="12"/>
      <c r="C273" s="12"/>
      <c r="D273" s="12"/>
      <c r="E273" s="12"/>
      <c r="F273" s="12"/>
      <c r="G273" s="12"/>
      <c r="H273" s="12"/>
      <c r="I273" s="12"/>
      <c r="J273" s="12"/>
      <c r="K273" s="12"/>
      <c r="L273" s="19"/>
      <c r="M273" s="19"/>
      <c r="N273" s="19"/>
      <c r="O273" s="19"/>
      <c r="P273" s="19"/>
      <c r="Q273" s="12"/>
      <c r="R273" s="12"/>
      <c r="S273" s="12"/>
      <c r="T273" s="12"/>
      <c r="U273" s="19"/>
      <c r="V273" s="12"/>
      <c r="W273" s="12"/>
      <c r="X273" s="12"/>
      <c r="Y273" s="12"/>
      <c r="Z273" s="12"/>
    </row>
    <row r="274">
      <c r="A274" s="18"/>
      <c r="B274" s="12"/>
      <c r="C274" s="12"/>
      <c r="D274" s="12"/>
      <c r="E274" s="12"/>
      <c r="F274" s="12"/>
      <c r="G274" s="12"/>
      <c r="H274" s="12"/>
      <c r="I274" s="12"/>
      <c r="J274" s="12"/>
      <c r="K274" s="12"/>
      <c r="L274" s="19"/>
      <c r="M274" s="19"/>
      <c r="N274" s="19"/>
      <c r="O274" s="19"/>
      <c r="P274" s="19"/>
      <c r="Q274" s="12"/>
      <c r="R274" s="12"/>
      <c r="S274" s="12"/>
      <c r="T274" s="12"/>
      <c r="U274" s="19"/>
      <c r="V274" s="12"/>
      <c r="W274" s="12"/>
      <c r="X274" s="12"/>
      <c r="Y274" s="12"/>
      <c r="Z274" s="12"/>
    </row>
    <row r="275">
      <c r="A275" s="18"/>
      <c r="B275" s="12"/>
      <c r="C275" s="12"/>
      <c r="D275" s="12"/>
      <c r="E275" s="12"/>
      <c r="F275" s="12"/>
      <c r="G275" s="12"/>
      <c r="H275" s="12"/>
      <c r="I275" s="12"/>
      <c r="J275" s="12"/>
      <c r="K275" s="12"/>
      <c r="L275" s="19"/>
      <c r="M275" s="19"/>
      <c r="N275" s="19"/>
      <c r="O275" s="19"/>
      <c r="P275" s="19"/>
      <c r="Q275" s="12"/>
      <c r="R275" s="12"/>
      <c r="S275" s="12"/>
      <c r="T275" s="12"/>
      <c r="U275" s="19"/>
      <c r="V275" s="12"/>
      <c r="W275" s="12"/>
      <c r="X275" s="12"/>
      <c r="Y275" s="12"/>
      <c r="Z275" s="12"/>
    </row>
    <row r="276">
      <c r="A276" s="18"/>
      <c r="B276" s="12"/>
      <c r="C276" s="12"/>
      <c r="D276" s="12"/>
      <c r="E276" s="12"/>
      <c r="F276" s="12"/>
      <c r="G276" s="12"/>
      <c r="H276" s="12"/>
      <c r="I276" s="12"/>
      <c r="J276" s="12"/>
      <c r="K276" s="12"/>
      <c r="L276" s="19"/>
      <c r="M276" s="19"/>
      <c r="N276" s="19"/>
      <c r="O276" s="19"/>
      <c r="P276" s="19"/>
      <c r="Q276" s="12"/>
      <c r="R276" s="12"/>
      <c r="S276" s="12"/>
      <c r="T276" s="12"/>
      <c r="U276" s="19"/>
      <c r="V276" s="12"/>
      <c r="W276" s="12"/>
      <c r="X276" s="12"/>
      <c r="Y276" s="12"/>
      <c r="Z276" s="12"/>
    </row>
    <row r="277">
      <c r="A277" s="18"/>
      <c r="B277" s="12"/>
      <c r="C277" s="12"/>
      <c r="D277" s="12"/>
      <c r="E277" s="12"/>
      <c r="F277" s="12"/>
      <c r="G277" s="12"/>
      <c r="H277" s="12"/>
      <c r="I277" s="12"/>
      <c r="J277" s="12"/>
      <c r="K277" s="12"/>
      <c r="L277" s="19"/>
      <c r="M277" s="19"/>
      <c r="N277" s="19"/>
      <c r="O277" s="19"/>
      <c r="P277" s="19"/>
      <c r="Q277" s="12"/>
      <c r="R277" s="12"/>
      <c r="S277" s="12"/>
      <c r="T277" s="12"/>
      <c r="U277" s="19"/>
      <c r="V277" s="12"/>
      <c r="W277" s="12"/>
      <c r="X277" s="12"/>
      <c r="Y277" s="12"/>
      <c r="Z277" s="12"/>
    </row>
    <row r="278">
      <c r="A278" s="18"/>
      <c r="B278" s="12"/>
      <c r="C278" s="12"/>
      <c r="D278" s="12"/>
      <c r="E278" s="12"/>
      <c r="F278" s="12"/>
      <c r="G278" s="12"/>
      <c r="H278" s="12"/>
      <c r="I278" s="12"/>
      <c r="J278" s="12"/>
      <c r="K278" s="12"/>
      <c r="L278" s="19"/>
      <c r="M278" s="19"/>
      <c r="N278" s="19"/>
      <c r="O278" s="19"/>
      <c r="P278" s="19"/>
      <c r="Q278" s="12"/>
      <c r="R278" s="12"/>
      <c r="S278" s="12"/>
      <c r="T278" s="12"/>
      <c r="U278" s="19"/>
      <c r="V278" s="12"/>
      <c r="W278" s="12"/>
      <c r="X278" s="12"/>
      <c r="Y278" s="12"/>
      <c r="Z278" s="12"/>
    </row>
    <row r="279">
      <c r="A279" s="18"/>
      <c r="B279" s="12"/>
      <c r="C279" s="12"/>
      <c r="D279" s="12"/>
      <c r="E279" s="12"/>
      <c r="F279" s="12"/>
      <c r="G279" s="12"/>
      <c r="H279" s="12"/>
      <c r="I279" s="12"/>
      <c r="J279" s="12"/>
      <c r="K279" s="12"/>
      <c r="L279" s="19"/>
      <c r="M279" s="19"/>
      <c r="N279" s="19"/>
      <c r="O279" s="19"/>
      <c r="P279" s="19"/>
      <c r="Q279" s="12"/>
      <c r="R279" s="12"/>
      <c r="S279" s="12"/>
      <c r="T279" s="12"/>
      <c r="U279" s="19"/>
      <c r="V279" s="12"/>
      <c r="W279" s="12"/>
      <c r="X279" s="12"/>
      <c r="Y279" s="12"/>
      <c r="Z279" s="12"/>
    </row>
    <row r="280">
      <c r="A280" s="18"/>
      <c r="B280" s="12"/>
      <c r="C280" s="12"/>
      <c r="D280" s="12"/>
      <c r="E280" s="12"/>
      <c r="F280" s="12"/>
      <c r="G280" s="12"/>
      <c r="H280" s="12"/>
      <c r="I280" s="12"/>
      <c r="J280" s="12"/>
      <c r="K280" s="12"/>
      <c r="L280" s="19"/>
      <c r="M280" s="19"/>
      <c r="N280" s="19"/>
      <c r="O280" s="19"/>
      <c r="P280" s="19"/>
      <c r="Q280" s="12"/>
      <c r="R280" s="12"/>
      <c r="S280" s="12"/>
      <c r="T280" s="12"/>
      <c r="U280" s="19"/>
      <c r="V280" s="12"/>
      <c r="W280" s="12"/>
      <c r="X280" s="12"/>
      <c r="Y280" s="12"/>
      <c r="Z280" s="12"/>
    </row>
    <row r="281">
      <c r="A281" s="18"/>
      <c r="B281" s="12"/>
      <c r="C281" s="12"/>
      <c r="D281" s="12"/>
      <c r="E281" s="12"/>
      <c r="F281" s="12"/>
      <c r="G281" s="12"/>
      <c r="H281" s="12"/>
      <c r="I281" s="12"/>
      <c r="J281" s="12"/>
      <c r="K281" s="12"/>
      <c r="L281" s="19"/>
      <c r="M281" s="19"/>
      <c r="N281" s="19"/>
      <c r="O281" s="19"/>
      <c r="P281" s="19"/>
      <c r="Q281" s="12"/>
      <c r="R281" s="12"/>
      <c r="S281" s="12"/>
      <c r="T281" s="12"/>
      <c r="U281" s="19"/>
      <c r="V281" s="12"/>
      <c r="W281" s="12"/>
      <c r="X281" s="12"/>
      <c r="Y281" s="12"/>
      <c r="Z281" s="12"/>
    </row>
    <row r="282">
      <c r="A282" s="18"/>
      <c r="B282" s="12"/>
      <c r="C282" s="12"/>
      <c r="D282" s="12"/>
      <c r="E282" s="12"/>
      <c r="F282" s="12"/>
      <c r="G282" s="12"/>
      <c r="H282" s="12"/>
      <c r="I282" s="12"/>
      <c r="J282" s="12"/>
      <c r="K282" s="12"/>
      <c r="L282" s="19"/>
      <c r="M282" s="19"/>
      <c r="N282" s="19"/>
      <c r="O282" s="19"/>
      <c r="P282" s="19"/>
      <c r="Q282" s="12"/>
      <c r="R282" s="12"/>
      <c r="S282" s="12"/>
      <c r="T282" s="12"/>
      <c r="U282" s="19"/>
      <c r="V282" s="12"/>
      <c r="W282" s="12"/>
      <c r="X282" s="12"/>
      <c r="Y282" s="12"/>
      <c r="Z282" s="12"/>
    </row>
    <row r="283">
      <c r="A283" s="18"/>
      <c r="B283" s="12"/>
      <c r="C283" s="12"/>
      <c r="D283" s="12"/>
      <c r="E283" s="12"/>
      <c r="F283" s="12"/>
      <c r="G283" s="12"/>
      <c r="H283" s="12"/>
      <c r="I283" s="12"/>
      <c r="J283" s="12"/>
      <c r="K283" s="12"/>
      <c r="L283" s="19"/>
      <c r="M283" s="19"/>
      <c r="N283" s="19"/>
      <c r="O283" s="19"/>
      <c r="P283" s="19"/>
      <c r="Q283" s="12"/>
      <c r="R283" s="12"/>
      <c r="S283" s="12"/>
      <c r="T283" s="12"/>
      <c r="U283" s="19"/>
      <c r="V283" s="12"/>
      <c r="W283" s="12"/>
      <c r="X283" s="12"/>
      <c r="Y283" s="12"/>
      <c r="Z283" s="12"/>
    </row>
    <row r="284">
      <c r="A284" s="18"/>
      <c r="B284" s="12"/>
      <c r="C284" s="12"/>
      <c r="D284" s="12"/>
      <c r="E284" s="12"/>
      <c r="F284" s="12"/>
      <c r="G284" s="12"/>
      <c r="H284" s="12"/>
      <c r="I284" s="12"/>
      <c r="J284" s="12"/>
      <c r="K284" s="12"/>
      <c r="L284" s="19"/>
      <c r="M284" s="19"/>
      <c r="N284" s="19"/>
      <c r="O284" s="19"/>
      <c r="P284" s="19"/>
      <c r="Q284" s="12"/>
      <c r="R284" s="12"/>
      <c r="S284" s="12"/>
      <c r="T284" s="12"/>
      <c r="U284" s="19"/>
      <c r="V284" s="12"/>
      <c r="W284" s="12"/>
      <c r="X284" s="12"/>
      <c r="Y284" s="12"/>
      <c r="Z284" s="12"/>
    </row>
    <row r="285">
      <c r="A285" s="18"/>
      <c r="B285" s="12"/>
      <c r="C285" s="12"/>
      <c r="D285" s="12"/>
      <c r="E285" s="12"/>
      <c r="F285" s="12"/>
      <c r="G285" s="12"/>
      <c r="H285" s="12"/>
      <c r="I285" s="12"/>
      <c r="J285" s="12"/>
      <c r="K285" s="12"/>
      <c r="L285" s="19"/>
      <c r="M285" s="19"/>
      <c r="N285" s="19"/>
      <c r="O285" s="19"/>
      <c r="P285" s="19"/>
      <c r="Q285" s="12"/>
      <c r="R285" s="12"/>
      <c r="S285" s="12"/>
      <c r="T285" s="12"/>
      <c r="U285" s="19"/>
      <c r="V285" s="12"/>
      <c r="W285" s="12"/>
      <c r="X285" s="12"/>
      <c r="Y285" s="12"/>
      <c r="Z285" s="12"/>
    </row>
    <row r="286">
      <c r="A286" s="18"/>
      <c r="B286" s="12"/>
      <c r="C286" s="12"/>
      <c r="D286" s="12"/>
      <c r="E286" s="12"/>
      <c r="F286" s="12"/>
      <c r="G286" s="12"/>
      <c r="H286" s="12"/>
      <c r="I286" s="12"/>
      <c r="J286" s="12"/>
      <c r="K286" s="12"/>
      <c r="L286" s="19"/>
      <c r="M286" s="19"/>
      <c r="N286" s="19"/>
      <c r="O286" s="19"/>
      <c r="P286" s="19"/>
      <c r="Q286" s="12"/>
      <c r="R286" s="12"/>
      <c r="S286" s="12"/>
      <c r="T286" s="12"/>
      <c r="U286" s="19"/>
      <c r="V286" s="12"/>
      <c r="W286" s="12"/>
      <c r="X286" s="12"/>
      <c r="Y286" s="12"/>
      <c r="Z286" s="12"/>
    </row>
    <row r="287">
      <c r="A287" s="18"/>
      <c r="B287" s="12"/>
      <c r="C287" s="12"/>
      <c r="D287" s="12"/>
      <c r="E287" s="12"/>
      <c r="F287" s="12"/>
      <c r="G287" s="12"/>
      <c r="H287" s="12"/>
      <c r="I287" s="12"/>
      <c r="J287" s="12"/>
      <c r="K287" s="12"/>
      <c r="L287" s="19"/>
      <c r="M287" s="19"/>
      <c r="N287" s="19"/>
      <c r="O287" s="19"/>
      <c r="P287" s="19"/>
      <c r="Q287" s="12"/>
      <c r="R287" s="12"/>
      <c r="S287" s="12"/>
      <c r="T287" s="12"/>
      <c r="U287" s="19"/>
      <c r="V287" s="12"/>
      <c r="W287" s="12"/>
      <c r="X287" s="12"/>
      <c r="Y287" s="12"/>
      <c r="Z287" s="12"/>
    </row>
    <row r="288">
      <c r="A288" s="18"/>
      <c r="B288" s="12"/>
      <c r="C288" s="12"/>
      <c r="D288" s="12"/>
      <c r="E288" s="12"/>
      <c r="F288" s="12"/>
      <c r="G288" s="12"/>
      <c r="H288" s="12"/>
      <c r="I288" s="12"/>
      <c r="J288" s="12"/>
      <c r="K288" s="12"/>
      <c r="L288" s="19"/>
      <c r="M288" s="19"/>
      <c r="N288" s="19"/>
      <c r="O288" s="19"/>
      <c r="P288" s="19"/>
      <c r="Q288" s="12"/>
      <c r="R288" s="12"/>
      <c r="S288" s="12"/>
      <c r="T288" s="12"/>
      <c r="U288" s="19"/>
      <c r="V288" s="12"/>
      <c r="W288" s="12"/>
      <c r="X288" s="12"/>
      <c r="Y288" s="12"/>
      <c r="Z288" s="12"/>
    </row>
    <row r="289">
      <c r="A289" s="18"/>
      <c r="B289" s="12"/>
      <c r="C289" s="12"/>
      <c r="D289" s="12"/>
      <c r="E289" s="12"/>
      <c r="F289" s="12"/>
      <c r="G289" s="12"/>
      <c r="H289" s="12"/>
      <c r="I289" s="12"/>
      <c r="J289" s="12"/>
      <c r="K289" s="12"/>
      <c r="L289" s="19"/>
      <c r="M289" s="19"/>
      <c r="N289" s="19"/>
      <c r="O289" s="19"/>
      <c r="P289" s="19"/>
      <c r="Q289" s="12"/>
      <c r="R289" s="12"/>
      <c r="S289" s="12"/>
      <c r="T289" s="12"/>
      <c r="U289" s="19"/>
      <c r="V289" s="12"/>
      <c r="W289" s="12"/>
      <c r="X289" s="12"/>
      <c r="Y289" s="12"/>
      <c r="Z289" s="12"/>
    </row>
    <row r="290">
      <c r="A290" s="18"/>
      <c r="B290" s="12"/>
      <c r="C290" s="12"/>
      <c r="D290" s="12"/>
      <c r="E290" s="12"/>
      <c r="F290" s="12"/>
      <c r="G290" s="12"/>
      <c r="H290" s="12"/>
      <c r="I290" s="12"/>
      <c r="J290" s="12"/>
      <c r="K290" s="12"/>
      <c r="L290" s="19"/>
      <c r="M290" s="19"/>
      <c r="N290" s="19"/>
      <c r="O290" s="19"/>
      <c r="P290" s="19"/>
      <c r="Q290" s="12"/>
      <c r="R290" s="12"/>
      <c r="S290" s="12"/>
      <c r="T290" s="12"/>
      <c r="U290" s="19"/>
      <c r="V290" s="12"/>
      <c r="W290" s="12"/>
      <c r="X290" s="12"/>
      <c r="Y290" s="12"/>
      <c r="Z290" s="12"/>
    </row>
    <row r="291">
      <c r="A291" s="18"/>
      <c r="B291" s="12"/>
      <c r="C291" s="12"/>
      <c r="D291" s="12"/>
      <c r="E291" s="12"/>
      <c r="F291" s="12"/>
      <c r="G291" s="12"/>
      <c r="H291" s="12"/>
      <c r="I291" s="12"/>
      <c r="J291" s="12"/>
      <c r="K291" s="12"/>
      <c r="L291" s="19"/>
      <c r="M291" s="19"/>
      <c r="N291" s="19"/>
      <c r="O291" s="19"/>
      <c r="P291" s="19"/>
      <c r="Q291" s="12"/>
      <c r="R291" s="12"/>
      <c r="S291" s="12"/>
      <c r="T291" s="12"/>
      <c r="U291" s="19"/>
      <c r="V291" s="12"/>
      <c r="W291" s="12"/>
      <c r="X291" s="12"/>
      <c r="Y291" s="12"/>
      <c r="Z291" s="12"/>
    </row>
    <row r="292">
      <c r="A292" s="18"/>
      <c r="B292" s="12"/>
      <c r="C292" s="12"/>
      <c r="D292" s="12"/>
      <c r="E292" s="12"/>
      <c r="F292" s="12"/>
      <c r="G292" s="12"/>
      <c r="H292" s="12"/>
      <c r="I292" s="12"/>
      <c r="J292" s="12"/>
      <c r="K292" s="12"/>
      <c r="L292" s="19"/>
      <c r="M292" s="19"/>
      <c r="N292" s="19"/>
      <c r="O292" s="19"/>
      <c r="P292" s="19"/>
      <c r="Q292" s="12"/>
      <c r="R292" s="12"/>
      <c r="S292" s="12"/>
      <c r="T292" s="12"/>
      <c r="U292" s="19"/>
      <c r="V292" s="12"/>
      <c r="W292" s="12"/>
      <c r="X292" s="12"/>
      <c r="Y292" s="12"/>
      <c r="Z292" s="12"/>
    </row>
    <row r="293">
      <c r="A293" s="18"/>
      <c r="B293" s="12"/>
      <c r="C293" s="12"/>
      <c r="D293" s="12"/>
      <c r="E293" s="12"/>
      <c r="F293" s="12"/>
      <c r="G293" s="12"/>
      <c r="H293" s="12"/>
      <c r="I293" s="12"/>
      <c r="J293" s="12"/>
      <c r="K293" s="12"/>
      <c r="L293" s="19"/>
      <c r="M293" s="19"/>
      <c r="N293" s="19"/>
      <c r="O293" s="19"/>
      <c r="P293" s="19"/>
      <c r="Q293" s="12"/>
      <c r="R293" s="12"/>
      <c r="S293" s="12"/>
      <c r="T293" s="12"/>
      <c r="U293" s="19"/>
      <c r="V293" s="12"/>
      <c r="W293" s="12"/>
      <c r="X293" s="12"/>
      <c r="Y293" s="12"/>
      <c r="Z293" s="12"/>
    </row>
    <row r="294">
      <c r="A294" s="18"/>
      <c r="B294" s="12"/>
      <c r="C294" s="12"/>
      <c r="D294" s="12"/>
      <c r="E294" s="12"/>
      <c r="F294" s="12"/>
      <c r="G294" s="12"/>
      <c r="H294" s="12"/>
      <c r="I294" s="12"/>
      <c r="J294" s="12"/>
      <c r="K294" s="12"/>
      <c r="L294" s="19"/>
      <c r="M294" s="19"/>
      <c r="N294" s="19"/>
      <c r="O294" s="19"/>
      <c r="P294" s="19"/>
      <c r="Q294" s="12"/>
      <c r="R294" s="12"/>
      <c r="S294" s="12"/>
      <c r="T294" s="12"/>
      <c r="U294" s="19"/>
      <c r="V294" s="12"/>
      <c r="W294" s="12"/>
      <c r="X294" s="12"/>
      <c r="Y294" s="12"/>
      <c r="Z294" s="12"/>
    </row>
    <row r="295">
      <c r="A295" s="18"/>
      <c r="B295" s="12"/>
      <c r="C295" s="12"/>
      <c r="D295" s="12"/>
      <c r="E295" s="12"/>
      <c r="F295" s="12"/>
      <c r="G295" s="12"/>
      <c r="H295" s="12"/>
      <c r="I295" s="12"/>
      <c r="J295" s="12"/>
      <c r="K295" s="12"/>
      <c r="L295" s="19"/>
      <c r="M295" s="19"/>
      <c r="N295" s="19"/>
      <c r="O295" s="19"/>
      <c r="P295" s="19"/>
      <c r="Q295" s="12"/>
      <c r="R295" s="12"/>
      <c r="S295" s="12"/>
      <c r="T295" s="12"/>
      <c r="U295" s="19"/>
      <c r="V295" s="12"/>
      <c r="W295" s="12"/>
      <c r="X295" s="12"/>
      <c r="Y295" s="12"/>
      <c r="Z295" s="12"/>
    </row>
    <row r="296">
      <c r="A296" s="18"/>
      <c r="B296" s="12"/>
      <c r="C296" s="12"/>
      <c r="D296" s="12"/>
      <c r="E296" s="12"/>
      <c r="F296" s="12"/>
      <c r="G296" s="12"/>
      <c r="H296" s="12"/>
      <c r="I296" s="12"/>
      <c r="J296" s="12"/>
      <c r="K296" s="12"/>
      <c r="L296" s="19"/>
      <c r="M296" s="19"/>
      <c r="N296" s="19"/>
      <c r="O296" s="19"/>
      <c r="P296" s="19"/>
      <c r="Q296" s="12"/>
      <c r="R296" s="12"/>
      <c r="S296" s="12"/>
      <c r="T296" s="12"/>
      <c r="U296" s="19"/>
      <c r="V296" s="12"/>
      <c r="W296" s="12"/>
      <c r="X296" s="12"/>
      <c r="Y296" s="12"/>
      <c r="Z296" s="12"/>
    </row>
    <row r="297">
      <c r="A297" s="18"/>
      <c r="B297" s="12"/>
      <c r="C297" s="12"/>
      <c r="D297" s="12"/>
      <c r="E297" s="12"/>
      <c r="F297" s="12"/>
      <c r="G297" s="12"/>
      <c r="H297" s="12"/>
      <c r="I297" s="12"/>
      <c r="J297" s="12"/>
      <c r="K297" s="12"/>
      <c r="L297" s="19"/>
      <c r="M297" s="19"/>
      <c r="N297" s="19"/>
      <c r="O297" s="19"/>
      <c r="P297" s="19"/>
      <c r="Q297" s="12"/>
      <c r="R297" s="12"/>
      <c r="S297" s="12"/>
      <c r="T297" s="12"/>
      <c r="U297" s="19"/>
      <c r="V297" s="12"/>
      <c r="W297" s="12"/>
      <c r="X297" s="12"/>
      <c r="Y297" s="12"/>
      <c r="Z297" s="12"/>
    </row>
    <row r="298">
      <c r="A298" s="18"/>
      <c r="B298" s="12"/>
      <c r="C298" s="12"/>
      <c r="D298" s="12"/>
      <c r="E298" s="12"/>
      <c r="F298" s="12"/>
      <c r="G298" s="12"/>
      <c r="H298" s="12"/>
      <c r="I298" s="12"/>
      <c r="J298" s="12"/>
      <c r="K298" s="12"/>
      <c r="L298" s="19"/>
      <c r="M298" s="19"/>
      <c r="N298" s="19"/>
      <c r="O298" s="19"/>
      <c r="P298" s="19"/>
      <c r="Q298" s="12"/>
      <c r="R298" s="12"/>
      <c r="S298" s="12"/>
      <c r="T298" s="12"/>
      <c r="U298" s="19"/>
      <c r="V298" s="12"/>
      <c r="W298" s="12"/>
      <c r="X298" s="12"/>
      <c r="Y298" s="12"/>
      <c r="Z298" s="12"/>
    </row>
    <row r="299">
      <c r="A299" s="18"/>
      <c r="B299" s="12"/>
      <c r="C299" s="12"/>
      <c r="D299" s="12"/>
      <c r="E299" s="12"/>
      <c r="F299" s="12"/>
      <c r="G299" s="12"/>
      <c r="H299" s="12"/>
      <c r="I299" s="12"/>
      <c r="J299" s="12"/>
      <c r="K299" s="12"/>
      <c r="L299" s="19"/>
      <c r="M299" s="19"/>
      <c r="N299" s="19"/>
      <c r="O299" s="19"/>
      <c r="P299" s="19"/>
      <c r="Q299" s="12"/>
      <c r="R299" s="12"/>
      <c r="S299" s="12"/>
      <c r="T299" s="12"/>
      <c r="U299" s="19"/>
      <c r="V299" s="12"/>
      <c r="W299" s="12"/>
      <c r="X299" s="12"/>
      <c r="Y299" s="12"/>
      <c r="Z299" s="12"/>
    </row>
    <row r="300">
      <c r="A300" s="18"/>
      <c r="B300" s="12"/>
      <c r="C300" s="12"/>
      <c r="D300" s="12"/>
      <c r="E300" s="12"/>
      <c r="F300" s="12"/>
      <c r="G300" s="12"/>
      <c r="H300" s="12"/>
      <c r="I300" s="12"/>
      <c r="J300" s="12"/>
      <c r="K300" s="12"/>
      <c r="L300" s="19"/>
      <c r="M300" s="19"/>
      <c r="N300" s="19"/>
      <c r="O300" s="19"/>
      <c r="P300" s="19"/>
      <c r="Q300" s="12"/>
      <c r="R300" s="12"/>
      <c r="S300" s="12"/>
      <c r="T300" s="12"/>
      <c r="U300" s="19"/>
      <c r="V300" s="12"/>
      <c r="W300" s="12"/>
      <c r="X300" s="12"/>
      <c r="Y300" s="12"/>
      <c r="Z300" s="12"/>
    </row>
    <row r="301">
      <c r="A301" s="18"/>
      <c r="B301" s="12"/>
      <c r="C301" s="12"/>
      <c r="D301" s="12"/>
      <c r="E301" s="12"/>
      <c r="F301" s="12"/>
      <c r="G301" s="12"/>
      <c r="H301" s="12"/>
      <c r="I301" s="12"/>
      <c r="J301" s="12"/>
      <c r="K301" s="12"/>
      <c r="L301" s="19"/>
      <c r="M301" s="19"/>
      <c r="N301" s="19"/>
      <c r="O301" s="19"/>
      <c r="P301" s="19"/>
      <c r="Q301" s="12"/>
      <c r="R301" s="12"/>
      <c r="S301" s="12"/>
      <c r="T301" s="12"/>
      <c r="U301" s="19"/>
      <c r="V301" s="12"/>
      <c r="W301" s="12"/>
      <c r="X301" s="12"/>
      <c r="Y301" s="12"/>
      <c r="Z301" s="12"/>
    </row>
    <row r="302">
      <c r="A302" s="18"/>
      <c r="B302" s="12"/>
      <c r="C302" s="12"/>
      <c r="D302" s="12"/>
      <c r="E302" s="12"/>
      <c r="F302" s="12"/>
      <c r="G302" s="12"/>
      <c r="H302" s="12"/>
      <c r="I302" s="12"/>
      <c r="J302" s="12"/>
      <c r="K302" s="12"/>
      <c r="L302" s="19"/>
      <c r="M302" s="19"/>
      <c r="N302" s="19"/>
      <c r="O302" s="19"/>
      <c r="P302" s="19"/>
      <c r="Q302" s="12"/>
      <c r="R302" s="12"/>
      <c r="S302" s="12"/>
      <c r="T302" s="12"/>
      <c r="U302" s="19"/>
      <c r="V302" s="12"/>
      <c r="W302" s="12"/>
      <c r="X302" s="12"/>
      <c r="Y302" s="12"/>
      <c r="Z302" s="12"/>
    </row>
    <row r="303">
      <c r="A303" s="18"/>
      <c r="B303" s="12"/>
      <c r="C303" s="12"/>
      <c r="D303" s="12"/>
      <c r="E303" s="12"/>
      <c r="F303" s="12"/>
      <c r="G303" s="12"/>
      <c r="H303" s="12"/>
      <c r="I303" s="12"/>
      <c r="J303" s="12"/>
      <c r="K303" s="12"/>
      <c r="L303" s="19"/>
      <c r="M303" s="19"/>
      <c r="N303" s="19"/>
      <c r="O303" s="19"/>
      <c r="P303" s="19"/>
      <c r="Q303" s="12"/>
      <c r="R303" s="12"/>
      <c r="S303" s="12"/>
      <c r="T303" s="12"/>
      <c r="U303" s="19"/>
      <c r="V303" s="12"/>
      <c r="W303" s="12"/>
      <c r="X303" s="12"/>
      <c r="Y303" s="12"/>
      <c r="Z303" s="12"/>
    </row>
    <row r="304">
      <c r="A304" s="18"/>
      <c r="B304" s="12"/>
      <c r="C304" s="12"/>
      <c r="D304" s="12"/>
      <c r="E304" s="12"/>
      <c r="F304" s="12"/>
      <c r="G304" s="12"/>
      <c r="H304" s="12"/>
      <c r="I304" s="12"/>
      <c r="J304" s="12"/>
      <c r="K304" s="12"/>
      <c r="L304" s="19"/>
      <c r="M304" s="19"/>
      <c r="N304" s="19"/>
      <c r="O304" s="19"/>
      <c r="P304" s="19"/>
      <c r="Q304" s="12"/>
      <c r="R304" s="12"/>
      <c r="S304" s="12"/>
      <c r="T304" s="12"/>
      <c r="U304" s="19"/>
      <c r="V304" s="12"/>
      <c r="W304" s="12"/>
      <c r="X304" s="12"/>
      <c r="Y304" s="12"/>
      <c r="Z304" s="12"/>
    </row>
    <row r="305">
      <c r="A305" s="18"/>
      <c r="B305" s="12"/>
      <c r="C305" s="12"/>
      <c r="D305" s="12"/>
      <c r="E305" s="12"/>
      <c r="F305" s="12"/>
      <c r="G305" s="12"/>
      <c r="H305" s="12"/>
      <c r="I305" s="12"/>
      <c r="J305" s="12"/>
      <c r="K305" s="12"/>
      <c r="L305" s="19"/>
      <c r="M305" s="19"/>
      <c r="N305" s="19"/>
      <c r="O305" s="19"/>
      <c r="P305" s="19"/>
      <c r="Q305" s="12"/>
      <c r="R305" s="12"/>
      <c r="S305" s="12"/>
      <c r="T305" s="12"/>
      <c r="U305" s="19"/>
      <c r="V305" s="12"/>
      <c r="W305" s="12"/>
      <c r="X305" s="12"/>
      <c r="Y305" s="12"/>
      <c r="Z305" s="12"/>
    </row>
    <row r="306">
      <c r="A306" s="18"/>
      <c r="B306" s="12"/>
      <c r="C306" s="12"/>
      <c r="D306" s="12"/>
      <c r="E306" s="12"/>
      <c r="F306" s="12"/>
      <c r="G306" s="12"/>
      <c r="H306" s="12"/>
      <c r="I306" s="12"/>
      <c r="J306" s="12"/>
      <c r="K306" s="12"/>
      <c r="L306" s="19"/>
      <c r="M306" s="19"/>
      <c r="N306" s="19"/>
      <c r="O306" s="19"/>
      <c r="P306" s="19"/>
      <c r="Q306" s="12"/>
      <c r="R306" s="12"/>
      <c r="S306" s="12"/>
      <c r="T306" s="12"/>
      <c r="U306" s="19"/>
      <c r="V306" s="12"/>
      <c r="W306" s="12"/>
      <c r="X306" s="12"/>
      <c r="Y306" s="12"/>
      <c r="Z306" s="12"/>
    </row>
    <row r="307">
      <c r="A307" s="18"/>
      <c r="B307" s="12"/>
      <c r="C307" s="12"/>
      <c r="D307" s="12"/>
      <c r="E307" s="12"/>
      <c r="F307" s="12"/>
      <c r="G307" s="12"/>
      <c r="H307" s="12"/>
      <c r="I307" s="12"/>
      <c r="J307" s="12"/>
      <c r="K307" s="12"/>
      <c r="L307" s="19"/>
      <c r="M307" s="19"/>
      <c r="N307" s="19"/>
      <c r="O307" s="19"/>
      <c r="P307" s="19"/>
      <c r="Q307" s="12"/>
      <c r="R307" s="12"/>
      <c r="S307" s="12"/>
      <c r="T307" s="12"/>
      <c r="U307" s="19"/>
      <c r="V307" s="12"/>
      <c r="W307" s="12"/>
      <c r="X307" s="12"/>
      <c r="Y307" s="12"/>
      <c r="Z307" s="12"/>
    </row>
    <row r="308">
      <c r="A308" s="18"/>
      <c r="B308" s="12"/>
      <c r="C308" s="12"/>
      <c r="D308" s="12"/>
      <c r="E308" s="12"/>
      <c r="F308" s="12"/>
      <c r="G308" s="12"/>
      <c r="H308" s="12"/>
      <c r="I308" s="12"/>
      <c r="J308" s="12"/>
      <c r="K308" s="12"/>
      <c r="L308" s="19"/>
      <c r="M308" s="19"/>
      <c r="N308" s="19"/>
      <c r="O308" s="19"/>
      <c r="P308" s="19"/>
      <c r="Q308" s="12"/>
      <c r="R308" s="12"/>
      <c r="S308" s="12"/>
      <c r="T308" s="12"/>
      <c r="U308" s="19"/>
      <c r="V308" s="12"/>
      <c r="W308" s="12"/>
      <c r="X308" s="12"/>
      <c r="Y308" s="12"/>
      <c r="Z308" s="12"/>
    </row>
    <row r="309">
      <c r="A309" s="18"/>
      <c r="B309" s="12"/>
      <c r="C309" s="12"/>
      <c r="D309" s="12"/>
      <c r="E309" s="12"/>
      <c r="F309" s="12"/>
      <c r="G309" s="12"/>
      <c r="H309" s="12"/>
      <c r="I309" s="12"/>
      <c r="J309" s="12"/>
      <c r="K309" s="12"/>
      <c r="L309" s="19"/>
      <c r="M309" s="19"/>
      <c r="N309" s="19"/>
      <c r="O309" s="19"/>
      <c r="P309" s="19"/>
      <c r="Q309" s="12"/>
      <c r="R309" s="12"/>
      <c r="S309" s="12"/>
      <c r="T309" s="12"/>
      <c r="U309" s="19"/>
      <c r="V309" s="12"/>
      <c r="W309" s="12"/>
      <c r="X309" s="12"/>
      <c r="Y309" s="12"/>
      <c r="Z309" s="12"/>
    </row>
    <row r="310">
      <c r="A310" s="18"/>
      <c r="B310" s="12"/>
      <c r="C310" s="12"/>
      <c r="D310" s="12"/>
      <c r="E310" s="12"/>
      <c r="F310" s="12"/>
      <c r="G310" s="12"/>
      <c r="H310" s="12"/>
      <c r="I310" s="12"/>
      <c r="J310" s="12"/>
      <c r="K310" s="12"/>
      <c r="L310" s="19"/>
      <c r="M310" s="19"/>
      <c r="N310" s="19"/>
      <c r="O310" s="19"/>
      <c r="P310" s="19"/>
      <c r="Q310" s="12"/>
      <c r="R310" s="12"/>
      <c r="S310" s="12"/>
      <c r="T310" s="12"/>
      <c r="U310" s="19"/>
      <c r="V310" s="12"/>
      <c r="W310" s="12"/>
      <c r="X310" s="12"/>
      <c r="Y310" s="12"/>
      <c r="Z310" s="12"/>
    </row>
    <row r="311">
      <c r="A311" s="18"/>
      <c r="B311" s="12"/>
      <c r="C311" s="12"/>
      <c r="D311" s="12"/>
      <c r="E311" s="12"/>
      <c r="F311" s="12"/>
      <c r="G311" s="12"/>
      <c r="H311" s="12"/>
      <c r="I311" s="12"/>
      <c r="J311" s="12"/>
      <c r="K311" s="12"/>
      <c r="L311" s="19"/>
      <c r="M311" s="19"/>
      <c r="N311" s="19"/>
      <c r="O311" s="19"/>
      <c r="P311" s="19"/>
      <c r="Q311" s="12"/>
      <c r="R311" s="12"/>
      <c r="S311" s="12"/>
      <c r="T311" s="12"/>
      <c r="U311" s="19"/>
      <c r="V311" s="12"/>
      <c r="W311" s="12"/>
      <c r="X311" s="12"/>
      <c r="Y311" s="12"/>
      <c r="Z311" s="12"/>
    </row>
    <row r="312">
      <c r="A312" s="18"/>
      <c r="B312" s="12"/>
      <c r="C312" s="12"/>
      <c r="D312" s="12"/>
      <c r="E312" s="12"/>
      <c r="F312" s="12"/>
      <c r="G312" s="12"/>
      <c r="H312" s="12"/>
      <c r="I312" s="12"/>
      <c r="J312" s="12"/>
      <c r="K312" s="12"/>
      <c r="L312" s="19"/>
      <c r="M312" s="19"/>
      <c r="N312" s="19"/>
      <c r="O312" s="19"/>
      <c r="P312" s="19"/>
      <c r="Q312" s="12"/>
      <c r="R312" s="12"/>
      <c r="S312" s="12"/>
      <c r="T312" s="12"/>
      <c r="U312" s="19"/>
      <c r="V312" s="12"/>
      <c r="W312" s="12"/>
      <c r="X312" s="12"/>
      <c r="Y312" s="12"/>
      <c r="Z312" s="12"/>
    </row>
    <row r="313">
      <c r="A313" s="18"/>
      <c r="B313" s="12"/>
      <c r="C313" s="12"/>
      <c r="D313" s="12"/>
      <c r="E313" s="12"/>
      <c r="F313" s="12"/>
      <c r="G313" s="12"/>
      <c r="H313" s="12"/>
      <c r="I313" s="12"/>
      <c r="J313" s="12"/>
      <c r="K313" s="12"/>
      <c r="L313" s="19"/>
      <c r="M313" s="19"/>
      <c r="N313" s="19"/>
      <c r="O313" s="19"/>
      <c r="P313" s="19"/>
      <c r="Q313" s="12"/>
      <c r="R313" s="12"/>
      <c r="S313" s="12"/>
      <c r="T313" s="12"/>
      <c r="U313" s="19"/>
      <c r="V313" s="12"/>
      <c r="W313" s="12"/>
      <c r="X313" s="12"/>
      <c r="Y313" s="12"/>
      <c r="Z313" s="12"/>
    </row>
    <row r="314">
      <c r="A314" s="18"/>
      <c r="B314" s="12"/>
      <c r="C314" s="12"/>
      <c r="D314" s="12"/>
      <c r="E314" s="12"/>
      <c r="F314" s="12"/>
      <c r="G314" s="12"/>
      <c r="H314" s="12"/>
      <c r="I314" s="12"/>
      <c r="J314" s="12"/>
      <c r="K314" s="12"/>
      <c r="L314" s="19"/>
      <c r="M314" s="19"/>
      <c r="N314" s="19"/>
      <c r="O314" s="19"/>
      <c r="P314" s="19"/>
      <c r="Q314" s="12"/>
      <c r="R314" s="12"/>
      <c r="S314" s="12"/>
      <c r="T314" s="12"/>
      <c r="U314" s="19"/>
      <c r="V314" s="12"/>
      <c r="W314" s="12"/>
      <c r="X314" s="12"/>
      <c r="Y314" s="12"/>
      <c r="Z314" s="12"/>
    </row>
    <row r="315">
      <c r="A315" s="18"/>
      <c r="B315" s="12"/>
      <c r="C315" s="12"/>
      <c r="D315" s="12"/>
      <c r="E315" s="12"/>
      <c r="F315" s="12"/>
      <c r="G315" s="12"/>
      <c r="H315" s="12"/>
      <c r="I315" s="12"/>
      <c r="J315" s="12"/>
      <c r="K315" s="12"/>
      <c r="L315" s="19"/>
      <c r="M315" s="19"/>
      <c r="N315" s="19"/>
      <c r="O315" s="19"/>
      <c r="P315" s="19"/>
      <c r="Q315" s="12"/>
      <c r="R315" s="12"/>
      <c r="S315" s="12"/>
      <c r="T315" s="12"/>
      <c r="U315" s="19"/>
      <c r="V315" s="12"/>
      <c r="W315" s="12"/>
      <c r="X315" s="12"/>
      <c r="Y315" s="12"/>
      <c r="Z315" s="12"/>
    </row>
    <row r="316">
      <c r="A316" s="18"/>
      <c r="B316" s="12"/>
      <c r="C316" s="12"/>
      <c r="D316" s="12"/>
      <c r="E316" s="12"/>
      <c r="F316" s="12"/>
      <c r="G316" s="12"/>
      <c r="H316" s="12"/>
      <c r="I316" s="12"/>
      <c r="J316" s="12"/>
      <c r="K316" s="12"/>
      <c r="L316" s="19"/>
      <c r="M316" s="19"/>
      <c r="N316" s="19"/>
      <c r="O316" s="19"/>
      <c r="P316" s="19"/>
      <c r="Q316" s="12"/>
      <c r="R316" s="12"/>
      <c r="S316" s="12"/>
      <c r="T316" s="12"/>
      <c r="U316" s="19"/>
      <c r="V316" s="12"/>
      <c r="W316" s="12"/>
      <c r="X316" s="12"/>
      <c r="Y316" s="12"/>
      <c r="Z316" s="12"/>
    </row>
    <row r="317">
      <c r="A317" s="18"/>
      <c r="B317" s="12"/>
      <c r="C317" s="12"/>
      <c r="D317" s="12"/>
      <c r="E317" s="12"/>
      <c r="F317" s="12"/>
      <c r="G317" s="12"/>
      <c r="H317" s="12"/>
      <c r="I317" s="12"/>
      <c r="J317" s="12"/>
      <c r="K317" s="12"/>
      <c r="L317" s="19"/>
      <c r="M317" s="19"/>
      <c r="N317" s="19"/>
      <c r="O317" s="19"/>
      <c r="P317" s="19"/>
      <c r="Q317" s="12"/>
      <c r="R317" s="12"/>
      <c r="S317" s="12"/>
      <c r="T317" s="12"/>
      <c r="U317" s="19"/>
      <c r="V317" s="12"/>
      <c r="W317" s="12"/>
      <c r="X317" s="12"/>
      <c r="Y317" s="12"/>
      <c r="Z317" s="12"/>
    </row>
    <row r="318">
      <c r="A318" s="18"/>
      <c r="B318" s="12"/>
      <c r="C318" s="12"/>
      <c r="D318" s="12"/>
      <c r="E318" s="12"/>
      <c r="F318" s="12"/>
      <c r="G318" s="12"/>
      <c r="H318" s="12"/>
      <c r="I318" s="12"/>
      <c r="J318" s="12"/>
      <c r="K318" s="12"/>
      <c r="L318" s="19"/>
      <c r="M318" s="19"/>
      <c r="N318" s="19"/>
      <c r="O318" s="19"/>
      <c r="P318" s="19"/>
      <c r="Q318" s="12"/>
      <c r="R318" s="12"/>
      <c r="S318" s="12"/>
      <c r="T318" s="12"/>
      <c r="U318" s="19"/>
      <c r="V318" s="12"/>
      <c r="W318" s="12"/>
      <c r="X318" s="12"/>
      <c r="Y318" s="12"/>
      <c r="Z318" s="12"/>
    </row>
    <row r="319">
      <c r="A319" s="18"/>
      <c r="B319" s="12"/>
      <c r="C319" s="12"/>
      <c r="D319" s="12"/>
      <c r="E319" s="12"/>
      <c r="F319" s="12"/>
      <c r="G319" s="12"/>
      <c r="H319" s="12"/>
      <c r="I319" s="12"/>
      <c r="J319" s="12"/>
      <c r="K319" s="12"/>
      <c r="L319" s="19"/>
      <c r="M319" s="19"/>
      <c r="N319" s="19"/>
      <c r="O319" s="19"/>
      <c r="P319" s="19"/>
      <c r="Q319" s="12"/>
      <c r="R319" s="12"/>
      <c r="S319" s="12"/>
      <c r="T319" s="12"/>
      <c r="U319" s="19"/>
      <c r="V319" s="12"/>
      <c r="W319" s="12"/>
      <c r="X319" s="12"/>
      <c r="Y319" s="12"/>
      <c r="Z319" s="12"/>
    </row>
    <row r="320">
      <c r="A320" s="18"/>
      <c r="B320" s="12"/>
      <c r="C320" s="12"/>
      <c r="D320" s="12"/>
      <c r="E320" s="12"/>
      <c r="F320" s="12"/>
      <c r="G320" s="12"/>
      <c r="H320" s="12"/>
      <c r="I320" s="12"/>
      <c r="J320" s="12"/>
      <c r="K320" s="12"/>
      <c r="L320" s="19"/>
      <c r="M320" s="19"/>
      <c r="N320" s="19"/>
      <c r="O320" s="19"/>
      <c r="P320" s="19"/>
      <c r="Q320" s="12"/>
      <c r="R320" s="12"/>
      <c r="S320" s="12"/>
      <c r="T320" s="12"/>
      <c r="U320" s="19"/>
      <c r="V320" s="12"/>
      <c r="W320" s="12"/>
      <c r="X320" s="12"/>
      <c r="Y320" s="12"/>
      <c r="Z320" s="12"/>
    </row>
    <row r="321">
      <c r="A321" s="18"/>
      <c r="B321" s="12"/>
      <c r="C321" s="12"/>
      <c r="D321" s="12"/>
      <c r="E321" s="12"/>
      <c r="F321" s="12"/>
      <c r="G321" s="12"/>
      <c r="H321" s="12"/>
      <c r="I321" s="12"/>
      <c r="J321" s="12"/>
      <c r="K321" s="12"/>
      <c r="L321" s="19"/>
      <c r="M321" s="19"/>
      <c r="N321" s="19"/>
      <c r="O321" s="19"/>
      <c r="P321" s="19"/>
      <c r="Q321" s="12"/>
      <c r="R321" s="12"/>
      <c r="S321" s="12"/>
      <c r="T321" s="12"/>
      <c r="U321" s="19"/>
      <c r="V321" s="12"/>
      <c r="W321" s="12"/>
      <c r="X321" s="12"/>
      <c r="Y321" s="12"/>
      <c r="Z321" s="12"/>
    </row>
    <row r="322">
      <c r="A322" s="18"/>
      <c r="B322" s="12"/>
      <c r="C322" s="12"/>
      <c r="D322" s="12"/>
      <c r="E322" s="12"/>
      <c r="F322" s="12"/>
      <c r="G322" s="12"/>
      <c r="H322" s="12"/>
      <c r="I322" s="12"/>
      <c r="J322" s="12"/>
      <c r="K322" s="12"/>
      <c r="L322" s="19"/>
      <c r="M322" s="19"/>
      <c r="N322" s="19"/>
      <c r="O322" s="19"/>
      <c r="P322" s="19"/>
      <c r="Q322" s="12"/>
      <c r="R322" s="12"/>
      <c r="S322" s="12"/>
      <c r="T322" s="12"/>
      <c r="U322" s="19"/>
      <c r="V322" s="12"/>
      <c r="W322" s="12"/>
      <c r="X322" s="12"/>
      <c r="Y322" s="12"/>
      <c r="Z322" s="12"/>
    </row>
    <row r="323">
      <c r="A323" s="18"/>
      <c r="B323" s="12"/>
      <c r="C323" s="12"/>
      <c r="D323" s="12"/>
      <c r="E323" s="12"/>
      <c r="F323" s="12"/>
      <c r="G323" s="12"/>
      <c r="H323" s="12"/>
      <c r="I323" s="12"/>
      <c r="J323" s="12"/>
      <c r="K323" s="12"/>
      <c r="L323" s="19"/>
      <c r="M323" s="19"/>
      <c r="N323" s="19"/>
      <c r="O323" s="19"/>
      <c r="P323" s="19"/>
      <c r="Q323" s="12"/>
      <c r="R323" s="12"/>
      <c r="S323" s="12"/>
      <c r="T323" s="12"/>
      <c r="U323" s="19"/>
      <c r="V323" s="12"/>
      <c r="W323" s="12"/>
      <c r="X323" s="12"/>
      <c r="Y323" s="12"/>
      <c r="Z323" s="12"/>
    </row>
    <row r="324">
      <c r="A324" s="18"/>
      <c r="B324" s="12"/>
      <c r="C324" s="12"/>
      <c r="D324" s="12"/>
      <c r="E324" s="12"/>
      <c r="F324" s="12"/>
      <c r="G324" s="12"/>
      <c r="H324" s="12"/>
      <c r="I324" s="12"/>
      <c r="J324" s="12"/>
      <c r="K324" s="12"/>
      <c r="L324" s="19"/>
      <c r="M324" s="19"/>
      <c r="N324" s="19"/>
      <c r="O324" s="19"/>
      <c r="P324" s="19"/>
      <c r="Q324" s="12"/>
      <c r="R324" s="12"/>
      <c r="S324" s="12"/>
      <c r="T324" s="12"/>
      <c r="U324" s="19"/>
      <c r="V324" s="12"/>
      <c r="W324" s="12"/>
      <c r="X324" s="12"/>
      <c r="Y324" s="12"/>
      <c r="Z324" s="12"/>
    </row>
    <row r="325">
      <c r="A325" s="18"/>
      <c r="B325" s="12"/>
      <c r="C325" s="12"/>
      <c r="D325" s="12"/>
      <c r="E325" s="12"/>
      <c r="F325" s="12"/>
      <c r="G325" s="12"/>
      <c r="H325" s="12"/>
      <c r="I325" s="12"/>
      <c r="J325" s="12"/>
      <c r="K325" s="12"/>
      <c r="L325" s="19"/>
      <c r="M325" s="19"/>
      <c r="N325" s="19"/>
      <c r="O325" s="19"/>
      <c r="P325" s="19"/>
      <c r="Q325" s="12"/>
      <c r="R325" s="12"/>
      <c r="S325" s="12"/>
      <c r="T325" s="12"/>
      <c r="U325" s="19"/>
      <c r="V325" s="12"/>
      <c r="W325" s="12"/>
      <c r="X325" s="12"/>
      <c r="Y325" s="12"/>
      <c r="Z325" s="12"/>
    </row>
    <row r="326">
      <c r="A326" s="18"/>
      <c r="B326" s="12"/>
      <c r="C326" s="12"/>
      <c r="D326" s="12"/>
      <c r="E326" s="12"/>
      <c r="F326" s="12"/>
      <c r="G326" s="12"/>
      <c r="H326" s="12"/>
      <c r="I326" s="12"/>
      <c r="J326" s="12"/>
      <c r="K326" s="12"/>
      <c r="L326" s="19"/>
      <c r="M326" s="19"/>
      <c r="N326" s="19"/>
      <c r="O326" s="19"/>
      <c r="P326" s="19"/>
      <c r="Q326" s="12"/>
      <c r="R326" s="12"/>
      <c r="S326" s="12"/>
      <c r="T326" s="12"/>
      <c r="U326" s="19"/>
      <c r="V326" s="12"/>
      <c r="W326" s="12"/>
      <c r="X326" s="12"/>
      <c r="Y326" s="12"/>
      <c r="Z326" s="12"/>
    </row>
    <row r="327">
      <c r="A327" s="18"/>
      <c r="B327" s="12"/>
      <c r="C327" s="12"/>
      <c r="D327" s="12"/>
      <c r="E327" s="12"/>
      <c r="F327" s="12"/>
      <c r="G327" s="12"/>
      <c r="H327" s="12"/>
      <c r="I327" s="12"/>
      <c r="J327" s="12"/>
      <c r="K327" s="12"/>
      <c r="L327" s="19"/>
      <c r="M327" s="19"/>
      <c r="N327" s="19"/>
      <c r="O327" s="19"/>
      <c r="P327" s="19"/>
      <c r="Q327" s="12"/>
      <c r="R327" s="12"/>
      <c r="S327" s="12"/>
      <c r="T327" s="12"/>
      <c r="U327" s="19"/>
      <c r="V327" s="12"/>
      <c r="W327" s="12"/>
      <c r="X327" s="12"/>
      <c r="Y327" s="12"/>
      <c r="Z327" s="12"/>
    </row>
    <row r="328">
      <c r="A328" s="18"/>
      <c r="B328" s="12"/>
      <c r="C328" s="12"/>
      <c r="D328" s="12"/>
      <c r="E328" s="12"/>
      <c r="F328" s="12"/>
      <c r="G328" s="12"/>
      <c r="H328" s="12"/>
      <c r="I328" s="12"/>
      <c r="J328" s="12"/>
      <c r="K328" s="12"/>
      <c r="L328" s="19"/>
      <c r="M328" s="19"/>
      <c r="N328" s="19"/>
      <c r="O328" s="19"/>
      <c r="P328" s="19"/>
      <c r="Q328" s="12"/>
      <c r="R328" s="12"/>
      <c r="S328" s="12"/>
      <c r="T328" s="12"/>
      <c r="U328" s="19"/>
      <c r="V328" s="12"/>
      <c r="W328" s="12"/>
      <c r="X328" s="12"/>
      <c r="Y328" s="12"/>
      <c r="Z328" s="12"/>
    </row>
    <row r="329">
      <c r="A329" s="18"/>
      <c r="B329" s="12"/>
      <c r="C329" s="12"/>
      <c r="D329" s="12"/>
      <c r="E329" s="12"/>
      <c r="F329" s="12"/>
      <c r="G329" s="12"/>
      <c r="H329" s="12"/>
      <c r="I329" s="12"/>
      <c r="J329" s="12"/>
      <c r="K329" s="12"/>
      <c r="L329" s="19"/>
      <c r="M329" s="19"/>
      <c r="N329" s="19"/>
      <c r="O329" s="19"/>
      <c r="P329" s="19"/>
      <c r="Q329" s="12"/>
      <c r="R329" s="12"/>
      <c r="S329" s="12"/>
      <c r="T329" s="12"/>
      <c r="U329" s="19"/>
      <c r="V329" s="12"/>
      <c r="W329" s="12"/>
      <c r="X329" s="12"/>
      <c r="Y329" s="12"/>
      <c r="Z329" s="12"/>
    </row>
    <row r="330">
      <c r="A330" s="18"/>
      <c r="B330" s="12"/>
      <c r="C330" s="12"/>
      <c r="D330" s="12"/>
      <c r="E330" s="12"/>
      <c r="F330" s="12"/>
      <c r="G330" s="12"/>
      <c r="H330" s="12"/>
      <c r="I330" s="12"/>
      <c r="J330" s="12"/>
      <c r="K330" s="12"/>
      <c r="L330" s="19"/>
      <c r="M330" s="19"/>
      <c r="N330" s="19"/>
      <c r="O330" s="19"/>
      <c r="P330" s="19"/>
      <c r="Q330" s="12"/>
      <c r="R330" s="12"/>
      <c r="S330" s="12"/>
      <c r="T330" s="12"/>
      <c r="U330" s="19"/>
      <c r="V330" s="12"/>
      <c r="W330" s="12"/>
      <c r="X330" s="12"/>
      <c r="Y330" s="12"/>
      <c r="Z330" s="12"/>
    </row>
    <row r="331">
      <c r="A331" s="18"/>
      <c r="B331" s="12"/>
      <c r="C331" s="12"/>
      <c r="D331" s="12"/>
      <c r="E331" s="12"/>
      <c r="F331" s="12"/>
      <c r="G331" s="12"/>
      <c r="H331" s="12"/>
      <c r="I331" s="12"/>
      <c r="J331" s="12"/>
      <c r="K331" s="12"/>
      <c r="L331" s="19"/>
      <c r="M331" s="19"/>
      <c r="N331" s="19"/>
      <c r="O331" s="19"/>
      <c r="P331" s="19"/>
      <c r="Q331" s="12"/>
      <c r="R331" s="12"/>
      <c r="S331" s="12"/>
      <c r="T331" s="12"/>
      <c r="U331" s="19"/>
      <c r="V331" s="12"/>
      <c r="W331" s="12"/>
      <c r="X331" s="12"/>
      <c r="Y331" s="12"/>
      <c r="Z331" s="12"/>
    </row>
    <row r="332">
      <c r="A332" s="18"/>
      <c r="B332" s="12"/>
      <c r="C332" s="12"/>
      <c r="D332" s="12"/>
      <c r="E332" s="12"/>
      <c r="F332" s="12"/>
      <c r="G332" s="12"/>
      <c r="H332" s="12"/>
      <c r="I332" s="12"/>
      <c r="J332" s="12"/>
      <c r="K332" s="12"/>
      <c r="L332" s="19"/>
      <c r="M332" s="19"/>
      <c r="N332" s="19"/>
      <c r="O332" s="19"/>
      <c r="P332" s="19"/>
      <c r="Q332" s="12"/>
      <c r="R332" s="12"/>
      <c r="S332" s="12"/>
      <c r="T332" s="12"/>
      <c r="U332" s="19"/>
      <c r="V332" s="12"/>
      <c r="W332" s="12"/>
      <c r="X332" s="12"/>
      <c r="Y332" s="12"/>
      <c r="Z332" s="12"/>
    </row>
    <row r="333">
      <c r="A333" s="18"/>
      <c r="B333" s="12"/>
      <c r="C333" s="12"/>
      <c r="D333" s="12"/>
      <c r="E333" s="12"/>
      <c r="F333" s="12"/>
      <c r="G333" s="12"/>
      <c r="H333" s="12"/>
      <c r="I333" s="12"/>
      <c r="J333" s="12"/>
      <c r="K333" s="12"/>
      <c r="L333" s="19"/>
      <c r="M333" s="19"/>
      <c r="N333" s="19"/>
      <c r="O333" s="19"/>
      <c r="P333" s="19"/>
      <c r="Q333" s="12"/>
      <c r="R333" s="12"/>
      <c r="S333" s="12"/>
      <c r="T333" s="12"/>
      <c r="U333" s="19"/>
      <c r="V333" s="12"/>
      <c r="W333" s="12"/>
      <c r="X333" s="12"/>
      <c r="Y333" s="12"/>
      <c r="Z333" s="12"/>
    </row>
    <row r="334">
      <c r="A334" s="18"/>
      <c r="B334" s="12"/>
      <c r="C334" s="12"/>
      <c r="D334" s="12"/>
      <c r="E334" s="12"/>
      <c r="F334" s="12"/>
      <c r="G334" s="12"/>
      <c r="H334" s="12"/>
      <c r="I334" s="12"/>
      <c r="J334" s="12"/>
      <c r="K334" s="12"/>
      <c r="L334" s="19"/>
      <c r="M334" s="19"/>
      <c r="N334" s="19"/>
      <c r="O334" s="19"/>
      <c r="P334" s="19"/>
      <c r="Q334" s="12"/>
      <c r="R334" s="12"/>
      <c r="S334" s="12"/>
      <c r="T334" s="12"/>
      <c r="U334" s="19"/>
      <c r="V334" s="12"/>
      <c r="W334" s="12"/>
      <c r="X334" s="12"/>
      <c r="Y334" s="12"/>
      <c r="Z334" s="12"/>
    </row>
    <row r="335">
      <c r="A335" s="18"/>
      <c r="B335" s="12"/>
      <c r="C335" s="12"/>
      <c r="D335" s="12"/>
      <c r="E335" s="12"/>
      <c r="F335" s="12"/>
      <c r="G335" s="12"/>
      <c r="H335" s="12"/>
      <c r="I335" s="12"/>
      <c r="J335" s="12"/>
      <c r="K335" s="12"/>
      <c r="L335" s="19"/>
      <c r="M335" s="19"/>
      <c r="N335" s="19"/>
      <c r="O335" s="19"/>
      <c r="P335" s="19"/>
      <c r="Q335" s="12"/>
      <c r="R335" s="12"/>
      <c r="S335" s="12"/>
      <c r="T335" s="12"/>
      <c r="U335" s="19"/>
      <c r="V335" s="12"/>
      <c r="W335" s="12"/>
      <c r="X335" s="12"/>
      <c r="Y335" s="12"/>
      <c r="Z335" s="12"/>
    </row>
    <row r="336">
      <c r="A336" s="18"/>
      <c r="B336" s="12"/>
      <c r="C336" s="12"/>
      <c r="D336" s="12"/>
      <c r="E336" s="12"/>
      <c r="F336" s="12"/>
      <c r="G336" s="12"/>
      <c r="H336" s="12"/>
      <c r="I336" s="12"/>
      <c r="J336" s="12"/>
      <c r="K336" s="12"/>
      <c r="L336" s="19"/>
      <c r="M336" s="19"/>
      <c r="N336" s="19"/>
      <c r="O336" s="19"/>
      <c r="P336" s="19"/>
      <c r="Q336" s="12"/>
      <c r="R336" s="12"/>
      <c r="S336" s="12"/>
      <c r="T336" s="12"/>
      <c r="U336" s="19"/>
      <c r="V336" s="12"/>
      <c r="W336" s="12"/>
      <c r="X336" s="12"/>
      <c r="Y336" s="12"/>
      <c r="Z336" s="12"/>
    </row>
    <row r="337">
      <c r="A337" s="18"/>
      <c r="B337" s="12"/>
      <c r="C337" s="12"/>
      <c r="D337" s="12"/>
      <c r="E337" s="12"/>
      <c r="F337" s="12"/>
      <c r="G337" s="12"/>
      <c r="H337" s="12"/>
      <c r="I337" s="12"/>
      <c r="J337" s="12"/>
      <c r="K337" s="12"/>
      <c r="L337" s="19"/>
      <c r="M337" s="19"/>
      <c r="N337" s="19"/>
      <c r="O337" s="19"/>
      <c r="P337" s="19"/>
      <c r="Q337" s="12"/>
      <c r="R337" s="12"/>
      <c r="S337" s="12"/>
      <c r="T337" s="12"/>
      <c r="U337" s="19"/>
      <c r="V337" s="12"/>
      <c r="W337" s="12"/>
      <c r="X337" s="12"/>
      <c r="Y337" s="12"/>
      <c r="Z337" s="12"/>
    </row>
    <row r="338">
      <c r="A338" s="18"/>
      <c r="B338" s="12"/>
      <c r="C338" s="12"/>
      <c r="D338" s="12"/>
      <c r="E338" s="12"/>
      <c r="F338" s="12"/>
      <c r="G338" s="12"/>
      <c r="H338" s="12"/>
      <c r="I338" s="12"/>
      <c r="J338" s="12"/>
      <c r="K338" s="12"/>
      <c r="L338" s="19"/>
      <c r="M338" s="19"/>
      <c r="N338" s="19"/>
      <c r="O338" s="19"/>
      <c r="P338" s="19"/>
      <c r="Q338" s="12"/>
      <c r="R338" s="12"/>
      <c r="S338" s="12"/>
      <c r="T338" s="12"/>
      <c r="U338" s="19"/>
      <c r="V338" s="12"/>
      <c r="W338" s="12"/>
      <c r="X338" s="12"/>
      <c r="Y338" s="12"/>
      <c r="Z338" s="12"/>
    </row>
    <row r="339">
      <c r="A339" s="18"/>
      <c r="B339" s="12"/>
      <c r="C339" s="12"/>
      <c r="D339" s="12"/>
      <c r="E339" s="12"/>
      <c r="F339" s="12"/>
      <c r="G339" s="12"/>
      <c r="H339" s="12"/>
      <c r="I339" s="12"/>
      <c r="J339" s="12"/>
      <c r="K339" s="12"/>
      <c r="L339" s="19"/>
      <c r="M339" s="19"/>
      <c r="N339" s="19"/>
      <c r="O339" s="19"/>
      <c r="P339" s="19"/>
      <c r="Q339" s="12"/>
      <c r="R339" s="12"/>
      <c r="S339" s="12"/>
      <c r="T339" s="12"/>
      <c r="U339" s="19"/>
      <c r="V339" s="12"/>
      <c r="W339" s="12"/>
      <c r="X339" s="12"/>
      <c r="Y339" s="12"/>
      <c r="Z339" s="12"/>
    </row>
    <row r="340">
      <c r="A340" s="18"/>
      <c r="B340" s="12"/>
      <c r="C340" s="12"/>
      <c r="D340" s="12"/>
      <c r="E340" s="12"/>
      <c r="F340" s="12"/>
      <c r="G340" s="12"/>
      <c r="H340" s="12"/>
      <c r="I340" s="12"/>
      <c r="J340" s="12"/>
      <c r="K340" s="12"/>
      <c r="L340" s="19"/>
      <c r="M340" s="19"/>
      <c r="N340" s="19"/>
      <c r="O340" s="19"/>
      <c r="P340" s="19"/>
      <c r="Q340" s="12"/>
      <c r="R340" s="12"/>
      <c r="S340" s="12"/>
      <c r="T340" s="12"/>
      <c r="U340" s="19"/>
      <c r="V340" s="12"/>
      <c r="W340" s="12"/>
      <c r="X340" s="12"/>
      <c r="Y340" s="12"/>
      <c r="Z340" s="12"/>
    </row>
    <row r="341">
      <c r="A341" s="18"/>
      <c r="B341" s="12"/>
      <c r="C341" s="12"/>
      <c r="D341" s="12"/>
      <c r="E341" s="12"/>
      <c r="F341" s="12"/>
      <c r="G341" s="12"/>
      <c r="H341" s="12"/>
      <c r="I341" s="12"/>
      <c r="J341" s="12"/>
      <c r="K341" s="12"/>
      <c r="L341" s="19"/>
      <c r="M341" s="19"/>
      <c r="N341" s="19"/>
      <c r="O341" s="19"/>
      <c r="P341" s="19"/>
      <c r="Q341" s="12"/>
      <c r="R341" s="12"/>
      <c r="S341" s="12"/>
      <c r="T341" s="12"/>
      <c r="U341" s="19"/>
      <c r="V341" s="12"/>
      <c r="W341" s="12"/>
      <c r="X341" s="12"/>
      <c r="Y341" s="12"/>
      <c r="Z341" s="12"/>
    </row>
    <row r="342">
      <c r="A342" s="18"/>
      <c r="B342" s="12"/>
      <c r="C342" s="12"/>
      <c r="D342" s="12"/>
      <c r="E342" s="12"/>
      <c r="F342" s="12"/>
      <c r="G342" s="12"/>
      <c r="H342" s="12"/>
      <c r="I342" s="12"/>
      <c r="J342" s="12"/>
      <c r="K342" s="12"/>
      <c r="L342" s="19"/>
      <c r="M342" s="19"/>
      <c r="N342" s="19"/>
      <c r="O342" s="19"/>
      <c r="P342" s="19"/>
      <c r="Q342" s="12"/>
      <c r="R342" s="12"/>
      <c r="S342" s="12"/>
      <c r="T342" s="12"/>
      <c r="U342" s="19"/>
      <c r="V342" s="12"/>
      <c r="W342" s="12"/>
      <c r="X342" s="12"/>
      <c r="Y342" s="12"/>
      <c r="Z342" s="12"/>
    </row>
    <row r="343">
      <c r="A343" s="18"/>
      <c r="B343" s="12"/>
      <c r="C343" s="12"/>
      <c r="D343" s="12"/>
      <c r="E343" s="12"/>
      <c r="F343" s="12"/>
      <c r="G343" s="12"/>
      <c r="H343" s="12"/>
      <c r="I343" s="12"/>
      <c r="J343" s="12"/>
      <c r="K343" s="12"/>
      <c r="L343" s="19"/>
      <c r="M343" s="19"/>
      <c r="N343" s="19"/>
      <c r="O343" s="19"/>
      <c r="P343" s="19"/>
      <c r="Q343" s="12"/>
      <c r="R343" s="12"/>
      <c r="S343" s="12"/>
      <c r="T343" s="12"/>
      <c r="U343" s="19"/>
      <c r="V343" s="12"/>
      <c r="W343" s="12"/>
      <c r="X343" s="12"/>
      <c r="Y343" s="12"/>
      <c r="Z343" s="12"/>
    </row>
    <row r="344">
      <c r="A344" s="18"/>
      <c r="B344" s="12"/>
      <c r="C344" s="12"/>
      <c r="D344" s="12"/>
      <c r="E344" s="12"/>
      <c r="F344" s="12"/>
      <c r="G344" s="12"/>
      <c r="H344" s="12"/>
      <c r="I344" s="12"/>
      <c r="J344" s="12"/>
      <c r="K344" s="12"/>
      <c r="L344" s="19"/>
      <c r="M344" s="19"/>
      <c r="N344" s="19"/>
      <c r="O344" s="19"/>
      <c r="P344" s="19"/>
      <c r="Q344" s="12"/>
      <c r="R344" s="12"/>
      <c r="S344" s="12"/>
      <c r="T344" s="12"/>
      <c r="U344" s="19"/>
      <c r="V344" s="12"/>
      <c r="W344" s="12"/>
      <c r="X344" s="12"/>
      <c r="Y344" s="12"/>
      <c r="Z344" s="12"/>
    </row>
    <row r="345">
      <c r="A345" s="18"/>
      <c r="B345" s="12"/>
      <c r="C345" s="12"/>
      <c r="D345" s="12"/>
      <c r="E345" s="12"/>
      <c r="F345" s="12"/>
      <c r="G345" s="12"/>
      <c r="H345" s="12"/>
      <c r="I345" s="12"/>
      <c r="J345" s="12"/>
      <c r="K345" s="12"/>
      <c r="L345" s="19"/>
      <c r="M345" s="19"/>
      <c r="N345" s="19"/>
      <c r="O345" s="19"/>
      <c r="P345" s="19"/>
      <c r="Q345" s="12"/>
      <c r="R345" s="12"/>
      <c r="S345" s="12"/>
      <c r="T345" s="12"/>
      <c r="U345" s="19"/>
      <c r="V345" s="12"/>
      <c r="W345" s="12"/>
      <c r="X345" s="12"/>
      <c r="Y345" s="12"/>
      <c r="Z345" s="12"/>
    </row>
    <row r="346">
      <c r="A346" s="18"/>
      <c r="B346" s="12"/>
      <c r="C346" s="12"/>
      <c r="D346" s="12"/>
      <c r="E346" s="12"/>
      <c r="F346" s="12"/>
      <c r="G346" s="12"/>
      <c r="H346" s="12"/>
      <c r="I346" s="12"/>
      <c r="J346" s="12"/>
      <c r="K346" s="12"/>
      <c r="L346" s="19"/>
      <c r="M346" s="19"/>
      <c r="N346" s="19"/>
      <c r="O346" s="19"/>
      <c r="P346" s="19"/>
      <c r="Q346" s="12"/>
      <c r="R346" s="12"/>
      <c r="S346" s="12"/>
      <c r="T346" s="12"/>
      <c r="U346" s="19"/>
      <c r="V346" s="12"/>
      <c r="W346" s="12"/>
      <c r="X346" s="12"/>
      <c r="Y346" s="12"/>
      <c r="Z346" s="12"/>
    </row>
    <row r="347">
      <c r="A347" s="18"/>
      <c r="B347" s="12"/>
      <c r="C347" s="12"/>
      <c r="D347" s="12"/>
      <c r="E347" s="12"/>
      <c r="F347" s="12"/>
      <c r="G347" s="12"/>
      <c r="H347" s="12"/>
      <c r="I347" s="12"/>
      <c r="J347" s="12"/>
      <c r="K347" s="12"/>
      <c r="L347" s="19"/>
      <c r="M347" s="19"/>
      <c r="N347" s="19"/>
      <c r="O347" s="19"/>
      <c r="P347" s="19"/>
      <c r="Q347" s="12"/>
      <c r="R347" s="12"/>
      <c r="S347" s="12"/>
      <c r="T347" s="12"/>
      <c r="U347" s="19"/>
      <c r="V347" s="12"/>
      <c r="W347" s="12"/>
      <c r="X347" s="12"/>
      <c r="Y347" s="12"/>
      <c r="Z347" s="12"/>
    </row>
    <row r="348">
      <c r="A348" s="18"/>
      <c r="B348" s="12"/>
      <c r="C348" s="12"/>
      <c r="D348" s="12"/>
      <c r="E348" s="12"/>
      <c r="F348" s="12"/>
      <c r="G348" s="12"/>
      <c r="H348" s="12"/>
      <c r="I348" s="12"/>
      <c r="J348" s="12"/>
      <c r="K348" s="12"/>
      <c r="L348" s="19"/>
      <c r="M348" s="19"/>
      <c r="N348" s="19"/>
      <c r="O348" s="19"/>
      <c r="P348" s="19"/>
      <c r="Q348" s="12"/>
      <c r="R348" s="12"/>
      <c r="S348" s="12"/>
      <c r="T348" s="12"/>
      <c r="U348" s="19"/>
      <c r="V348" s="12"/>
      <c r="W348" s="12"/>
      <c r="X348" s="12"/>
      <c r="Y348" s="12"/>
      <c r="Z348" s="12"/>
    </row>
    <row r="349">
      <c r="A349" s="18"/>
      <c r="B349" s="12"/>
      <c r="C349" s="12"/>
      <c r="D349" s="12"/>
      <c r="E349" s="12"/>
      <c r="F349" s="12"/>
      <c r="G349" s="12"/>
      <c r="H349" s="12"/>
      <c r="I349" s="12"/>
      <c r="J349" s="12"/>
      <c r="K349" s="12"/>
      <c r="L349" s="19"/>
      <c r="M349" s="19"/>
      <c r="N349" s="19"/>
      <c r="O349" s="19"/>
      <c r="P349" s="19"/>
      <c r="Q349" s="12"/>
      <c r="R349" s="12"/>
      <c r="S349" s="12"/>
      <c r="T349" s="12"/>
      <c r="U349" s="19"/>
      <c r="V349" s="12"/>
      <c r="W349" s="12"/>
      <c r="X349" s="12"/>
      <c r="Y349" s="12"/>
      <c r="Z349" s="12"/>
    </row>
    <row r="350">
      <c r="A350" s="18"/>
      <c r="B350" s="12"/>
      <c r="C350" s="12"/>
      <c r="D350" s="12"/>
      <c r="E350" s="12"/>
      <c r="F350" s="12"/>
      <c r="G350" s="12"/>
      <c r="H350" s="12"/>
      <c r="I350" s="12"/>
      <c r="J350" s="12"/>
      <c r="K350" s="12"/>
      <c r="L350" s="19"/>
      <c r="M350" s="19"/>
      <c r="N350" s="19"/>
      <c r="O350" s="19"/>
      <c r="P350" s="19"/>
      <c r="Q350" s="12"/>
      <c r="R350" s="12"/>
      <c r="S350" s="12"/>
      <c r="T350" s="12"/>
      <c r="U350" s="19"/>
      <c r="V350" s="12"/>
      <c r="W350" s="12"/>
      <c r="X350" s="12"/>
      <c r="Y350" s="12"/>
      <c r="Z350" s="12"/>
    </row>
    <row r="351">
      <c r="A351" s="18"/>
      <c r="B351" s="12"/>
      <c r="C351" s="12"/>
      <c r="D351" s="12"/>
      <c r="E351" s="12"/>
      <c r="F351" s="12"/>
      <c r="G351" s="12"/>
      <c r="H351" s="12"/>
      <c r="I351" s="12"/>
      <c r="J351" s="12"/>
      <c r="K351" s="12"/>
      <c r="L351" s="19"/>
      <c r="M351" s="19"/>
      <c r="N351" s="19"/>
      <c r="O351" s="19"/>
      <c r="P351" s="19"/>
      <c r="Q351" s="12"/>
      <c r="R351" s="12"/>
      <c r="S351" s="12"/>
      <c r="T351" s="12"/>
      <c r="U351" s="19"/>
      <c r="V351" s="12"/>
      <c r="W351" s="12"/>
      <c r="X351" s="12"/>
      <c r="Y351" s="12"/>
      <c r="Z351" s="12"/>
    </row>
    <row r="352">
      <c r="A352" s="18"/>
      <c r="B352" s="12"/>
      <c r="C352" s="12"/>
      <c r="D352" s="12"/>
      <c r="E352" s="12"/>
      <c r="F352" s="12"/>
      <c r="G352" s="12"/>
      <c r="H352" s="12"/>
      <c r="I352" s="12"/>
      <c r="J352" s="12"/>
      <c r="K352" s="12"/>
      <c r="L352" s="19"/>
      <c r="M352" s="19"/>
      <c r="N352" s="19"/>
      <c r="O352" s="19"/>
      <c r="P352" s="19"/>
      <c r="Q352" s="12"/>
      <c r="R352" s="12"/>
      <c r="S352" s="12"/>
      <c r="T352" s="12"/>
      <c r="U352" s="19"/>
      <c r="V352" s="12"/>
      <c r="W352" s="12"/>
      <c r="X352" s="12"/>
      <c r="Y352" s="12"/>
      <c r="Z352" s="12"/>
    </row>
    <row r="353">
      <c r="A353" s="18"/>
      <c r="B353" s="12"/>
      <c r="C353" s="12"/>
      <c r="D353" s="12"/>
      <c r="E353" s="12"/>
      <c r="F353" s="12"/>
      <c r="G353" s="12"/>
      <c r="H353" s="12"/>
      <c r="I353" s="12"/>
      <c r="J353" s="12"/>
      <c r="K353" s="12"/>
      <c r="L353" s="19"/>
      <c r="M353" s="19"/>
      <c r="N353" s="19"/>
      <c r="O353" s="19"/>
      <c r="P353" s="19"/>
      <c r="Q353" s="12"/>
      <c r="R353" s="12"/>
      <c r="S353" s="12"/>
      <c r="T353" s="12"/>
      <c r="U353" s="19"/>
      <c r="V353" s="12"/>
      <c r="W353" s="12"/>
      <c r="X353" s="12"/>
      <c r="Y353" s="12"/>
      <c r="Z353" s="12"/>
    </row>
    <row r="354">
      <c r="A354" s="18"/>
      <c r="B354" s="12"/>
      <c r="C354" s="12"/>
      <c r="D354" s="12"/>
      <c r="E354" s="12"/>
      <c r="F354" s="12"/>
      <c r="G354" s="12"/>
      <c r="H354" s="12"/>
      <c r="I354" s="12"/>
      <c r="J354" s="12"/>
      <c r="K354" s="12"/>
      <c r="L354" s="19"/>
      <c r="M354" s="19"/>
      <c r="N354" s="19"/>
      <c r="O354" s="19"/>
      <c r="P354" s="19"/>
      <c r="Q354" s="12"/>
      <c r="R354" s="12"/>
      <c r="S354" s="12"/>
      <c r="T354" s="12"/>
      <c r="U354" s="19"/>
      <c r="V354" s="12"/>
      <c r="W354" s="12"/>
      <c r="X354" s="12"/>
      <c r="Y354" s="12"/>
      <c r="Z354" s="12"/>
    </row>
    <row r="355">
      <c r="A355" s="18"/>
      <c r="B355" s="12"/>
      <c r="C355" s="12"/>
      <c r="D355" s="12"/>
      <c r="E355" s="12"/>
      <c r="F355" s="12"/>
      <c r="G355" s="12"/>
      <c r="H355" s="12"/>
      <c r="I355" s="12"/>
      <c r="J355" s="12"/>
      <c r="K355" s="12"/>
      <c r="L355" s="19"/>
      <c r="M355" s="19"/>
      <c r="N355" s="19"/>
      <c r="O355" s="19"/>
      <c r="P355" s="19"/>
      <c r="Q355" s="12"/>
      <c r="R355" s="12"/>
      <c r="S355" s="12"/>
      <c r="T355" s="12"/>
      <c r="U355" s="19"/>
      <c r="V355" s="12"/>
      <c r="W355" s="12"/>
      <c r="X355" s="12"/>
      <c r="Y355" s="12"/>
      <c r="Z355" s="12"/>
    </row>
    <row r="356">
      <c r="A356" s="18"/>
      <c r="B356" s="12"/>
      <c r="C356" s="12"/>
      <c r="D356" s="12"/>
      <c r="E356" s="12"/>
      <c r="F356" s="12"/>
      <c r="G356" s="12"/>
      <c r="H356" s="12"/>
      <c r="I356" s="12"/>
      <c r="J356" s="12"/>
      <c r="K356" s="12"/>
      <c r="L356" s="19"/>
      <c r="M356" s="19"/>
      <c r="N356" s="19"/>
      <c r="O356" s="19"/>
      <c r="P356" s="19"/>
      <c r="Q356" s="12"/>
      <c r="R356" s="12"/>
      <c r="S356" s="12"/>
      <c r="T356" s="12"/>
      <c r="U356" s="19"/>
      <c r="V356" s="12"/>
      <c r="W356" s="12"/>
      <c r="X356" s="12"/>
      <c r="Y356" s="12"/>
      <c r="Z356" s="12"/>
    </row>
    <row r="357">
      <c r="A357" s="18"/>
      <c r="B357" s="12"/>
      <c r="C357" s="12"/>
      <c r="D357" s="12"/>
      <c r="E357" s="12"/>
      <c r="F357" s="12"/>
      <c r="G357" s="12"/>
      <c r="H357" s="12"/>
      <c r="I357" s="12"/>
      <c r="J357" s="12"/>
      <c r="K357" s="12"/>
      <c r="L357" s="19"/>
      <c r="M357" s="19"/>
      <c r="N357" s="19"/>
      <c r="O357" s="19"/>
      <c r="P357" s="19"/>
      <c r="Q357" s="12"/>
      <c r="R357" s="12"/>
      <c r="S357" s="12"/>
      <c r="T357" s="12"/>
      <c r="U357" s="19"/>
      <c r="V357" s="12"/>
      <c r="W357" s="12"/>
      <c r="X357" s="12"/>
      <c r="Y357" s="12"/>
      <c r="Z357" s="12"/>
    </row>
    <row r="358">
      <c r="A358" s="18"/>
      <c r="B358" s="12"/>
      <c r="C358" s="12"/>
      <c r="D358" s="12"/>
      <c r="E358" s="12"/>
      <c r="F358" s="12"/>
      <c r="G358" s="12"/>
      <c r="H358" s="12"/>
      <c r="I358" s="12"/>
      <c r="J358" s="12"/>
      <c r="K358" s="12"/>
      <c r="L358" s="19"/>
      <c r="M358" s="19"/>
      <c r="N358" s="19"/>
      <c r="O358" s="19"/>
      <c r="P358" s="19"/>
      <c r="Q358" s="12"/>
      <c r="R358" s="12"/>
      <c r="S358" s="12"/>
      <c r="T358" s="12"/>
      <c r="U358" s="19"/>
      <c r="V358" s="12"/>
      <c r="W358" s="12"/>
      <c r="X358" s="12"/>
      <c r="Y358" s="12"/>
      <c r="Z358" s="12"/>
    </row>
    <row r="359">
      <c r="A359" s="18"/>
      <c r="B359" s="12"/>
      <c r="C359" s="12"/>
      <c r="D359" s="12"/>
      <c r="E359" s="12"/>
      <c r="F359" s="12"/>
      <c r="G359" s="12"/>
      <c r="H359" s="12"/>
      <c r="I359" s="12"/>
      <c r="J359" s="12"/>
      <c r="K359" s="12"/>
      <c r="L359" s="19"/>
      <c r="M359" s="19"/>
      <c r="N359" s="19"/>
      <c r="O359" s="19"/>
      <c r="P359" s="19"/>
      <c r="Q359" s="12"/>
      <c r="R359" s="12"/>
      <c r="S359" s="12"/>
      <c r="T359" s="12"/>
      <c r="U359" s="19"/>
      <c r="V359" s="12"/>
      <c r="W359" s="12"/>
      <c r="X359" s="12"/>
      <c r="Y359" s="12"/>
      <c r="Z359" s="12"/>
    </row>
    <row r="360">
      <c r="A360" s="18"/>
      <c r="B360" s="12"/>
      <c r="C360" s="12"/>
      <c r="D360" s="12"/>
      <c r="E360" s="12"/>
      <c r="F360" s="12"/>
      <c r="G360" s="12"/>
      <c r="H360" s="12"/>
      <c r="I360" s="12"/>
      <c r="J360" s="12"/>
      <c r="K360" s="12"/>
      <c r="L360" s="19"/>
      <c r="M360" s="19"/>
      <c r="N360" s="19"/>
      <c r="O360" s="19"/>
      <c r="P360" s="19"/>
      <c r="Q360" s="12"/>
      <c r="R360" s="12"/>
      <c r="S360" s="12"/>
      <c r="T360" s="12"/>
      <c r="U360" s="19"/>
      <c r="V360" s="12"/>
      <c r="W360" s="12"/>
      <c r="X360" s="12"/>
      <c r="Y360" s="12"/>
      <c r="Z360" s="12"/>
    </row>
    <row r="361">
      <c r="A361" s="18"/>
      <c r="B361" s="12"/>
      <c r="C361" s="12"/>
      <c r="D361" s="12"/>
      <c r="E361" s="12"/>
      <c r="F361" s="12"/>
      <c r="G361" s="12"/>
      <c r="H361" s="12"/>
      <c r="I361" s="12"/>
      <c r="J361" s="12"/>
      <c r="K361" s="12"/>
      <c r="L361" s="19"/>
      <c r="M361" s="19"/>
      <c r="N361" s="19"/>
      <c r="O361" s="19"/>
      <c r="P361" s="19"/>
      <c r="Q361" s="12"/>
      <c r="R361" s="12"/>
      <c r="S361" s="12"/>
      <c r="T361" s="12"/>
      <c r="U361" s="19"/>
      <c r="V361" s="12"/>
      <c r="W361" s="12"/>
      <c r="X361" s="12"/>
      <c r="Y361" s="12"/>
      <c r="Z361" s="12"/>
    </row>
    <row r="362">
      <c r="A362" s="18"/>
      <c r="B362" s="12"/>
      <c r="C362" s="12"/>
      <c r="D362" s="12"/>
      <c r="E362" s="12"/>
      <c r="F362" s="12"/>
      <c r="G362" s="12"/>
      <c r="H362" s="12"/>
      <c r="I362" s="12"/>
      <c r="J362" s="12"/>
      <c r="K362" s="12"/>
      <c r="L362" s="19"/>
      <c r="M362" s="19"/>
      <c r="N362" s="19"/>
      <c r="O362" s="19"/>
      <c r="P362" s="19"/>
      <c r="Q362" s="12"/>
      <c r="R362" s="12"/>
      <c r="S362" s="12"/>
      <c r="T362" s="12"/>
      <c r="U362" s="19"/>
      <c r="V362" s="12"/>
      <c r="W362" s="12"/>
      <c r="X362" s="12"/>
      <c r="Y362" s="12"/>
      <c r="Z362" s="12"/>
    </row>
    <row r="363">
      <c r="A363" s="18"/>
      <c r="B363" s="12"/>
      <c r="C363" s="12"/>
      <c r="D363" s="12"/>
      <c r="E363" s="12"/>
      <c r="F363" s="12"/>
      <c r="G363" s="12"/>
      <c r="H363" s="12"/>
      <c r="I363" s="12"/>
      <c r="J363" s="12"/>
      <c r="K363" s="12"/>
      <c r="L363" s="19"/>
      <c r="M363" s="19"/>
      <c r="N363" s="19"/>
      <c r="O363" s="19"/>
      <c r="P363" s="19"/>
      <c r="Q363" s="12"/>
      <c r="R363" s="12"/>
      <c r="S363" s="12"/>
      <c r="T363" s="12"/>
      <c r="U363" s="19"/>
      <c r="V363" s="12"/>
      <c r="W363" s="12"/>
      <c r="X363" s="12"/>
      <c r="Y363" s="12"/>
      <c r="Z363" s="12"/>
    </row>
    <row r="364">
      <c r="A364" s="18"/>
      <c r="B364" s="12"/>
      <c r="C364" s="12"/>
      <c r="D364" s="12"/>
      <c r="E364" s="12"/>
      <c r="F364" s="12"/>
      <c r="G364" s="12"/>
      <c r="H364" s="12"/>
      <c r="I364" s="12"/>
      <c r="J364" s="12"/>
      <c r="K364" s="12"/>
      <c r="L364" s="19"/>
      <c r="M364" s="19"/>
      <c r="N364" s="19"/>
      <c r="O364" s="19"/>
      <c r="P364" s="19"/>
      <c r="Q364" s="12"/>
      <c r="R364" s="12"/>
      <c r="S364" s="12"/>
      <c r="T364" s="12"/>
      <c r="U364" s="19"/>
      <c r="V364" s="12"/>
      <c r="W364" s="12"/>
      <c r="X364" s="12"/>
      <c r="Y364" s="12"/>
      <c r="Z364" s="12"/>
    </row>
    <row r="365">
      <c r="A365" s="18"/>
      <c r="B365" s="12"/>
      <c r="C365" s="12"/>
      <c r="D365" s="12"/>
      <c r="E365" s="12"/>
      <c r="F365" s="12"/>
      <c r="G365" s="12"/>
      <c r="H365" s="12"/>
      <c r="I365" s="12"/>
      <c r="J365" s="12"/>
      <c r="K365" s="12"/>
      <c r="L365" s="19"/>
      <c r="M365" s="19"/>
      <c r="N365" s="19"/>
      <c r="O365" s="19"/>
      <c r="P365" s="19"/>
      <c r="Q365" s="12"/>
      <c r="R365" s="12"/>
      <c r="S365" s="12"/>
      <c r="T365" s="12"/>
      <c r="U365" s="19"/>
      <c r="V365" s="12"/>
      <c r="W365" s="12"/>
      <c r="X365" s="12"/>
      <c r="Y365" s="12"/>
      <c r="Z365" s="12"/>
    </row>
    <row r="366">
      <c r="A366" s="18"/>
      <c r="B366" s="12"/>
      <c r="C366" s="12"/>
      <c r="D366" s="12"/>
      <c r="E366" s="12"/>
      <c r="F366" s="12"/>
      <c r="G366" s="12"/>
      <c r="H366" s="12"/>
      <c r="I366" s="12"/>
      <c r="J366" s="12"/>
      <c r="K366" s="12"/>
      <c r="L366" s="19"/>
      <c r="M366" s="19"/>
      <c r="N366" s="19"/>
      <c r="O366" s="19"/>
      <c r="P366" s="19"/>
      <c r="Q366" s="12"/>
      <c r="R366" s="12"/>
      <c r="S366" s="12"/>
      <c r="T366" s="12"/>
      <c r="U366" s="19"/>
      <c r="V366" s="12"/>
      <c r="W366" s="12"/>
      <c r="X366" s="12"/>
      <c r="Y366" s="12"/>
      <c r="Z366" s="12"/>
    </row>
    <row r="367">
      <c r="A367" s="18"/>
      <c r="B367" s="12"/>
      <c r="C367" s="12"/>
      <c r="D367" s="12"/>
      <c r="E367" s="12"/>
      <c r="F367" s="12"/>
      <c r="G367" s="12"/>
      <c r="H367" s="12"/>
      <c r="I367" s="12"/>
      <c r="J367" s="12"/>
      <c r="K367" s="12"/>
      <c r="L367" s="19"/>
      <c r="M367" s="19"/>
      <c r="N367" s="19"/>
      <c r="O367" s="19"/>
      <c r="P367" s="19"/>
      <c r="Q367" s="12"/>
      <c r="R367" s="12"/>
      <c r="S367" s="12"/>
      <c r="T367" s="12"/>
      <c r="U367" s="19"/>
      <c r="V367" s="12"/>
      <c r="W367" s="12"/>
      <c r="X367" s="12"/>
      <c r="Y367" s="12"/>
      <c r="Z367" s="12"/>
    </row>
    <row r="368">
      <c r="A368" s="18"/>
      <c r="B368" s="12"/>
      <c r="C368" s="12"/>
      <c r="D368" s="12"/>
      <c r="E368" s="12"/>
      <c r="F368" s="12"/>
      <c r="G368" s="12"/>
      <c r="H368" s="12"/>
      <c r="I368" s="12"/>
      <c r="J368" s="12"/>
      <c r="K368" s="12"/>
      <c r="L368" s="19"/>
      <c r="M368" s="19"/>
      <c r="N368" s="19"/>
      <c r="O368" s="19"/>
      <c r="P368" s="19"/>
      <c r="Q368" s="12"/>
      <c r="R368" s="12"/>
      <c r="S368" s="12"/>
      <c r="T368" s="12"/>
      <c r="U368" s="19"/>
      <c r="V368" s="12"/>
      <c r="W368" s="12"/>
      <c r="X368" s="12"/>
      <c r="Y368" s="12"/>
      <c r="Z368" s="12"/>
    </row>
    <row r="369">
      <c r="A369" s="18"/>
      <c r="B369" s="12"/>
      <c r="C369" s="12"/>
      <c r="D369" s="12"/>
      <c r="E369" s="12"/>
      <c r="F369" s="12"/>
      <c r="G369" s="12"/>
      <c r="H369" s="12"/>
      <c r="I369" s="12"/>
      <c r="J369" s="12"/>
      <c r="K369" s="12"/>
      <c r="L369" s="19"/>
      <c r="M369" s="19"/>
      <c r="N369" s="19"/>
      <c r="O369" s="19"/>
      <c r="P369" s="19"/>
      <c r="Q369" s="12"/>
      <c r="R369" s="12"/>
      <c r="S369" s="12"/>
      <c r="T369" s="12"/>
      <c r="U369" s="19"/>
      <c r="V369" s="12"/>
      <c r="W369" s="12"/>
      <c r="X369" s="12"/>
      <c r="Y369" s="12"/>
      <c r="Z369" s="12"/>
    </row>
    <row r="370">
      <c r="A370" s="18"/>
      <c r="B370" s="12"/>
      <c r="C370" s="12"/>
      <c r="D370" s="12"/>
      <c r="E370" s="12"/>
      <c r="F370" s="12"/>
      <c r="G370" s="12"/>
      <c r="H370" s="12"/>
      <c r="I370" s="12"/>
      <c r="J370" s="12"/>
      <c r="K370" s="12"/>
      <c r="L370" s="19"/>
      <c r="M370" s="19"/>
      <c r="N370" s="19"/>
      <c r="O370" s="19"/>
      <c r="P370" s="19"/>
      <c r="Q370" s="12"/>
      <c r="R370" s="12"/>
      <c r="S370" s="12"/>
      <c r="T370" s="12"/>
      <c r="U370" s="19"/>
      <c r="V370" s="12"/>
      <c r="W370" s="12"/>
      <c r="X370" s="12"/>
      <c r="Y370" s="12"/>
      <c r="Z370" s="12"/>
    </row>
    <row r="371">
      <c r="A371" s="18"/>
      <c r="B371" s="12"/>
      <c r="C371" s="12"/>
      <c r="D371" s="12"/>
      <c r="E371" s="12"/>
      <c r="F371" s="12"/>
      <c r="G371" s="12"/>
      <c r="H371" s="12"/>
      <c r="I371" s="12"/>
      <c r="J371" s="12"/>
      <c r="K371" s="12"/>
      <c r="L371" s="19"/>
      <c r="M371" s="19"/>
      <c r="N371" s="19"/>
      <c r="O371" s="19"/>
      <c r="P371" s="19"/>
      <c r="Q371" s="12"/>
      <c r="R371" s="12"/>
      <c r="S371" s="12"/>
      <c r="T371" s="12"/>
      <c r="U371" s="19"/>
      <c r="V371" s="12"/>
      <c r="W371" s="12"/>
      <c r="X371" s="12"/>
      <c r="Y371" s="12"/>
      <c r="Z371" s="12"/>
    </row>
    <row r="372">
      <c r="A372" s="18"/>
      <c r="B372" s="12"/>
      <c r="C372" s="12"/>
      <c r="D372" s="12"/>
      <c r="E372" s="12"/>
      <c r="F372" s="12"/>
      <c r="G372" s="12"/>
      <c r="H372" s="12"/>
      <c r="I372" s="12"/>
      <c r="J372" s="12"/>
      <c r="K372" s="12"/>
      <c r="L372" s="19"/>
      <c r="M372" s="19"/>
      <c r="N372" s="19"/>
      <c r="O372" s="19"/>
      <c r="P372" s="19"/>
      <c r="Q372" s="12"/>
      <c r="R372" s="12"/>
      <c r="S372" s="12"/>
      <c r="T372" s="12"/>
      <c r="U372" s="19"/>
      <c r="V372" s="12"/>
      <c r="W372" s="12"/>
      <c r="X372" s="12"/>
      <c r="Y372" s="12"/>
      <c r="Z372" s="12"/>
    </row>
    <row r="373">
      <c r="A373" s="18"/>
      <c r="B373" s="12"/>
      <c r="C373" s="12"/>
      <c r="D373" s="12"/>
      <c r="E373" s="12"/>
      <c r="F373" s="12"/>
      <c r="G373" s="12"/>
      <c r="H373" s="12"/>
      <c r="I373" s="12"/>
      <c r="J373" s="12"/>
      <c r="K373" s="12"/>
      <c r="L373" s="19"/>
      <c r="M373" s="19"/>
      <c r="N373" s="19"/>
      <c r="O373" s="19"/>
      <c r="P373" s="19"/>
      <c r="Q373" s="12"/>
      <c r="R373" s="12"/>
      <c r="S373" s="12"/>
      <c r="T373" s="12"/>
      <c r="U373" s="19"/>
      <c r="V373" s="12"/>
      <c r="W373" s="12"/>
      <c r="X373" s="12"/>
      <c r="Y373" s="12"/>
      <c r="Z373" s="12"/>
    </row>
    <row r="374">
      <c r="A374" s="18"/>
      <c r="B374" s="12"/>
      <c r="C374" s="12"/>
      <c r="D374" s="12"/>
      <c r="E374" s="12"/>
      <c r="F374" s="12"/>
      <c r="G374" s="12"/>
      <c r="H374" s="12"/>
      <c r="I374" s="12"/>
      <c r="J374" s="12"/>
      <c r="K374" s="12"/>
      <c r="L374" s="19"/>
      <c r="M374" s="19"/>
      <c r="N374" s="19"/>
      <c r="O374" s="19"/>
      <c r="P374" s="19"/>
      <c r="Q374" s="12"/>
      <c r="R374" s="12"/>
      <c r="S374" s="12"/>
      <c r="T374" s="12"/>
      <c r="U374" s="19"/>
      <c r="V374" s="12"/>
      <c r="W374" s="12"/>
      <c r="X374" s="12"/>
      <c r="Y374" s="12"/>
      <c r="Z374" s="12"/>
    </row>
    <row r="375">
      <c r="A375" s="18"/>
      <c r="B375" s="12"/>
      <c r="C375" s="12"/>
      <c r="D375" s="12"/>
      <c r="E375" s="12"/>
      <c r="F375" s="12"/>
      <c r="G375" s="12"/>
      <c r="H375" s="12"/>
      <c r="I375" s="12"/>
      <c r="J375" s="12"/>
      <c r="K375" s="12"/>
      <c r="L375" s="19"/>
      <c r="M375" s="19"/>
      <c r="N375" s="19"/>
      <c r="O375" s="19"/>
      <c r="P375" s="19"/>
      <c r="Q375" s="12"/>
      <c r="R375" s="12"/>
      <c r="S375" s="12"/>
      <c r="T375" s="12"/>
      <c r="U375" s="19"/>
      <c r="V375" s="12"/>
      <c r="W375" s="12"/>
      <c r="X375" s="12"/>
      <c r="Y375" s="12"/>
      <c r="Z375" s="12"/>
    </row>
    <row r="376">
      <c r="A376" s="18"/>
      <c r="B376" s="12"/>
      <c r="C376" s="12"/>
      <c r="D376" s="12"/>
      <c r="E376" s="12"/>
      <c r="F376" s="12"/>
      <c r="G376" s="12"/>
      <c r="H376" s="12"/>
      <c r="I376" s="12"/>
      <c r="J376" s="12"/>
      <c r="K376" s="12"/>
      <c r="L376" s="19"/>
      <c r="M376" s="19"/>
      <c r="N376" s="19"/>
      <c r="O376" s="19"/>
      <c r="P376" s="19"/>
      <c r="Q376" s="12"/>
      <c r="R376" s="12"/>
      <c r="S376" s="12"/>
      <c r="T376" s="12"/>
      <c r="U376" s="19"/>
      <c r="V376" s="12"/>
      <c r="W376" s="12"/>
      <c r="X376" s="12"/>
      <c r="Y376" s="12"/>
      <c r="Z376" s="12"/>
    </row>
    <row r="377">
      <c r="A377" s="18"/>
      <c r="B377" s="12"/>
      <c r="C377" s="12"/>
      <c r="D377" s="12"/>
      <c r="E377" s="12"/>
      <c r="F377" s="12"/>
      <c r="G377" s="12"/>
      <c r="H377" s="12"/>
      <c r="I377" s="12"/>
      <c r="J377" s="12"/>
      <c r="K377" s="12"/>
      <c r="L377" s="19"/>
      <c r="M377" s="19"/>
      <c r="N377" s="19"/>
      <c r="O377" s="19"/>
      <c r="P377" s="19"/>
      <c r="Q377" s="12"/>
      <c r="R377" s="12"/>
      <c r="S377" s="12"/>
      <c r="T377" s="12"/>
      <c r="U377" s="19"/>
      <c r="V377" s="12"/>
      <c r="W377" s="12"/>
      <c r="X377" s="12"/>
      <c r="Y377" s="12"/>
      <c r="Z377" s="12"/>
    </row>
    <row r="378">
      <c r="A378" s="18"/>
      <c r="B378" s="12"/>
      <c r="C378" s="12"/>
      <c r="D378" s="12"/>
      <c r="E378" s="12"/>
      <c r="F378" s="12"/>
      <c r="G378" s="12"/>
      <c r="H378" s="12"/>
      <c r="I378" s="12"/>
      <c r="J378" s="12"/>
      <c r="K378" s="12"/>
      <c r="L378" s="19"/>
      <c r="M378" s="19"/>
      <c r="N378" s="19"/>
      <c r="O378" s="19"/>
      <c r="P378" s="19"/>
      <c r="Q378" s="12"/>
      <c r="R378" s="12"/>
      <c r="S378" s="12"/>
      <c r="T378" s="12"/>
      <c r="U378" s="19"/>
      <c r="V378" s="12"/>
      <c r="W378" s="12"/>
      <c r="X378" s="12"/>
      <c r="Y378" s="12"/>
      <c r="Z378" s="12"/>
    </row>
    <row r="379">
      <c r="A379" s="18"/>
      <c r="B379" s="12"/>
      <c r="C379" s="12"/>
      <c r="D379" s="12"/>
      <c r="E379" s="12"/>
      <c r="F379" s="12"/>
      <c r="G379" s="12"/>
      <c r="H379" s="12"/>
      <c r="I379" s="12"/>
      <c r="J379" s="12"/>
      <c r="K379" s="12"/>
      <c r="L379" s="19"/>
      <c r="M379" s="19"/>
      <c r="N379" s="19"/>
      <c r="O379" s="19"/>
      <c r="P379" s="19"/>
      <c r="Q379" s="12"/>
      <c r="R379" s="12"/>
      <c r="S379" s="12"/>
      <c r="T379" s="12"/>
      <c r="U379" s="19"/>
      <c r="V379" s="12"/>
      <c r="W379" s="12"/>
      <c r="X379" s="12"/>
      <c r="Y379" s="12"/>
      <c r="Z379" s="12"/>
    </row>
    <row r="380">
      <c r="A380" s="18"/>
      <c r="B380" s="12"/>
      <c r="C380" s="12"/>
      <c r="D380" s="12"/>
      <c r="E380" s="12"/>
      <c r="F380" s="12"/>
      <c r="G380" s="12"/>
      <c r="H380" s="12"/>
      <c r="I380" s="12"/>
      <c r="J380" s="12"/>
      <c r="K380" s="12"/>
      <c r="L380" s="19"/>
      <c r="M380" s="19"/>
      <c r="N380" s="19"/>
      <c r="O380" s="19"/>
      <c r="P380" s="19"/>
      <c r="Q380" s="12"/>
      <c r="R380" s="12"/>
      <c r="S380" s="12"/>
      <c r="T380" s="12"/>
      <c r="U380" s="19"/>
      <c r="V380" s="12"/>
      <c r="W380" s="12"/>
      <c r="X380" s="12"/>
      <c r="Y380" s="12"/>
      <c r="Z380" s="12"/>
    </row>
    <row r="381">
      <c r="A381" s="18"/>
      <c r="B381" s="12"/>
      <c r="C381" s="12"/>
      <c r="D381" s="12"/>
      <c r="E381" s="12"/>
      <c r="F381" s="12"/>
      <c r="G381" s="12"/>
      <c r="H381" s="12"/>
      <c r="I381" s="12"/>
      <c r="J381" s="12"/>
      <c r="K381" s="12"/>
      <c r="L381" s="19"/>
      <c r="M381" s="19"/>
      <c r="N381" s="19"/>
      <c r="O381" s="19"/>
      <c r="P381" s="19"/>
      <c r="Q381" s="12"/>
      <c r="R381" s="12"/>
      <c r="S381" s="12"/>
      <c r="T381" s="12"/>
      <c r="U381" s="19"/>
      <c r="V381" s="12"/>
      <c r="W381" s="12"/>
      <c r="X381" s="12"/>
      <c r="Y381" s="12"/>
      <c r="Z381" s="12"/>
    </row>
    <row r="382">
      <c r="A382" s="18"/>
      <c r="B382" s="12"/>
      <c r="C382" s="12"/>
      <c r="D382" s="12"/>
      <c r="E382" s="12"/>
      <c r="F382" s="12"/>
      <c r="G382" s="12"/>
      <c r="H382" s="12"/>
      <c r="I382" s="12"/>
      <c r="J382" s="12"/>
      <c r="K382" s="12"/>
      <c r="L382" s="19"/>
      <c r="M382" s="19"/>
      <c r="N382" s="19"/>
      <c r="O382" s="19"/>
      <c r="P382" s="19"/>
      <c r="Q382" s="12"/>
      <c r="R382" s="12"/>
      <c r="S382" s="12"/>
      <c r="T382" s="12"/>
      <c r="U382" s="19"/>
      <c r="V382" s="12"/>
      <c r="W382" s="12"/>
      <c r="X382" s="12"/>
      <c r="Y382" s="12"/>
      <c r="Z382" s="12"/>
    </row>
    <row r="383">
      <c r="A383" s="18"/>
      <c r="B383" s="12"/>
      <c r="C383" s="12"/>
      <c r="D383" s="12"/>
      <c r="E383" s="12"/>
      <c r="F383" s="12"/>
      <c r="G383" s="12"/>
      <c r="H383" s="12"/>
      <c r="I383" s="12"/>
      <c r="J383" s="12"/>
      <c r="K383" s="12"/>
      <c r="L383" s="19"/>
      <c r="M383" s="19"/>
      <c r="N383" s="19"/>
      <c r="O383" s="19"/>
      <c r="P383" s="19"/>
      <c r="Q383" s="12"/>
      <c r="R383" s="12"/>
      <c r="S383" s="12"/>
      <c r="T383" s="12"/>
      <c r="U383" s="19"/>
      <c r="V383" s="12"/>
      <c r="W383" s="12"/>
      <c r="X383" s="12"/>
      <c r="Y383" s="12"/>
      <c r="Z383" s="12"/>
    </row>
    <row r="384">
      <c r="A384" s="18"/>
      <c r="B384" s="12"/>
      <c r="C384" s="12"/>
      <c r="D384" s="12"/>
      <c r="E384" s="12"/>
      <c r="F384" s="12"/>
      <c r="G384" s="12"/>
      <c r="H384" s="12"/>
      <c r="I384" s="12"/>
      <c r="J384" s="12"/>
      <c r="K384" s="12"/>
      <c r="L384" s="19"/>
      <c r="M384" s="19"/>
      <c r="N384" s="19"/>
      <c r="O384" s="19"/>
      <c r="P384" s="19"/>
      <c r="Q384" s="12"/>
      <c r="R384" s="12"/>
      <c r="S384" s="12"/>
      <c r="T384" s="12"/>
      <c r="U384" s="19"/>
      <c r="V384" s="12"/>
      <c r="W384" s="12"/>
      <c r="X384" s="12"/>
      <c r="Y384" s="12"/>
      <c r="Z384" s="12"/>
    </row>
    <row r="385">
      <c r="A385" s="18"/>
      <c r="B385" s="12"/>
      <c r="C385" s="12"/>
      <c r="D385" s="12"/>
      <c r="E385" s="12"/>
      <c r="F385" s="12"/>
      <c r="G385" s="12"/>
      <c r="H385" s="12"/>
      <c r="I385" s="12"/>
      <c r="J385" s="12"/>
      <c r="K385" s="12"/>
      <c r="L385" s="19"/>
      <c r="M385" s="19"/>
      <c r="N385" s="19"/>
      <c r="O385" s="19"/>
      <c r="P385" s="19"/>
      <c r="Q385" s="12"/>
      <c r="R385" s="12"/>
      <c r="S385" s="12"/>
      <c r="T385" s="12"/>
      <c r="U385" s="19"/>
      <c r="V385" s="12"/>
      <c r="W385" s="12"/>
      <c r="X385" s="12"/>
      <c r="Y385" s="12"/>
      <c r="Z385" s="12"/>
    </row>
    <row r="386">
      <c r="A386" s="18"/>
      <c r="B386" s="12"/>
      <c r="C386" s="12"/>
      <c r="D386" s="12"/>
      <c r="E386" s="12"/>
      <c r="F386" s="12"/>
      <c r="G386" s="12"/>
      <c r="H386" s="12"/>
      <c r="I386" s="12"/>
      <c r="J386" s="12"/>
      <c r="K386" s="12"/>
      <c r="L386" s="19"/>
      <c r="M386" s="19"/>
      <c r="N386" s="19"/>
      <c r="O386" s="19"/>
      <c r="P386" s="19"/>
      <c r="Q386" s="12"/>
      <c r="R386" s="12"/>
      <c r="S386" s="12"/>
      <c r="T386" s="12"/>
      <c r="U386" s="19"/>
      <c r="V386" s="12"/>
      <c r="W386" s="12"/>
      <c r="X386" s="12"/>
      <c r="Y386" s="12"/>
      <c r="Z386" s="12"/>
    </row>
    <row r="387">
      <c r="A387" s="18"/>
      <c r="B387" s="12"/>
      <c r="C387" s="12"/>
      <c r="D387" s="12"/>
      <c r="E387" s="12"/>
      <c r="F387" s="12"/>
      <c r="G387" s="12"/>
      <c r="H387" s="12"/>
      <c r="I387" s="12"/>
      <c r="J387" s="12"/>
      <c r="K387" s="12"/>
      <c r="L387" s="19"/>
      <c r="M387" s="19"/>
      <c r="N387" s="19"/>
      <c r="O387" s="19"/>
      <c r="P387" s="19"/>
      <c r="Q387" s="12"/>
      <c r="R387" s="12"/>
      <c r="S387" s="12"/>
      <c r="T387" s="12"/>
      <c r="U387" s="19"/>
      <c r="V387" s="12"/>
      <c r="W387" s="12"/>
      <c r="X387" s="12"/>
      <c r="Y387" s="12"/>
      <c r="Z387" s="12"/>
    </row>
    <row r="388">
      <c r="A388" s="18"/>
      <c r="B388" s="12"/>
      <c r="C388" s="12"/>
      <c r="D388" s="12"/>
      <c r="E388" s="12"/>
      <c r="F388" s="12"/>
      <c r="G388" s="12"/>
      <c r="H388" s="12"/>
      <c r="I388" s="12"/>
      <c r="J388" s="12"/>
      <c r="K388" s="12"/>
      <c r="L388" s="19"/>
      <c r="M388" s="19"/>
      <c r="N388" s="19"/>
      <c r="O388" s="19"/>
      <c r="P388" s="19"/>
      <c r="Q388" s="12"/>
      <c r="R388" s="12"/>
      <c r="S388" s="12"/>
      <c r="T388" s="12"/>
      <c r="U388" s="19"/>
      <c r="V388" s="12"/>
      <c r="W388" s="12"/>
      <c r="X388" s="12"/>
      <c r="Y388" s="12"/>
      <c r="Z388" s="12"/>
    </row>
    <row r="389">
      <c r="A389" s="18"/>
      <c r="B389" s="12"/>
      <c r="C389" s="12"/>
      <c r="D389" s="12"/>
      <c r="E389" s="12"/>
      <c r="F389" s="12"/>
      <c r="G389" s="12"/>
      <c r="H389" s="12"/>
      <c r="I389" s="12"/>
      <c r="J389" s="12"/>
      <c r="K389" s="12"/>
      <c r="L389" s="19"/>
      <c r="M389" s="19"/>
      <c r="N389" s="19"/>
      <c r="O389" s="19"/>
      <c r="P389" s="19"/>
      <c r="Q389" s="12"/>
      <c r="R389" s="12"/>
      <c r="S389" s="12"/>
      <c r="T389" s="12"/>
      <c r="U389" s="19"/>
      <c r="V389" s="12"/>
      <c r="W389" s="12"/>
      <c r="X389" s="12"/>
      <c r="Y389" s="12"/>
      <c r="Z389" s="12"/>
    </row>
    <row r="390">
      <c r="A390" s="18"/>
      <c r="B390" s="12"/>
      <c r="C390" s="12"/>
      <c r="D390" s="12"/>
      <c r="E390" s="12"/>
      <c r="F390" s="12"/>
      <c r="G390" s="12"/>
      <c r="H390" s="12"/>
      <c r="I390" s="12"/>
      <c r="J390" s="12"/>
      <c r="K390" s="12"/>
      <c r="L390" s="19"/>
      <c r="M390" s="19"/>
      <c r="N390" s="19"/>
      <c r="O390" s="19"/>
      <c r="P390" s="19"/>
      <c r="Q390" s="12"/>
      <c r="R390" s="12"/>
      <c r="S390" s="12"/>
      <c r="T390" s="12"/>
      <c r="U390" s="19"/>
      <c r="V390" s="12"/>
      <c r="W390" s="12"/>
      <c r="X390" s="12"/>
      <c r="Y390" s="12"/>
      <c r="Z390" s="12"/>
    </row>
    <row r="391">
      <c r="A391" s="18"/>
      <c r="B391" s="12"/>
      <c r="C391" s="12"/>
      <c r="D391" s="12"/>
      <c r="E391" s="12"/>
      <c r="F391" s="12"/>
      <c r="G391" s="12"/>
      <c r="H391" s="12"/>
      <c r="I391" s="12"/>
      <c r="J391" s="12"/>
      <c r="K391" s="12"/>
      <c r="L391" s="19"/>
      <c r="M391" s="19"/>
      <c r="N391" s="19"/>
      <c r="O391" s="19"/>
      <c r="P391" s="19"/>
      <c r="Q391" s="12"/>
      <c r="R391" s="12"/>
      <c r="S391" s="12"/>
      <c r="T391" s="12"/>
      <c r="U391" s="19"/>
      <c r="V391" s="12"/>
      <c r="W391" s="12"/>
      <c r="X391" s="12"/>
      <c r="Y391" s="12"/>
      <c r="Z391" s="12"/>
    </row>
    <row r="392">
      <c r="A392" s="18"/>
      <c r="B392" s="12"/>
      <c r="C392" s="12"/>
      <c r="D392" s="12"/>
      <c r="E392" s="12"/>
      <c r="F392" s="12"/>
      <c r="G392" s="12"/>
      <c r="H392" s="12"/>
      <c r="I392" s="12"/>
      <c r="J392" s="12"/>
      <c r="K392" s="12"/>
      <c r="L392" s="19"/>
      <c r="M392" s="19"/>
      <c r="N392" s="19"/>
      <c r="O392" s="19"/>
      <c r="P392" s="19"/>
      <c r="Q392" s="12"/>
      <c r="R392" s="12"/>
      <c r="S392" s="12"/>
      <c r="T392" s="12"/>
      <c r="U392" s="19"/>
      <c r="V392" s="12"/>
      <c r="W392" s="12"/>
      <c r="X392" s="12"/>
      <c r="Y392" s="12"/>
      <c r="Z392" s="12"/>
    </row>
    <row r="393">
      <c r="A393" s="18"/>
      <c r="B393" s="12"/>
      <c r="C393" s="12"/>
      <c r="D393" s="12"/>
      <c r="E393" s="12"/>
      <c r="F393" s="12"/>
      <c r="G393" s="12"/>
      <c r="H393" s="12"/>
      <c r="I393" s="12"/>
      <c r="J393" s="12"/>
      <c r="K393" s="12"/>
      <c r="L393" s="19"/>
      <c r="M393" s="19"/>
      <c r="N393" s="19"/>
      <c r="O393" s="19"/>
      <c r="P393" s="19"/>
      <c r="Q393" s="12"/>
      <c r="R393" s="12"/>
      <c r="S393" s="12"/>
      <c r="T393" s="12"/>
      <c r="U393" s="19"/>
      <c r="V393" s="12"/>
      <c r="W393" s="12"/>
      <c r="X393" s="12"/>
      <c r="Y393" s="12"/>
      <c r="Z393" s="12"/>
    </row>
    <row r="394">
      <c r="A394" s="18"/>
      <c r="B394" s="12"/>
      <c r="C394" s="12"/>
      <c r="D394" s="12"/>
      <c r="E394" s="12"/>
      <c r="F394" s="12"/>
      <c r="G394" s="12"/>
      <c r="H394" s="12"/>
      <c r="I394" s="12"/>
      <c r="J394" s="12"/>
      <c r="K394" s="12"/>
      <c r="L394" s="19"/>
      <c r="M394" s="19"/>
      <c r="N394" s="19"/>
      <c r="O394" s="19"/>
      <c r="P394" s="19"/>
      <c r="Q394" s="12"/>
      <c r="R394" s="12"/>
      <c r="S394" s="12"/>
      <c r="T394" s="12"/>
      <c r="U394" s="19"/>
      <c r="V394" s="12"/>
      <c r="W394" s="12"/>
      <c r="X394" s="12"/>
      <c r="Y394" s="12"/>
      <c r="Z394" s="12"/>
    </row>
    <row r="395">
      <c r="A395" s="18"/>
      <c r="B395" s="12"/>
      <c r="C395" s="12"/>
      <c r="D395" s="12"/>
      <c r="E395" s="12"/>
      <c r="F395" s="12"/>
      <c r="G395" s="12"/>
      <c r="H395" s="12"/>
      <c r="I395" s="12"/>
      <c r="J395" s="12"/>
      <c r="K395" s="12"/>
      <c r="L395" s="19"/>
      <c r="M395" s="19"/>
      <c r="N395" s="19"/>
      <c r="O395" s="19"/>
      <c r="P395" s="19"/>
      <c r="Q395" s="12"/>
      <c r="R395" s="12"/>
      <c r="S395" s="12"/>
      <c r="T395" s="12"/>
      <c r="U395" s="19"/>
      <c r="V395" s="12"/>
      <c r="W395" s="12"/>
      <c r="X395" s="12"/>
      <c r="Y395" s="12"/>
      <c r="Z395" s="12"/>
    </row>
    <row r="396">
      <c r="A396" s="18"/>
      <c r="B396" s="12"/>
      <c r="C396" s="12"/>
      <c r="D396" s="12"/>
      <c r="E396" s="12"/>
      <c r="F396" s="12"/>
      <c r="G396" s="12"/>
      <c r="H396" s="12"/>
      <c r="I396" s="12"/>
      <c r="J396" s="12"/>
      <c r="K396" s="12"/>
      <c r="L396" s="19"/>
      <c r="M396" s="19"/>
      <c r="N396" s="19"/>
      <c r="O396" s="19"/>
      <c r="P396" s="19"/>
      <c r="Q396" s="12"/>
      <c r="R396" s="12"/>
      <c r="S396" s="12"/>
      <c r="T396" s="12"/>
      <c r="U396" s="19"/>
      <c r="V396" s="12"/>
      <c r="W396" s="12"/>
      <c r="X396" s="12"/>
      <c r="Y396" s="12"/>
      <c r="Z396" s="12"/>
    </row>
    <row r="397">
      <c r="A397" s="18"/>
      <c r="B397" s="12"/>
      <c r="C397" s="12"/>
      <c r="D397" s="12"/>
      <c r="E397" s="12"/>
      <c r="F397" s="12"/>
      <c r="G397" s="12"/>
      <c r="H397" s="12"/>
      <c r="I397" s="12"/>
      <c r="J397" s="12"/>
      <c r="K397" s="12"/>
      <c r="L397" s="19"/>
      <c r="M397" s="19"/>
      <c r="N397" s="19"/>
      <c r="O397" s="19"/>
      <c r="P397" s="19"/>
      <c r="Q397" s="12"/>
      <c r="R397" s="12"/>
      <c r="S397" s="12"/>
      <c r="T397" s="12"/>
      <c r="U397" s="19"/>
      <c r="V397" s="12"/>
      <c r="W397" s="12"/>
      <c r="X397" s="12"/>
      <c r="Y397" s="12"/>
      <c r="Z397" s="12"/>
    </row>
    <row r="398">
      <c r="A398" s="18"/>
      <c r="B398" s="12"/>
      <c r="C398" s="12"/>
      <c r="D398" s="12"/>
      <c r="E398" s="12"/>
      <c r="F398" s="12"/>
      <c r="G398" s="12"/>
      <c r="H398" s="12"/>
      <c r="I398" s="12"/>
      <c r="J398" s="12"/>
      <c r="K398" s="12"/>
      <c r="L398" s="19"/>
      <c r="M398" s="19"/>
      <c r="N398" s="19"/>
      <c r="O398" s="19"/>
      <c r="P398" s="19"/>
      <c r="Q398" s="12"/>
      <c r="R398" s="12"/>
      <c r="S398" s="12"/>
      <c r="T398" s="12"/>
      <c r="U398" s="19"/>
      <c r="V398" s="12"/>
      <c r="W398" s="12"/>
      <c r="X398" s="12"/>
      <c r="Y398" s="12"/>
      <c r="Z398" s="12"/>
    </row>
    <row r="399">
      <c r="A399" s="18"/>
      <c r="B399" s="12"/>
      <c r="C399" s="12"/>
      <c r="D399" s="12"/>
      <c r="E399" s="12"/>
      <c r="F399" s="12"/>
      <c r="G399" s="12"/>
      <c r="H399" s="12"/>
      <c r="I399" s="12"/>
      <c r="J399" s="12"/>
      <c r="K399" s="12"/>
      <c r="L399" s="19"/>
      <c r="M399" s="19"/>
      <c r="N399" s="19"/>
      <c r="O399" s="19"/>
      <c r="P399" s="19"/>
      <c r="Q399" s="12"/>
      <c r="R399" s="12"/>
      <c r="S399" s="12"/>
      <c r="T399" s="12"/>
      <c r="U399" s="19"/>
      <c r="V399" s="12"/>
      <c r="W399" s="12"/>
      <c r="X399" s="12"/>
      <c r="Y399" s="12"/>
      <c r="Z399" s="12"/>
    </row>
    <row r="400">
      <c r="A400" s="18"/>
      <c r="B400" s="12"/>
      <c r="C400" s="12"/>
      <c r="D400" s="12"/>
      <c r="E400" s="12"/>
      <c r="F400" s="12"/>
      <c r="G400" s="12"/>
      <c r="H400" s="12"/>
      <c r="I400" s="12"/>
      <c r="J400" s="12"/>
      <c r="K400" s="12"/>
      <c r="L400" s="19"/>
      <c r="M400" s="19"/>
      <c r="N400" s="19"/>
      <c r="O400" s="19"/>
      <c r="P400" s="19"/>
      <c r="Q400" s="12"/>
      <c r="R400" s="12"/>
      <c r="S400" s="12"/>
      <c r="T400" s="12"/>
      <c r="U400" s="19"/>
      <c r="V400" s="12"/>
      <c r="W400" s="12"/>
      <c r="X400" s="12"/>
      <c r="Y400" s="12"/>
      <c r="Z400" s="12"/>
    </row>
    <row r="401">
      <c r="A401" s="18"/>
      <c r="B401" s="12"/>
      <c r="C401" s="12"/>
      <c r="D401" s="12"/>
      <c r="E401" s="12"/>
      <c r="F401" s="12"/>
      <c r="G401" s="12"/>
      <c r="H401" s="12"/>
      <c r="I401" s="12"/>
      <c r="J401" s="12"/>
      <c r="K401" s="12"/>
      <c r="L401" s="19"/>
      <c r="M401" s="19"/>
      <c r="N401" s="19"/>
      <c r="O401" s="19"/>
      <c r="P401" s="19"/>
      <c r="Q401" s="12"/>
      <c r="R401" s="12"/>
      <c r="S401" s="12"/>
      <c r="T401" s="12"/>
      <c r="U401" s="19"/>
      <c r="V401" s="12"/>
      <c r="W401" s="12"/>
      <c r="X401" s="12"/>
      <c r="Y401" s="12"/>
      <c r="Z401" s="12"/>
    </row>
    <row r="402">
      <c r="A402" s="18"/>
      <c r="B402" s="12"/>
      <c r="C402" s="12"/>
      <c r="D402" s="12"/>
      <c r="E402" s="12"/>
      <c r="F402" s="12"/>
      <c r="G402" s="12"/>
      <c r="H402" s="12"/>
      <c r="I402" s="12"/>
      <c r="J402" s="12"/>
      <c r="K402" s="12"/>
      <c r="L402" s="19"/>
      <c r="M402" s="19"/>
      <c r="N402" s="19"/>
      <c r="O402" s="19"/>
      <c r="P402" s="19"/>
      <c r="Q402" s="12"/>
      <c r="R402" s="12"/>
      <c r="S402" s="12"/>
      <c r="T402" s="12"/>
      <c r="U402" s="19"/>
      <c r="V402" s="12"/>
      <c r="W402" s="12"/>
      <c r="X402" s="12"/>
      <c r="Y402" s="12"/>
      <c r="Z402" s="12"/>
    </row>
    <row r="403">
      <c r="A403" s="18"/>
      <c r="B403" s="12"/>
      <c r="C403" s="12"/>
      <c r="D403" s="12"/>
      <c r="E403" s="12"/>
      <c r="F403" s="12"/>
      <c r="G403" s="12"/>
      <c r="H403" s="12"/>
      <c r="I403" s="12"/>
      <c r="J403" s="12"/>
      <c r="K403" s="12"/>
      <c r="L403" s="19"/>
      <c r="M403" s="19"/>
      <c r="N403" s="19"/>
      <c r="O403" s="19"/>
      <c r="P403" s="19"/>
      <c r="Q403" s="12"/>
      <c r="R403" s="12"/>
      <c r="S403" s="12"/>
      <c r="T403" s="12"/>
      <c r="U403" s="19"/>
      <c r="V403" s="12"/>
      <c r="W403" s="12"/>
      <c r="X403" s="12"/>
      <c r="Y403" s="12"/>
      <c r="Z403" s="12"/>
    </row>
    <row r="404">
      <c r="A404" s="18"/>
      <c r="B404" s="12"/>
      <c r="C404" s="12"/>
      <c r="D404" s="12"/>
      <c r="E404" s="12"/>
      <c r="F404" s="12"/>
      <c r="G404" s="12"/>
      <c r="H404" s="12"/>
      <c r="I404" s="12"/>
      <c r="J404" s="12"/>
      <c r="K404" s="12"/>
      <c r="L404" s="19"/>
      <c r="M404" s="19"/>
      <c r="N404" s="19"/>
      <c r="O404" s="19"/>
      <c r="P404" s="19"/>
      <c r="Q404" s="12"/>
      <c r="R404" s="12"/>
      <c r="S404" s="12"/>
      <c r="T404" s="12"/>
      <c r="U404" s="19"/>
      <c r="V404" s="12"/>
      <c r="W404" s="12"/>
      <c r="X404" s="12"/>
      <c r="Y404" s="12"/>
      <c r="Z404" s="12"/>
    </row>
    <row r="405">
      <c r="A405" s="18"/>
      <c r="B405" s="12"/>
      <c r="C405" s="12"/>
      <c r="D405" s="12"/>
      <c r="E405" s="12"/>
      <c r="F405" s="12"/>
      <c r="G405" s="12"/>
      <c r="H405" s="12"/>
      <c r="I405" s="12"/>
      <c r="J405" s="12"/>
      <c r="K405" s="12"/>
      <c r="L405" s="19"/>
      <c r="M405" s="19"/>
      <c r="N405" s="19"/>
      <c r="O405" s="19"/>
      <c r="P405" s="19"/>
      <c r="Q405" s="12"/>
      <c r="R405" s="12"/>
      <c r="S405" s="12"/>
      <c r="T405" s="12"/>
      <c r="U405" s="19"/>
      <c r="V405" s="12"/>
      <c r="W405" s="12"/>
      <c r="X405" s="12"/>
      <c r="Y405" s="12"/>
      <c r="Z405" s="12"/>
    </row>
    <row r="406">
      <c r="A406" s="18"/>
      <c r="B406" s="12"/>
      <c r="C406" s="12"/>
      <c r="D406" s="12"/>
      <c r="E406" s="12"/>
      <c r="F406" s="12"/>
      <c r="G406" s="12"/>
      <c r="H406" s="12"/>
      <c r="I406" s="12"/>
      <c r="J406" s="12"/>
      <c r="K406" s="12"/>
      <c r="L406" s="19"/>
      <c r="M406" s="19"/>
      <c r="N406" s="19"/>
      <c r="O406" s="19"/>
      <c r="P406" s="19"/>
      <c r="Q406" s="12"/>
      <c r="R406" s="12"/>
      <c r="S406" s="12"/>
      <c r="T406" s="12"/>
      <c r="U406" s="19"/>
      <c r="V406" s="12"/>
      <c r="W406" s="12"/>
      <c r="X406" s="12"/>
      <c r="Y406" s="12"/>
      <c r="Z406" s="12"/>
    </row>
    <row r="407">
      <c r="A407" s="18"/>
      <c r="B407" s="12"/>
      <c r="C407" s="12"/>
      <c r="D407" s="12"/>
      <c r="E407" s="12"/>
      <c r="F407" s="12"/>
      <c r="G407" s="12"/>
      <c r="H407" s="12"/>
      <c r="I407" s="12"/>
      <c r="J407" s="12"/>
      <c r="K407" s="12"/>
      <c r="L407" s="19"/>
      <c r="M407" s="19"/>
      <c r="N407" s="19"/>
      <c r="O407" s="19"/>
      <c r="P407" s="19"/>
      <c r="Q407" s="12"/>
      <c r="R407" s="12"/>
      <c r="S407" s="12"/>
      <c r="T407" s="12"/>
      <c r="U407" s="19"/>
      <c r="V407" s="12"/>
      <c r="W407" s="12"/>
      <c r="X407" s="12"/>
      <c r="Y407" s="12"/>
      <c r="Z407" s="12"/>
    </row>
    <row r="408">
      <c r="A408" s="18"/>
      <c r="B408" s="12"/>
      <c r="C408" s="12"/>
      <c r="D408" s="12"/>
      <c r="E408" s="12"/>
      <c r="F408" s="12"/>
      <c r="G408" s="12"/>
      <c r="H408" s="12"/>
      <c r="I408" s="12"/>
      <c r="J408" s="12"/>
      <c r="K408" s="12"/>
      <c r="L408" s="19"/>
      <c r="M408" s="19"/>
      <c r="N408" s="19"/>
      <c r="O408" s="19"/>
      <c r="P408" s="19"/>
      <c r="Q408" s="12"/>
      <c r="R408" s="12"/>
      <c r="S408" s="12"/>
      <c r="T408" s="12"/>
      <c r="U408" s="19"/>
      <c r="V408" s="12"/>
      <c r="W408" s="12"/>
      <c r="X408" s="12"/>
      <c r="Y408" s="12"/>
      <c r="Z408" s="12"/>
    </row>
    <row r="409">
      <c r="A409" s="18"/>
      <c r="B409" s="12"/>
      <c r="C409" s="12"/>
      <c r="D409" s="12"/>
      <c r="E409" s="12"/>
      <c r="F409" s="12"/>
      <c r="G409" s="12"/>
      <c r="H409" s="12"/>
      <c r="I409" s="12"/>
      <c r="J409" s="12"/>
      <c r="K409" s="12"/>
      <c r="L409" s="19"/>
      <c r="M409" s="19"/>
      <c r="N409" s="19"/>
      <c r="O409" s="19"/>
      <c r="P409" s="19"/>
      <c r="Q409" s="12"/>
      <c r="R409" s="12"/>
      <c r="S409" s="12"/>
      <c r="T409" s="12"/>
      <c r="U409" s="19"/>
      <c r="V409" s="12"/>
      <c r="W409" s="12"/>
      <c r="X409" s="12"/>
      <c r="Y409" s="12"/>
      <c r="Z409" s="12"/>
    </row>
    <row r="410">
      <c r="A410" s="18"/>
      <c r="B410" s="12"/>
      <c r="C410" s="12"/>
      <c r="D410" s="12"/>
      <c r="E410" s="12"/>
      <c r="F410" s="12"/>
      <c r="G410" s="12"/>
      <c r="H410" s="12"/>
      <c r="I410" s="12"/>
      <c r="J410" s="12"/>
      <c r="K410" s="12"/>
      <c r="L410" s="19"/>
      <c r="M410" s="19"/>
      <c r="N410" s="19"/>
      <c r="O410" s="19"/>
      <c r="P410" s="19"/>
      <c r="Q410" s="12"/>
      <c r="R410" s="12"/>
      <c r="S410" s="12"/>
      <c r="T410" s="12"/>
      <c r="U410" s="19"/>
      <c r="V410" s="12"/>
      <c r="W410" s="12"/>
      <c r="X410" s="12"/>
      <c r="Y410" s="12"/>
      <c r="Z410" s="12"/>
    </row>
    <row r="411">
      <c r="A411" s="18"/>
      <c r="B411" s="12"/>
      <c r="C411" s="12"/>
      <c r="D411" s="12"/>
      <c r="E411" s="12"/>
      <c r="F411" s="12"/>
      <c r="G411" s="12"/>
      <c r="H411" s="12"/>
      <c r="I411" s="12"/>
      <c r="J411" s="12"/>
      <c r="K411" s="12"/>
      <c r="L411" s="19"/>
      <c r="M411" s="19"/>
      <c r="N411" s="19"/>
      <c r="O411" s="19"/>
      <c r="P411" s="19"/>
      <c r="Q411" s="12"/>
      <c r="R411" s="12"/>
      <c r="S411" s="12"/>
      <c r="T411" s="12"/>
      <c r="U411" s="19"/>
      <c r="V411" s="12"/>
      <c r="W411" s="12"/>
      <c r="X411" s="12"/>
      <c r="Y411" s="12"/>
      <c r="Z411" s="12"/>
    </row>
    <row r="412">
      <c r="A412" s="18"/>
      <c r="B412" s="12"/>
      <c r="C412" s="12"/>
      <c r="D412" s="12"/>
      <c r="E412" s="12"/>
      <c r="F412" s="12"/>
      <c r="G412" s="12"/>
      <c r="H412" s="12"/>
      <c r="I412" s="12"/>
      <c r="J412" s="12"/>
      <c r="K412" s="12"/>
      <c r="L412" s="19"/>
      <c r="M412" s="19"/>
      <c r="N412" s="19"/>
      <c r="O412" s="19"/>
      <c r="P412" s="19"/>
      <c r="Q412" s="12"/>
      <c r="R412" s="12"/>
      <c r="S412" s="12"/>
      <c r="T412" s="12"/>
      <c r="U412" s="19"/>
      <c r="V412" s="12"/>
      <c r="W412" s="12"/>
      <c r="X412" s="12"/>
      <c r="Y412" s="12"/>
      <c r="Z412" s="12"/>
    </row>
    <row r="413">
      <c r="A413" s="18"/>
      <c r="B413" s="12"/>
      <c r="C413" s="12"/>
      <c r="D413" s="12"/>
      <c r="E413" s="12"/>
      <c r="F413" s="12"/>
      <c r="G413" s="12"/>
      <c r="H413" s="12"/>
      <c r="I413" s="12"/>
      <c r="J413" s="12"/>
      <c r="K413" s="12"/>
      <c r="L413" s="19"/>
      <c r="M413" s="19"/>
      <c r="N413" s="19"/>
      <c r="O413" s="19"/>
      <c r="P413" s="19"/>
      <c r="Q413" s="12"/>
      <c r="R413" s="12"/>
      <c r="S413" s="12"/>
      <c r="T413" s="12"/>
      <c r="U413" s="19"/>
      <c r="V413" s="12"/>
      <c r="W413" s="12"/>
      <c r="X413" s="12"/>
      <c r="Y413" s="12"/>
      <c r="Z413" s="12"/>
    </row>
    <row r="414">
      <c r="A414" s="18"/>
      <c r="B414" s="12"/>
      <c r="C414" s="12"/>
      <c r="D414" s="12"/>
      <c r="E414" s="12"/>
      <c r="F414" s="12"/>
      <c r="G414" s="12"/>
      <c r="H414" s="12"/>
      <c r="I414" s="12"/>
      <c r="J414" s="12"/>
      <c r="K414" s="12"/>
      <c r="L414" s="19"/>
      <c r="M414" s="19"/>
      <c r="N414" s="19"/>
      <c r="O414" s="19"/>
      <c r="P414" s="19"/>
      <c r="Q414" s="12"/>
      <c r="R414" s="12"/>
      <c r="S414" s="12"/>
      <c r="T414" s="12"/>
      <c r="U414" s="19"/>
      <c r="V414" s="12"/>
      <c r="W414" s="12"/>
      <c r="X414" s="12"/>
      <c r="Y414" s="12"/>
      <c r="Z414" s="12"/>
    </row>
    <row r="415">
      <c r="A415" s="18"/>
      <c r="B415" s="12"/>
      <c r="C415" s="12"/>
      <c r="D415" s="12"/>
      <c r="E415" s="12"/>
      <c r="F415" s="12"/>
      <c r="G415" s="12"/>
      <c r="H415" s="12"/>
      <c r="I415" s="12"/>
      <c r="J415" s="12"/>
      <c r="K415" s="12"/>
      <c r="L415" s="19"/>
      <c r="M415" s="19"/>
      <c r="N415" s="19"/>
      <c r="O415" s="19"/>
      <c r="P415" s="19"/>
      <c r="Q415" s="12"/>
      <c r="R415" s="12"/>
      <c r="S415" s="12"/>
      <c r="T415" s="12"/>
      <c r="U415" s="19"/>
      <c r="V415" s="12"/>
      <c r="W415" s="12"/>
      <c r="X415" s="12"/>
      <c r="Y415" s="12"/>
      <c r="Z415" s="12"/>
    </row>
    <row r="416">
      <c r="A416" s="18"/>
      <c r="B416" s="12"/>
      <c r="C416" s="12"/>
      <c r="D416" s="12"/>
      <c r="E416" s="12"/>
      <c r="F416" s="12"/>
      <c r="G416" s="12"/>
      <c r="H416" s="12"/>
      <c r="I416" s="12"/>
      <c r="J416" s="12"/>
      <c r="K416" s="12"/>
      <c r="L416" s="19"/>
      <c r="M416" s="19"/>
      <c r="N416" s="19"/>
      <c r="O416" s="19"/>
      <c r="P416" s="19"/>
      <c r="Q416" s="12"/>
      <c r="R416" s="12"/>
      <c r="S416" s="12"/>
      <c r="T416" s="12"/>
      <c r="U416" s="19"/>
      <c r="V416" s="12"/>
      <c r="W416" s="12"/>
      <c r="X416" s="12"/>
      <c r="Y416" s="12"/>
      <c r="Z416" s="12"/>
    </row>
    <row r="417">
      <c r="A417" s="18"/>
      <c r="B417" s="12"/>
      <c r="C417" s="12"/>
      <c r="D417" s="12"/>
      <c r="E417" s="12"/>
      <c r="F417" s="12"/>
      <c r="G417" s="12"/>
      <c r="H417" s="12"/>
      <c r="I417" s="12"/>
      <c r="J417" s="12"/>
      <c r="K417" s="12"/>
      <c r="L417" s="19"/>
      <c r="M417" s="19"/>
      <c r="N417" s="19"/>
      <c r="O417" s="19"/>
      <c r="P417" s="19"/>
      <c r="Q417" s="12"/>
      <c r="R417" s="12"/>
      <c r="S417" s="12"/>
      <c r="T417" s="12"/>
      <c r="U417" s="19"/>
      <c r="V417" s="12"/>
      <c r="W417" s="12"/>
      <c r="X417" s="12"/>
      <c r="Y417" s="12"/>
      <c r="Z417" s="12"/>
    </row>
    <row r="418">
      <c r="A418" s="18"/>
      <c r="B418" s="12"/>
      <c r="C418" s="12"/>
      <c r="D418" s="12"/>
      <c r="E418" s="12"/>
      <c r="F418" s="12"/>
      <c r="G418" s="12"/>
      <c r="H418" s="12"/>
      <c r="I418" s="12"/>
      <c r="J418" s="12"/>
      <c r="K418" s="12"/>
      <c r="L418" s="19"/>
      <c r="M418" s="19"/>
      <c r="N418" s="19"/>
      <c r="O418" s="19"/>
      <c r="P418" s="19"/>
      <c r="Q418" s="12"/>
      <c r="R418" s="12"/>
      <c r="S418" s="12"/>
      <c r="T418" s="12"/>
      <c r="U418" s="19"/>
      <c r="V418" s="12"/>
      <c r="W418" s="12"/>
      <c r="X418" s="12"/>
      <c r="Y418" s="12"/>
      <c r="Z418" s="12"/>
    </row>
    <row r="419">
      <c r="A419" s="18"/>
      <c r="B419" s="12"/>
      <c r="C419" s="12"/>
      <c r="D419" s="12"/>
      <c r="E419" s="12"/>
      <c r="F419" s="12"/>
      <c r="G419" s="12"/>
      <c r="H419" s="12"/>
      <c r="I419" s="12"/>
      <c r="J419" s="12"/>
      <c r="K419" s="12"/>
      <c r="L419" s="19"/>
      <c r="M419" s="19"/>
      <c r="N419" s="19"/>
      <c r="O419" s="19"/>
      <c r="P419" s="19"/>
      <c r="Q419" s="12"/>
      <c r="R419" s="12"/>
      <c r="S419" s="12"/>
      <c r="T419" s="12"/>
      <c r="U419" s="19"/>
      <c r="V419" s="12"/>
      <c r="W419" s="12"/>
      <c r="X419" s="12"/>
      <c r="Y419" s="12"/>
      <c r="Z419" s="12"/>
    </row>
    <row r="420">
      <c r="A420" s="18"/>
      <c r="B420" s="12"/>
      <c r="C420" s="12"/>
      <c r="D420" s="12"/>
      <c r="E420" s="12"/>
      <c r="F420" s="12"/>
      <c r="G420" s="12"/>
      <c r="H420" s="12"/>
      <c r="I420" s="12"/>
      <c r="J420" s="12"/>
      <c r="K420" s="12"/>
      <c r="L420" s="19"/>
      <c r="M420" s="19"/>
      <c r="N420" s="19"/>
      <c r="O420" s="19"/>
      <c r="P420" s="19"/>
      <c r="Q420" s="12"/>
      <c r="R420" s="12"/>
      <c r="S420" s="12"/>
      <c r="T420" s="12"/>
      <c r="U420" s="19"/>
      <c r="V420" s="12"/>
      <c r="W420" s="12"/>
      <c r="X420" s="12"/>
      <c r="Y420" s="12"/>
      <c r="Z420" s="12"/>
    </row>
    <row r="421">
      <c r="A421" s="18"/>
      <c r="B421" s="12"/>
      <c r="C421" s="12"/>
      <c r="D421" s="12"/>
      <c r="E421" s="12"/>
      <c r="F421" s="12"/>
      <c r="G421" s="12"/>
      <c r="H421" s="12"/>
      <c r="I421" s="12"/>
      <c r="J421" s="12"/>
      <c r="K421" s="12"/>
      <c r="L421" s="19"/>
      <c r="M421" s="19"/>
      <c r="N421" s="19"/>
      <c r="O421" s="19"/>
      <c r="P421" s="19"/>
      <c r="Q421" s="12"/>
      <c r="R421" s="12"/>
      <c r="S421" s="12"/>
      <c r="T421" s="12"/>
      <c r="U421" s="19"/>
      <c r="V421" s="12"/>
      <c r="W421" s="12"/>
      <c r="X421" s="12"/>
      <c r="Y421" s="12"/>
      <c r="Z421" s="12"/>
    </row>
    <row r="422">
      <c r="A422" s="18"/>
      <c r="B422" s="12"/>
      <c r="C422" s="12"/>
      <c r="D422" s="12"/>
      <c r="E422" s="12"/>
      <c r="F422" s="12"/>
      <c r="G422" s="12"/>
      <c r="H422" s="12"/>
      <c r="I422" s="12"/>
      <c r="J422" s="12"/>
      <c r="K422" s="12"/>
      <c r="L422" s="19"/>
      <c r="M422" s="19"/>
      <c r="N422" s="19"/>
      <c r="O422" s="19"/>
      <c r="P422" s="19"/>
      <c r="Q422" s="12"/>
      <c r="R422" s="12"/>
      <c r="S422" s="12"/>
      <c r="T422" s="12"/>
      <c r="U422" s="19"/>
      <c r="V422" s="12"/>
      <c r="W422" s="12"/>
      <c r="X422" s="12"/>
      <c r="Y422" s="12"/>
      <c r="Z422" s="12"/>
    </row>
    <row r="423">
      <c r="A423" s="18"/>
      <c r="B423" s="12"/>
      <c r="C423" s="12"/>
      <c r="D423" s="12"/>
      <c r="E423" s="12"/>
      <c r="F423" s="12"/>
      <c r="G423" s="12"/>
      <c r="H423" s="12"/>
      <c r="I423" s="12"/>
      <c r="J423" s="12"/>
      <c r="K423" s="12"/>
      <c r="L423" s="19"/>
      <c r="M423" s="19"/>
      <c r="N423" s="19"/>
      <c r="O423" s="19"/>
      <c r="P423" s="19"/>
      <c r="Q423" s="12"/>
      <c r="R423" s="12"/>
      <c r="S423" s="12"/>
      <c r="T423" s="12"/>
      <c r="U423" s="19"/>
      <c r="V423" s="12"/>
      <c r="W423" s="12"/>
      <c r="X423" s="12"/>
      <c r="Y423" s="12"/>
      <c r="Z423" s="12"/>
    </row>
    <row r="424">
      <c r="A424" s="18"/>
      <c r="B424" s="12"/>
      <c r="C424" s="12"/>
      <c r="D424" s="12"/>
      <c r="E424" s="12"/>
      <c r="F424" s="12"/>
      <c r="G424" s="12"/>
      <c r="H424" s="12"/>
      <c r="I424" s="12"/>
      <c r="J424" s="12"/>
      <c r="K424" s="12"/>
      <c r="L424" s="19"/>
      <c r="M424" s="19"/>
      <c r="N424" s="19"/>
      <c r="O424" s="19"/>
      <c r="P424" s="19"/>
      <c r="Q424" s="12"/>
      <c r="R424" s="12"/>
      <c r="S424" s="12"/>
      <c r="T424" s="12"/>
      <c r="U424" s="19"/>
      <c r="V424" s="12"/>
      <c r="W424" s="12"/>
      <c r="X424" s="12"/>
      <c r="Y424" s="12"/>
      <c r="Z424" s="12"/>
    </row>
    <row r="425">
      <c r="A425" s="18"/>
      <c r="B425" s="12"/>
      <c r="C425" s="12"/>
      <c r="D425" s="12"/>
      <c r="E425" s="12"/>
      <c r="F425" s="12"/>
      <c r="G425" s="12"/>
      <c r="H425" s="12"/>
      <c r="I425" s="12"/>
      <c r="J425" s="12"/>
      <c r="K425" s="12"/>
      <c r="L425" s="19"/>
      <c r="M425" s="19"/>
      <c r="N425" s="19"/>
      <c r="O425" s="19"/>
      <c r="P425" s="19"/>
      <c r="Q425" s="12"/>
      <c r="R425" s="12"/>
      <c r="S425" s="12"/>
      <c r="T425" s="12"/>
      <c r="U425" s="19"/>
      <c r="V425" s="12"/>
      <c r="W425" s="12"/>
      <c r="X425" s="12"/>
      <c r="Y425" s="12"/>
      <c r="Z425" s="12"/>
    </row>
    <row r="426">
      <c r="A426" s="18"/>
      <c r="B426" s="12"/>
      <c r="C426" s="12"/>
      <c r="D426" s="12"/>
      <c r="E426" s="12"/>
      <c r="F426" s="12"/>
      <c r="G426" s="12"/>
      <c r="H426" s="12"/>
      <c r="I426" s="12"/>
      <c r="J426" s="12"/>
      <c r="K426" s="12"/>
      <c r="L426" s="19"/>
      <c r="M426" s="19"/>
      <c r="N426" s="19"/>
      <c r="O426" s="19"/>
      <c r="P426" s="19"/>
      <c r="Q426" s="12"/>
      <c r="R426" s="12"/>
      <c r="S426" s="12"/>
      <c r="T426" s="12"/>
      <c r="U426" s="19"/>
      <c r="V426" s="12"/>
      <c r="W426" s="12"/>
      <c r="X426" s="12"/>
      <c r="Y426" s="12"/>
      <c r="Z426" s="12"/>
    </row>
    <row r="427">
      <c r="A427" s="18"/>
      <c r="B427" s="12"/>
      <c r="C427" s="12"/>
      <c r="D427" s="12"/>
      <c r="E427" s="12"/>
      <c r="F427" s="12"/>
      <c r="G427" s="12"/>
      <c r="H427" s="12"/>
      <c r="I427" s="12"/>
      <c r="J427" s="12"/>
      <c r="K427" s="12"/>
      <c r="L427" s="19"/>
      <c r="M427" s="19"/>
      <c r="N427" s="19"/>
      <c r="O427" s="19"/>
      <c r="P427" s="19"/>
      <c r="Q427" s="12"/>
      <c r="R427" s="12"/>
      <c r="S427" s="12"/>
      <c r="T427" s="12"/>
      <c r="U427" s="19"/>
      <c r="V427" s="12"/>
      <c r="W427" s="12"/>
      <c r="X427" s="12"/>
      <c r="Y427" s="12"/>
      <c r="Z427" s="12"/>
    </row>
    <row r="428">
      <c r="A428" s="18"/>
      <c r="B428" s="12"/>
      <c r="C428" s="12"/>
      <c r="D428" s="12"/>
      <c r="E428" s="12"/>
      <c r="F428" s="12"/>
      <c r="G428" s="12"/>
      <c r="H428" s="12"/>
      <c r="I428" s="12"/>
      <c r="J428" s="12"/>
      <c r="K428" s="12"/>
      <c r="L428" s="19"/>
      <c r="M428" s="19"/>
      <c r="N428" s="19"/>
      <c r="O428" s="19"/>
      <c r="P428" s="19"/>
      <c r="Q428" s="12"/>
      <c r="R428" s="12"/>
      <c r="S428" s="12"/>
      <c r="T428" s="12"/>
      <c r="U428" s="19"/>
      <c r="V428" s="12"/>
      <c r="W428" s="12"/>
      <c r="X428" s="12"/>
      <c r="Y428" s="12"/>
      <c r="Z428" s="12"/>
    </row>
    <row r="429">
      <c r="A429" s="18"/>
      <c r="B429" s="12"/>
      <c r="C429" s="12"/>
      <c r="D429" s="12"/>
      <c r="E429" s="12"/>
      <c r="F429" s="12"/>
      <c r="G429" s="12"/>
      <c r="H429" s="12"/>
      <c r="I429" s="12"/>
      <c r="J429" s="12"/>
      <c r="K429" s="12"/>
      <c r="L429" s="19"/>
      <c r="M429" s="19"/>
      <c r="N429" s="19"/>
      <c r="O429" s="19"/>
      <c r="P429" s="19"/>
      <c r="Q429" s="12"/>
      <c r="R429" s="12"/>
      <c r="S429" s="12"/>
      <c r="T429" s="12"/>
      <c r="U429" s="19"/>
      <c r="V429" s="12"/>
      <c r="W429" s="12"/>
      <c r="X429" s="12"/>
      <c r="Y429" s="12"/>
      <c r="Z429" s="12"/>
    </row>
    <row r="430">
      <c r="A430" s="18"/>
      <c r="B430" s="12"/>
      <c r="C430" s="12"/>
      <c r="D430" s="12"/>
      <c r="E430" s="12"/>
      <c r="F430" s="12"/>
      <c r="G430" s="12"/>
      <c r="H430" s="12"/>
      <c r="I430" s="12"/>
      <c r="J430" s="12"/>
      <c r="K430" s="12"/>
      <c r="L430" s="19"/>
      <c r="M430" s="19"/>
      <c r="N430" s="19"/>
      <c r="O430" s="19"/>
      <c r="P430" s="19"/>
      <c r="Q430" s="12"/>
      <c r="R430" s="12"/>
      <c r="S430" s="12"/>
      <c r="T430" s="12"/>
      <c r="U430" s="19"/>
      <c r="V430" s="12"/>
      <c r="W430" s="12"/>
      <c r="X430" s="12"/>
      <c r="Y430" s="12"/>
      <c r="Z430" s="12"/>
    </row>
    <row r="431">
      <c r="A431" s="18"/>
      <c r="B431" s="12"/>
      <c r="C431" s="12"/>
      <c r="D431" s="12"/>
      <c r="E431" s="12"/>
      <c r="F431" s="12"/>
      <c r="G431" s="12"/>
      <c r="H431" s="12"/>
      <c r="I431" s="12"/>
      <c r="J431" s="12"/>
      <c r="K431" s="12"/>
      <c r="L431" s="19"/>
      <c r="M431" s="19"/>
      <c r="N431" s="19"/>
      <c r="O431" s="19"/>
      <c r="P431" s="19"/>
      <c r="Q431" s="12"/>
      <c r="R431" s="12"/>
      <c r="S431" s="12"/>
      <c r="T431" s="12"/>
      <c r="U431" s="19"/>
      <c r="V431" s="12"/>
      <c r="W431" s="12"/>
      <c r="X431" s="12"/>
      <c r="Y431" s="12"/>
      <c r="Z431" s="12"/>
    </row>
    <row r="432">
      <c r="A432" s="18"/>
      <c r="B432" s="12"/>
      <c r="C432" s="12"/>
      <c r="D432" s="12"/>
      <c r="E432" s="12"/>
      <c r="F432" s="12"/>
      <c r="G432" s="12"/>
      <c r="H432" s="12"/>
      <c r="I432" s="12"/>
      <c r="J432" s="12"/>
      <c r="K432" s="12"/>
      <c r="L432" s="19"/>
      <c r="M432" s="19"/>
      <c r="N432" s="19"/>
      <c r="O432" s="19"/>
      <c r="P432" s="19"/>
      <c r="Q432" s="12"/>
      <c r="R432" s="12"/>
      <c r="S432" s="12"/>
      <c r="T432" s="12"/>
      <c r="U432" s="19"/>
      <c r="V432" s="12"/>
      <c r="W432" s="12"/>
      <c r="X432" s="12"/>
      <c r="Y432" s="12"/>
      <c r="Z432" s="12"/>
    </row>
    <row r="433">
      <c r="A433" s="18"/>
      <c r="B433" s="12"/>
      <c r="C433" s="12"/>
      <c r="D433" s="12"/>
      <c r="E433" s="12"/>
      <c r="F433" s="12"/>
      <c r="G433" s="12"/>
      <c r="H433" s="12"/>
      <c r="I433" s="12"/>
      <c r="J433" s="12"/>
      <c r="K433" s="12"/>
      <c r="L433" s="19"/>
      <c r="M433" s="19"/>
      <c r="N433" s="19"/>
      <c r="O433" s="19"/>
      <c r="P433" s="19"/>
      <c r="Q433" s="12"/>
      <c r="R433" s="12"/>
      <c r="S433" s="12"/>
      <c r="T433" s="12"/>
      <c r="U433" s="19"/>
      <c r="V433" s="12"/>
      <c r="W433" s="12"/>
      <c r="X433" s="12"/>
      <c r="Y433" s="12"/>
      <c r="Z433" s="12"/>
    </row>
    <row r="434">
      <c r="A434" s="18"/>
      <c r="B434" s="12"/>
      <c r="C434" s="12"/>
      <c r="D434" s="12"/>
      <c r="E434" s="12"/>
      <c r="F434" s="12"/>
      <c r="G434" s="12"/>
      <c r="H434" s="12"/>
      <c r="I434" s="12"/>
      <c r="J434" s="12"/>
      <c r="K434" s="12"/>
      <c r="L434" s="19"/>
      <c r="M434" s="19"/>
      <c r="N434" s="19"/>
      <c r="O434" s="19"/>
      <c r="P434" s="19"/>
      <c r="Q434" s="12"/>
      <c r="R434" s="12"/>
      <c r="S434" s="12"/>
      <c r="T434" s="12"/>
      <c r="U434" s="19"/>
      <c r="V434" s="12"/>
      <c r="W434" s="12"/>
      <c r="X434" s="12"/>
      <c r="Y434" s="12"/>
      <c r="Z434" s="12"/>
    </row>
    <row r="435">
      <c r="A435" s="18"/>
      <c r="B435" s="12"/>
      <c r="C435" s="12"/>
      <c r="D435" s="12"/>
      <c r="E435" s="12"/>
      <c r="F435" s="12"/>
      <c r="G435" s="12"/>
      <c r="H435" s="12"/>
      <c r="I435" s="12"/>
      <c r="J435" s="12"/>
      <c r="K435" s="12"/>
      <c r="L435" s="19"/>
      <c r="M435" s="19"/>
      <c r="N435" s="19"/>
      <c r="O435" s="19"/>
      <c r="P435" s="19"/>
      <c r="Q435" s="12"/>
      <c r="R435" s="12"/>
      <c r="S435" s="12"/>
      <c r="T435" s="12"/>
      <c r="U435" s="19"/>
      <c r="V435" s="12"/>
      <c r="W435" s="12"/>
      <c r="X435" s="12"/>
      <c r="Y435" s="12"/>
      <c r="Z435" s="12"/>
    </row>
    <row r="436">
      <c r="A436" s="18"/>
      <c r="B436" s="12"/>
      <c r="C436" s="12"/>
      <c r="D436" s="12"/>
      <c r="E436" s="12"/>
      <c r="F436" s="12"/>
      <c r="G436" s="12"/>
      <c r="H436" s="12"/>
      <c r="I436" s="12"/>
      <c r="J436" s="12"/>
      <c r="K436" s="12"/>
      <c r="L436" s="19"/>
      <c r="M436" s="19"/>
      <c r="N436" s="19"/>
      <c r="O436" s="19"/>
      <c r="P436" s="19"/>
      <c r="Q436" s="12"/>
      <c r="R436" s="12"/>
      <c r="S436" s="12"/>
      <c r="T436" s="12"/>
      <c r="U436" s="19"/>
      <c r="V436" s="12"/>
      <c r="W436" s="12"/>
      <c r="X436" s="12"/>
      <c r="Y436" s="12"/>
      <c r="Z436" s="12"/>
    </row>
    <row r="437">
      <c r="A437" s="18"/>
      <c r="B437" s="12"/>
      <c r="C437" s="12"/>
      <c r="D437" s="12"/>
      <c r="E437" s="12"/>
      <c r="F437" s="12"/>
      <c r="G437" s="12"/>
      <c r="H437" s="12"/>
      <c r="I437" s="12"/>
      <c r="J437" s="12"/>
      <c r="K437" s="12"/>
      <c r="L437" s="19"/>
      <c r="M437" s="19"/>
      <c r="N437" s="19"/>
      <c r="O437" s="19"/>
      <c r="P437" s="19"/>
      <c r="Q437" s="12"/>
      <c r="R437" s="12"/>
      <c r="S437" s="12"/>
      <c r="T437" s="12"/>
      <c r="U437" s="19"/>
      <c r="V437" s="12"/>
      <c r="W437" s="12"/>
      <c r="X437" s="12"/>
      <c r="Y437" s="12"/>
      <c r="Z437" s="12"/>
    </row>
    <row r="438">
      <c r="A438" s="18"/>
      <c r="B438" s="12"/>
      <c r="C438" s="12"/>
      <c r="D438" s="12"/>
      <c r="E438" s="12"/>
      <c r="F438" s="12"/>
      <c r="G438" s="12"/>
      <c r="H438" s="12"/>
      <c r="I438" s="12"/>
      <c r="J438" s="12"/>
      <c r="K438" s="12"/>
      <c r="L438" s="19"/>
      <c r="M438" s="19"/>
      <c r="N438" s="19"/>
      <c r="O438" s="19"/>
      <c r="P438" s="19"/>
      <c r="Q438" s="12"/>
      <c r="R438" s="12"/>
      <c r="S438" s="12"/>
      <c r="T438" s="12"/>
      <c r="U438" s="19"/>
      <c r="V438" s="12"/>
      <c r="W438" s="12"/>
      <c r="X438" s="12"/>
      <c r="Y438" s="12"/>
      <c r="Z438" s="12"/>
    </row>
    <row r="439">
      <c r="A439" s="18"/>
      <c r="B439" s="12"/>
      <c r="C439" s="12"/>
      <c r="D439" s="12"/>
      <c r="E439" s="12"/>
      <c r="F439" s="12"/>
      <c r="G439" s="12"/>
      <c r="H439" s="12"/>
      <c r="I439" s="12"/>
      <c r="J439" s="12"/>
      <c r="K439" s="12"/>
      <c r="L439" s="19"/>
      <c r="M439" s="19"/>
      <c r="N439" s="19"/>
      <c r="O439" s="19"/>
      <c r="P439" s="19"/>
      <c r="Q439" s="12"/>
      <c r="R439" s="12"/>
      <c r="S439" s="12"/>
      <c r="T439" s="12"/>
      <c r="U439" s="19"/>
      <c r="V439" s="12"/>
      <c r="W439" s="12"/>
      <c r="X439" s="12"/>
      <c r="Y439" s="12"/>
      <c r="Z439" s="12"/>
    </row>
    <row r="440">
      <c r="A440" s="18"/>
      <c r="B440" s="12"/>
      <c r="C440" s="12"/>
      <c r="D440" s="12"/>
      <c r="E440" s="12"/>
      <c r="F440" s="12"/>
      <c r="G440" s="12"/>
      <c r="H440" s="12"/>
      <c r="I440" s="12"/>
      <c r="J440" s="12"/>
      <c r="K440" s="12"/>
      <c r="L440" s="19"/>
      <c r="M440" s="19"/>
      <c r="N440" s="19"/>
      <c r="O440" s="19"/>
      <c r="P440" s="19"/>
      <c r="Q440" s="12"/>
      <c r="R440" s="12"/>
      <c r="S440" s="12"/>
      <c r="T440" s="12"/>
      <c r="U440" s="19"/>
      <c r="V440" s="12"/>
      <c r="W440" s="12"/>
      <c r="X440" s="12"/>
      <c r="Y440" s="12"/>
      <c r="Z440" s="12"/>
    </row>
    <row r="441">
      <c r="A441" s="18"/>
      <c r="B441" s="12"/>
      <c r="C441" s="12"/>
      <c r="D441" s="12"/>
      <c r="E441" s="12"/>
      <c r="F441" s="12"/>
      <c r="G441" s="12"/>
      <c r="H441" s="12"/>
      <c r="I441" s="12"/>
      <c r="J441" s="12"/>
      <c r="K441" s="12"/>
      <c r="L441" s="19"/>
      <c r="M441" s="19"/>
      <c r="N441" s="19"/>
      <c r="O441" s="19"/>
      <c r="P441" s="19"/>
      <c r="Q441" s="12"/>
      <c r="R441" s="12"/>
      <c r="S441" s="12"/>
      <c r="T441" s="12"/>
      <c r="U441" s="19"/>
      <c r="V441" s="12"/>
      <c r="W441" s="12"/>
      <c r="X441" s="12"/>
      <c r="Y441" s="12"/>
      <c r="Z441" s="12"/>
    </row>
    <row r="442">
      <c r="A442" s="18"/>
      <c r="B442" s="12"/>
      <c r="C442" s="12"/>
      <c r="D442" s="12"/>
      <c r="E442" s="12"/>
      <c r="F442" s="12"/>
      <c r="G442" s="12"/>
      <c r="H442" s="12"/>
      <c r="I442" s="12"/>
      <c r="J442" s="12"/>
      <c r="K442" s="12"/>
      <c r="L442" s="19"/>
      <c r="M442" s="19"/>
      <c r="N442" s="19"/>
      <c r="O442" s="19"/>
      <c r="P442" s="19"/>
      <c r="Q442" s="12"/>
      <c r="R442" s="12"/>
      <c r="S442" s="12"/>
      <c r="T442" s="12"/>
      <c r="U442" s="19"/>
      <c r="V442" s="12"/>
      <c r="W442" s="12"/>
      <c r="X442" s="12"/>
      <c r="Y442" s="12"/>
      <c r="Z442" s="12"/>
    </row>
    <row r="443">
      <c r="A443" s="18"/>
      <c r="B443" s="12"/>
      <c r="C443" s="12"/>
      <c r="D443" s="12"/>
      <c r="E443" s="12"/>
      <c r="F443" s="12"/>
      <c r="G443" s="12"/>
      <c r="H443" s="12"/>
      <c r="I443" s="12"/>
      <c r="J443" s="12"/>
      <c r="K443" s="12"/>
      <c r="L443" s="19"/>
      <c r="M443" s="19"/>
      <c r="N443" s="19"/>
      <c r="O443" s="19"/>
      <c r="P443" s="19"/>
      <c r="Q443" s="12"/>
      <c r="R443" s="12"/>
      <c r="S443" s="12"/>
      <c r="T443" s="12"/>
      <c r="U443" s="19"/>
      <c r="V443" s="12"/>
      <c r="W443" s="12"/>
      <c r="X443" s="12"/>
      <c r="Y443" s="12"/>
      <c r="Z443" s="12"/>
    </row>
    <row r="444">
      <c r="A444" s="18"/>
      <c r="B444" s="12"/>
      <c r="C444" s="12"/>
      <c r="D444" s="12"/>
      <c r="E444" s="12"/>
      <c r="F444" s="12"/>
      <c r="G444" s="12"/>
      <c r="H444" s="12"/>
      <c r="I444" s="12"/>
      <c r="J444" s="12"/>
      <c r="K444" s="12"/>
      <c r="L444" s="19"/>
      <c r="M444" s="19"/>
      <c r="N444" s="19"/>
      <c r="O444" s="19"/>
      <c r="P444" s="19"/>
      <c r="Q444" s="12"/>
      <c r="R444" s="12"/>
      <c r="S444" s="12"/>
      <c r="T444" s="12"/>
      <c r="U444" s="19"/>
      <c r="V444" s="12"/>
      <c r="W444" s="12"/>
      <c r="X444" s="12"/>
      <c r="Y444" s="12"/>
      <c r="Z444" s="12"/>
    </row>
    <row r="445">
      <c r="A445" s="18"/>
      <c r="B445" s="12"/>
      <c r="C445" s="12"/>
      <c r="D445" s="12"/>
      <c r="E445" s="12"/>
      <c r="F445" s="12"/>
      <c r="G445" s="12"/>
      <c r="H445" s="12"/>
      <c r="I445" s="12"/>
      <c r="J445" s="12"/>
      <c r="K445" s="12"/>
      <c r="L445" s="19"/>
      <c r="M445" s="19"/>
      <c r="N445" s="19"/>
      <c r="O445" s="19"/>
      <c r="P445" s="19"/>
      <c r="Q445" s="12"/>
      <c r="R445" s="12"/>
      <c r="S445" s="12"/>
      <c r="T445" s="12"/>
      <c r="U445" s="19"/>
      <c r="V445" s="12"/>
      <c r="W445" s="12"/>
      <c r="X445" s="12"/>
      <c r="Y445" s="12"/>
      <c r="Z445" s="12"/>
    </row>
    <row r="446">
      <c r="A446" s="18"/>
      <c r="B446" s="12"/>
      <c r="C446" s="12"/>
      <c r="D446" s="12"/>
      <c r="E446" s="12"/>
      <c r="F446" s="12"/>
      <c r="G446" s="12"/>
      <c r="H446" s="12"/>
      <c r="I446" s="12"/>
      <c r="J446" s="12"/>
      <c r="K446" s="12"/>
      <c r="L446" s="19"/>
      <c r="M446" s="19"/>
      <c r="N446" s="19"/>
      <c r="O446" s="19"/>
      <c r="P446" s="19"/>
      <c r="Q446" s="12"/>
      <c r="R446" s="12"/>
      <c r="S446" s="12"/>
      <c r="T446" s="12"/>
      <c r="U446" s="19"/>
      <c r="V446" s="12"/>
      <c r="W446" s="12"/>
      <c r="X446" s="12"/>
      <c r="Y446" s="12"/>
      <c r="Z446" s="12"/>
    </row>
    <row r="447">
      <c r="A447" s="18"/>
      <c r="B447" s="12"/>
      <c r="C447" s="12"/>
      <c r="D447" s="12"/>
      <c r="E447" s="12"/>
      <c r="F447" s="12"/>
      <c r="G447" s="12"/>
      <c r="H447" s="12"/>
      <c r="I447" s="12"/>
      <c r="J447" s="12"/>
      <c r="K447" s="12"/>
      <c r="L447" s="19"/>
      <c r="M447" s="19"/>
      <c r="N447" s="19"/>
      <c r="O447" s="19"/>
      <c r="P447" s="19"/>
      <c r="Q447" s="12"/>
      <c r="R447" s="12"/>
      <c r="S447" s="12"/>
      <c r="T447" s="12"/>
      <c r="U447" s="19"/>
      <c r="V447" s="12"/>
      <c r="W447" s="12"/>
      <c r="X447" s="12"/>
      <c r="Y447" s="12"/>
      <c r="Z447" s="12"/>
    </row>
    <row r="448">
      <c r="A448" s="18"/>
      <c r="B448" s="12"/>
      <c r="C448" s="12"/>
      <c r="D448" s="12"/>
      <c r="E448" s="12"/>
      <c r="F448" s="12"/>
      <c r="G448" s="12"/>
      <c r="H448" s="12"/>
      <c r="I448" s="12"/>
      <c r="J448" s="12"/>
      <c r="K448" s="12"/>
      <c r="L448" s="19"/>
      <c r="M448" s="19"/>
      <c r="N448" s="19"/>
      <c r="O448" s="19"/>
      <c r="P448" s="19"/>
      <c r="Q448" s="12"/>
      <c r="R448" s="12"/>
      <c r="S448" s="12"/>
      <c r="T448" s="12"/>
      <c r="U448" s="19"/>
      <c r="V448" s="12"/>
      <c r="W448" s="12"/>
      <c r="X448" s="12"/>
      <c r="Y448" s="12"/>
      <c r="Z448" s="12"/>
    </row>
    <row r="449">
      <c r="A449" s="18"/>
      <c r="B449" s="12"/>
      <c r="C449" s="12"/>
      <c r="D449" s="12"/>
      <c r="E449" s="12"/>
      <c r="F449" s="12"/>
      <c r="G449" s="12"/>
      <c r="H449" s="12"/>
      <c r="I449" s="12"/>
      <c r="J449" s="12"/>
      <c r="K449" s="12"/>
      <c r="L449" s="19"/>
      <c r="M449" s="19"/>
      <c r="N449" s="19"/>
      <c r="O449" s="19"/>
      <c r="P449" s="19"/>
      <c r="Q449" s="12"/>
      <c r="R449" s="12"/>
      <c r="S449" s="12"/>
      <c r="T449" s="12"/>
      <c r="U449" s="19"/>
      <c r="V449" s="12"/>
      <c r="W449" s="12"/>
      <c r="X449" s="12"/>
      <c r="Y449" s="12"/>
      <c r="Z449" s="12"/>
    </row>
    <row r="450">
      <c r="A450" s="18"/>
      <c r="B450" s="12"/>
      <c r="C450" s="12"/>
      <c r="D450" s="12"/>
      <c r="E450" s="12"/>
      <c r="F450" s="12"/>
      <c r="G450" s="12"/>
      <c r="H450" s="12"/>
      <c r="I450" s="12"/>
      <c r="J450" s="12"/>
      <c r="K450" s="12"/>
      <c r="L450" s="19"/>
      <c r="M450" s="19"/>
      <c r="N450" s="19"/>
      <c r="O450" s="19"/>
      <c r="P450" s="19"/>
      <c r="Q450" s="12"/>
      <c r="R450" s="12"/>
      <c r="S450" s="12"/>
      <c r="T450" s="12"/>
      <c r="U450" s="19"/>
      <c r="V450" s="12"/>
      <c r="W450" s="12"/>
      <c r="X450" s="12"/>
      <c r="Y450" s="12"/>
      <c r="Z450" s="12"/>
    </row>
    <row r="451">
      <c r="A451" s="18"/>
      <c r="B451" s="12"/>
      <c r="C451" s="12"/>
      <c r="D451" s="12"/>
      <c r="E451" s="12"/>
      <c r="F451" s="12"/>
      <c r="G451" s="12"/>
      <c r="H451" s="12"/>
      <c r="I451" s="12"/>
      <c r="J451" s="12"/>
      <c r="K451" s="12"/>
      <c r="L451" s="19"/>
      <c r="M451" s="19"/>
      <c r="N451" s="19"/>
      <c r="O451" s="19"/>
      <c r="P451" s="19"/>
      <c r="Q451" s="12"/>
      <c r="R451" s="12"/>
      <c r="S451" s="12"/>
      <c r="T451" s="12"/>
      <c r="U451" s="19"/>
      <c r="V451" s="12"/>
      <c r="W451" s="12"/>
      <c r="X451" s="12"/>
      <c r="Y451" s="12"/>
      <c r="Z451" s="12"/>
    </row>
    <row r="452">
      <c r="A452" s="18"/>
      <c r="B452" s="12"/>
      <c r="C452" s="12"/>
      <c r="D452" s="12"/>
      <c r="E452" s="12"/>
      <c r="F452" s="12"/>
      <c r="G452" s="12"/>
      <c r="H452" s="12"/>
      <c r="I452" s="12"/>
      <c r="J452" s="12"/>
      <c r="K452" s="12"/>
      <c r="L452" s="19"/>
      <c r="M452" s="19"/>
      <c r="N452" s="19"/>
      <c r="O452" s="19"/>
      <c r="P452" s="19"/>
      <c r="Q452" s="12"/>
      <c r="R452" s="12"/>
      <c r="S452" s="12"/>
      <c r="T452" s="12"/>
      <c r="U452" s="19"/>
      <c r="V452" s="12"/>
      <c r="W452" s="12"/>
      <c r="X452" s="12"/>
      <c r="Y452" s="12"/>
      <c r="Z452" s="12"/>
    </row>
    <row r="453">
      <c r="A453" s="18"/>
      <c r="B453" s="12"/>
      <c r="C453" s="12"/>
      <c r="D453" s="12"/>
      <c r="E453" s="12"/>
      <c r="F453" s="12"/>
      <c r="G453" s="12"/>
      <c r="H453" s="12"/>
      <c r="I453" s="12"/>
      <c r="J453" s="12"/>
      <c r="K453" s="12"/>
      <c r="L453" s="19"/>
      <c r="M453" s="19"/>
      <c r="N453" s="19"/>
      <c r="O453" s="19"/>
      <c r="P453" s="19"/>
      <c r="Q453" s="12"/>
      <c r="R453" s="12"/>
      <c r="S453" s="12"/>
      <c r="T453" s="12"/>
      <c r="U453" s="19"/>
      <c r="V453" s="12"/>
      <c r="W453" s="12"/>
      <c r="X453" s="12"/>
      <c r="Y453" s="12"/>
      <c r="Z453" s="12"/>
    </row>
    <row r="454">
      <c r="A454" s="18"/>
      <c r="B454" s="12"/>
      <c r="C454" s="12"/>
      <c r="D454" s="12"/>
      <c r="E454" s="12"/>
      <c r="F454" s="12"/>
      <c r="G454" s="12"/>
      <c r="H454" s="12"/>
      <c r="I454" s="12"/>
      <c r="J454" s="12"/>
      <c r="K454" s="12"/>
      <c r="L454" s="19"/>
      <c r="M454" s="19"/>
      <c r="N454" s="19"/>
      <c r="O454" s="19"/>
      <c r="P454" s="19"/>
      <c r="Q454" s="12"/>
      <c r="R454" s="12"/>
      <c r="S454" s="12"/>
      <c r="T454" s="12"/>
      <c r="U454" s="19"/>
      <c r="V454" s="12"/>
      <c r="W454" s="12"/>
      <c r="X454" s="12"/>
      <c r="Y454" s="12"/>
      <c r="Z454" s="12"/>
    </row>
    <row r="455">
      <c r="A455" s="18"/>
      <c r="B455" s="12"/>
      <c r="C455" s="12"/>
      <c r="D455" s="12"/>
      <c r="E455" s="12"/>
      <c r="F455" s="12"/>
      <c r="G455" s="12"/>
      <c r="H455" s="12"/>
      <c r="I455" s="12"/>
      <c r="J455" s="12"/>
      <c r="K455" s="12"/>
      <c r="L455" s="19"/>
      <c r="M455" s="19"/>
      <c r="N455" s="19"/>
      <c r="O455" s="19"/>
      <c r="P455" s="19"/>
      <c r="Q455" s="12"/>
      <c r="R455" s="12"/>
      <c r="S455" s="12"/>
      <c r="T455" s="12"/>
      <c r="U455" s="19"/>
      <c r="V455" s="12"/>
      <c r="W455" s="12"/>
      <c r="X455" s="12"/>
      <c r="Y455" s="12"/>
      <c r="Z455" s="12"/>
    </row>
    <row r="456">
      <c r="A456" s="18"/>
      <c r="B456" s="12"/>
      <c r="C456" s="12"/>
      <c r="D456" s="12"/>
      <c r="E456" s="12"/>
      <c r="F456" s="12"/>
      <c r="G456" s="12"/>
      <c r="H456" s="12"/>
      <c r="I456" s="12"/>
      <c r="J456" s="12"/>
      <c r="K456" s="12"/>
      <c r="L456" s="19"/>
      <c r="M456" s="19"/>
      <c r="N456" s="19"/>
      <c r="O456" s="19"/>
      <c r="P456" s="19"/>
      <c r="Q456" s="12"/>
      <c r="R456" s="12"/>
      <c r="S456" s="12"/>
      <c r="T456" s="12"/>
      <c r="U456" s="19"/>
      <c r="V456" s="12"/>
      <c r="W456" s="12"/>
      <c r="X456" s="12"/>
      <c r="Y456" s="12"/>
      <c r="Z456" s="12"/>
    </row>
    <row r="457">
      <c r="A457" s="18"/>
      <c r="B457" s="12"/>
      <c r="C457" s="12"/>
      <c r="D457" s="12"/>
      <c r="E457" s="12"/>
      <c r="F457" s="12"/>
      <c r="G457" s="12"/>
      <c r="H457" s="12"/>
      <c r="I457" s="12"/>
      <c r="J457" s="12"/>
      <c r="K457" s="12"/>
      <c r="L457" s="19"/>
      <c r="M457" s="19"/>
      <c r="N457" s="19"/>
      <c r="O457" s="19"/>
      <c r="P457" s="19"/>
      <c r="Q457" s="12"/>
      <c r="R457" s="12"/>
      <c r="S457" s="12"/>
      <c r="T457" s="12"/>
      <c r="U457" s="19"/>
      <c r="V457" s="12"/>
      <c r="W457" s="12"/>
      <c r="X457" s="12"/>
      <c r="Y457" s="12"/>
      <c r="Z457" s="12"/>
    </row>
    <row r="458">
      <c r="A458" s="18"/>
      <c r="B458" s="12"/>
      <c r="C458" s="12"/>
      <c r="D458" s="12"/>
      <c r="E458" s="12"/>
      <c r="F458" s="12"/>
      <c r="G458" s="12"/>
      <c r="H458" s="12"/>
      <c r="I458" s="12"/>
      <c r="J458" s="12"/>
      <c r="K458" s="12"/>
      <c r="L458" s="19"/>
      <c r="M458" s="19"/>
      <c r="N458" s="19"/>
      <c r="O458" s="19"/>
      <c r="P458" s="19"/>
      <c r="Q458" s="12"/>
      <c r="R458" s="12"/>
      <c r="S458" s="12"/>
      <c r="T458" s="12"/>
      <c r="U458" s="19"/>
      <c r="V458" s="12"/>
      <c r="W458" s="12"/>
      <c r="X458" s="12"/>
      <c r="Y458" s="12"/>
      <c r="Z458" s="12"/>
    </row>
    <row r="459">
      <c r="A459" s="18"/>
      <c r="B459" s="12"/>
      <c r="C459" s="12"/>
      <c r="D459" s="12"/>
      <c r="E459" s="12"/>
      <c r="F459" s="12"/>
      <c r="G459" s="12"/>
      <c r="H459" s="12"/>
      <c r="I459" s="12"/>
      <c r="J459" s="12"/>
      <c r="K459" s="12"/>
      <c r="L459" s="19"/>
      <c r="M459" s="19"/>
      <c r="N459" s="19"/>
      <c r="O459" s="19"/>
      <c r="P459" s="19"/>
      <c r="Q459" s="12"/>
      <c r="R459" s="12"/>
      <c r="S459" s="12"/>
      <c r="T459" s="12"/>
      <c r="U459" s="19"/>
      <c r="V459" s="12"/>
      <c r="W459" s="12"/>
      <c r="X459" s="12"/>
      <c r="Y459" s="12"/>
      <c r="Z459" s="12"/>
    </row>
    <row r="460">
      <c r="A460" s="18"/>
      <c r="B460" s="12"/>
      <c r="C460" s="12"/>
      <c r="D460" s="12"/>
      <c r="E460" s="12"/>
      <c r="F460" s="12"/>
      <c r="G460" s="12"/>
      <c r="H460" s="12"/>
      <c r="I460" s="12"/>
      <c r="J460" s="12"/>
      <c r="K460" s="12"/>
      <c r="L460" s="19"/>
      <c r="M460" s="19"/>
      <c r="N460" s="19"/>
      <c r="O460" s="19"/>
      <c r="P460" s="19"/>
      <c r="Q460" s="12"/>
      <c r="R460" s="12"/>
      <c r="S460" s="12"/>
      <c r="T460" s="12"/>
      <c r="U460" s="19"/>
      <c r="V460" s="12"/>
      <c r="W460" s="12"/>
      <c r="X460" s="12"/>
      <c r="Y460" s="12"/>
      <c r="Z460" s="12"/>
    </row>
    <row r="461">
      <c r="A461" s="18"/>
      <c r="B461" s="12"/>
      <c r="C461" s="12"/>
      <c r="D461" s="12"/>
      <c r="E461" s="12"/>
      <c r="F461" s="12"/>
      <c r="G461" s="12"/>
      <c r="H461" s="12"/>
      <c r="I461" s="12"/>
      <c r="J461" s="12"/>
      <c r="K461" s="12"/>
      <c r="L461" s="19"/>
      <c r="M461" s="19"/>
      <c r="N461" s="19"/>
      <c r="O461" s="19"/>
      <c r="P461" s="19"/>
      <c r="Q461" s="12"/>
      <c r="R461" s="12"/>
      <c r="S461" s="12"/>
      <c r="T461" s="12"/>
      <c r="U461" s="19"/>
      <c r="V461" s="12"/>
      <c r="W461" s="12"/>
      <c r="X461" s="12"/>
      <c r="Y461" s="12"/>
      <c r="Z461" s="12"/>
    </row>
    <row r="462">
      <c r="A462" s="18"/>
      <c r="B462" s="12"/>
      <c r="C462" s="12"/>
      <c r="D462" s="12"/>
      <c r="E462" s="12"/>
      <c r="F462" s="12"/>
      <c r="G462" s="12"/>
      <c r="H462" s="12"/>
      <c r="I462" s="12"/>
      <c r="J462" s="12"/>
      <c r="K462" s="12"/>
      <c r="L462" s="19"/>
      <c r="M462" s="19"/>
      <c r="N462" s="19"/>
      <c r="O462" s="19"/>
      <c r="P462" s="19"/>
      <c r="Q462" s="12"/>
      <c r="R462" s="12"/>
      <c r="S462" s="12"/>
      <c r="T462" s="12"/>
      <c r="U462" s="19"/>
      <c r="V462" s="12"/>
      <c r="W462" s="12"/>
      <c r="X462" s="12"/>
      <c r="Y462" s="12"/>
      <c r="Z462" s="12"/>
    </row>
    <row r="463">
      <c r="A463" s="18"/>
      <c r="B463" s="12"/>
      <c r="C463" s="12"/>
      <c r="D463" s="12"/>
      <c r="E463" s="12"/>
      <c r="F463" s="12"/>
      <c r="G463" s="12"/>
      <c r="H463" s="12"/>
      <c r="I463" s="12"/>
      <c r="J463" s="12"/>
      <c r="K463" s="12"/>
      <c r="L463" s="19"/>
      <c r="M463" s="19"/>
      <c r="N463" s="19"/>
      <c r="O463" s="19"/>
      <c r="P463" s="19"/>
      <c r="Q463" s="12"/>
      <c r="R463" s="12"/>
      <c r="S463" s="12"/>
      <c r="T463" s="12"/>
      <c r="U463" s="19"/>
      <c r="V463" s="12"/>
      <c r="W463" s="12"/>
      <c r="X463" s="12"/>
      <c r="Y463" s="12"/>
      <c r="Z463" s="12"/>
    </row>
    <row r="464">
      <c r="A464" s="18"/>
      <c r="B464" s="12"/>
      <c r="C464" s="12"/>
      <c r="D464" s="12"/>
      <c r="E464" s="12"/>
      <c r="F464" s="12"/>
      <c r="G464" s="12"/>
      <c r="H464" s="12"/>
      <c r="I464" s="12"/>
      <c r="J464" s="12"/>
      <c r="K464" s="12"/>
      <c r="L464" s="19"/>
      <c r="M464" s="19"/>
      <c r="N464" s="19"/>
      <c r="O464" s="19"/>
      <c r="P464" s="19"/>
      <c r="Q464" s="12"/>
      <c r="R464" s="12"/>
      <c r="S464" s="12"/>
      <c r="T464" s="12"/>
      <c r="U464" s="19"/>
      <c r="V464" s="12"/>
      <c r="W464" s="12"/>
      <c r="X464" s="12"/>
      <c r="Y464" s="12"/>
      <c r="Z464" s="12"/>
    </row>
    <row r="465">
      <c r="A465" s="18"/>
      <c r="B465" s="12"/>
      <c r="C465" s="12"/>
      <c r="D465" s="12"/>
      <c r="E465" s="12"/>
      <c r="F465" s="12"/>
      <c r="G465" s="12"/>
      <c r="H465" s="12"/>
      <c r="I465" s="12"/>
      <c r="J465" s="12"/>
      <c r="K465" s="12"/>
      <c r="L465" s="19"/>
      <c r="M465" s="19"/>
      <c r="N465" s="19"/>
      <c r="O465" s="19"/>
      <c r="P465" s="19"/>
      <c r="Q465" s="12"/>
      <c r="R465" s="12"/>
      <c r="S465" s="12"/>
      <c r="T465" s="12"/>
      <c r="U465" s="19"/>
      <c r="V465" s="12"/>
      <c r="W465" s="12"/>
      <c r="X465" s="12"/>
      <c r="Y465" s="12"/>
      <c r="Z465" s="12"/>
    </row>
    <row r="466">
      <c r="A466" s="18"/>
      <c r="B466" s="12"/>
      <c r="C466" s="12"/>
      <c r="D466" s="12"/>
      <c r="E466" s="12"/>
      <c r="F466" s="12"/>
      <c r="G466" s="12"/>
      <c r="H466" s="12"/>
      <c r="I466" s="12"/>
      <c r="J466" s="12"/>
      <c r="K466" s="12"/>
      <c r="L466" s="19"/>
      <c r="M466" s="19"/>
      <c r="N466" s="19"/>
      <c r="O466" s="19"/>
      <c r="P466" s="19"/>
      <c r="Q466" s="12"/>
      <c r="R466" s="12"/>
      <c r="S466" s="12"/>
      <c r="T466" s="12"/>
      <c r="U466" s="19"/>
      <c r="V466" s="12"/>
      <c r="W466" s="12"/>
      <c r="X466" s="12"/>
      <c r="Y466" s="12"/>
      <c r="Z466" s="12"/>
    </row>
    <row r="467">
      <c r="A467" s="18"/>
      <c r="B467" s="12"/>
      <c r="C467" s="12"/>
      <c r="D467" s="12"/>
      <c r="E467" s="12"/>
      <c r="F467" s="12"/>
      <c r="G467" s="12"/>
      <c r="H467" s="12"/>
      <c r="I467" s="12"/>
      <c r="J467" s="12"/>
      <c r="K467" s="12"/>
      <c r="L467" s="19"/>
      <c r="M467" s="19"/>
      <c r="N467" s="19"/>
      <c r="O467" s="19"/>
      <c r="P467" s="19"/>
      <c r="Q467" s="12"/>
      <c r="R467" s="12"/>
      <c r="S467" s="12"/>
      <c r="T467" s="12"/>
      <c r="U467" s="19"/>
      <c r="V467" s="12"/>
      <c r="W467" s="12"/>
      <c r="X467" s="12"/>
      <c r="Y467" s="12"/>
      <c r="Z467" s="12"/>
    </row>
    <row r="468">
      <c r="A468" s="18"/>
      <c r="B468" s="12"/>
      <c r="C468" s="12"/>
      <c r="D468" s="12"/>
      <c r="E468" s="12"/>
      <c r="F468" s="12"/>
      <c r="G468" s="12"/>
      <c r="H468" s="12"/>
      <c r="I468" s="12"/>
      <c r="J468" s="12"/>
      <c r="K468" s="12"/>
      <c r="L468" s="19"/>
      <c r="M468" s="19"/>
      <c r="N468" s="19"/>
      <c r="O468" s="19"/>
      <c r="P468" s="19"/>
      <c r="Q468" s="12"/>
      <c r="R468" s="12"/>
      <c r="S468" s="12"/>
      <c r="T468" s="12"/>
      <c r="U468" s="19"/>
      <c r="V468" s="12"/>
      <c r="W468" s="12"/>
      <c r="X468" s="12"/>
      <c r="Y468" s="12"/>
      <c r="Z468" s="12"/>
    </row>
    <row r="469">
      <c r="A469" s="18"/>
      <c r="B469" s="12"/>
      <c r="C469" s="12"/>
      <c r="D469" s="12"/>
      <c r="E469" s="12"/>
      <c r="F469" s="12"/>
      <c r="G469" s="12"/>
      <c r="H469" s="12"/>
      <c r="I469" s="12"/>
      <c r="J469" s="12"/>
      <c r="K469" s="12"/>
      <c r="L469" s="19"/>
      <c r="M469" s="19"/>
      <c r="N469" s="19"/>
      <c r="O469" s="19"/>
      <c r="P469" s="19"/>
      <c r="Q469" s="12"/>
      <c r="R469" s="12"/>
      <c r="S469" s="12"/>
      <c r="T469" s="12"/>
      <c r="U469" s="19"/>
      <c r="V469" s="12"/>
      <c r="W469" s="12"/>
      <c r="X469" s="12"/>
      <c r="Y469" s="12"/>
      <c r="Z469" s="12"/>
    </row>
    <row r="470">
      <c r="A470" s="18"/>
      <c r="B470" s="12"/>
      <c r="C470" s="12"/>
      <c r="D470" s="12"/>
      <c r="E470" s="12"/>
      <c r="F470" s="12"/>
      <c r="G470" s="12"/>
      <c r="H470" s="12"/>
      <c r="I470" s="12"/>
      <c r="J470" s="12"/>
      <c r="K470" s="12"/>
      <c r="L470" s="19"/>
      <c r="M470" s="19"/>
      <c r="N470" s="19"/>
      <c r="O470" s="19"/>
      <c r="P470" s="19"/>
      <c r="Q470" s="12"/>
      <c r="R470" s="12"/>
      <c r="S470" s="12"/>
      <c r="T470" s="12"/>
      <c r="U470" s="19"/>
      <c r="V470" s="12"/>
      <c r="W470" s="12"/>
      <c r="X470" s="12"/>
      <c r="Y470" s="12"/>
      <c r="Z470" s="12"/>
    </row>
    <row r="471">
      <c r="A471" s="18"/>
      <c r="B471" s="12"/>
      <c r="C471" s="12"/>
      <c r="D471" s="12"/>
      <c r="E471" s="12"/>
      <c r="F471" s="12"/>
      <c r="G471" s="12"/>
      <c r="H471" s="12"/>
      <c r="I471" s="12"/>
      <c r="J471" s="12"/>
      <c r="K471" s="12"/>
      <c r="L471" s="19"/>
      <c r="M471" s="19"/>
      <c r="N471" s="19"/>
      <c r="O471" s="19"/>
      <c r="P471" s="19"/>
      <c r="Q471" s="12"/>
      <c r="R471" s="12"/>
      <c r="S471" s="12"/>
      <c r="T471" s="12"/>
      <c r="U471" s="19"/>
      <c r="V471" s="12"/>
      <c r="W471" s="12"/>
      <c r="X471" s="12"/>
      <c r="Y471" s="12"/>
      <c r="Z471" s="12"/>
    </row>
    <row r="472">
      <c r="A472" s="18"/>
      <c r="B472" s="12"/>
      <c r="C472" s="12"/>
      <c r="D472" s="12"/>
      <c r="E472" s="12"/>
      <c r="F472" s="12"/>
      <c r="G472" s="12"/>
      <c r="H472" s="12"/>
      <c r="I472" s="12"/>
      <c r="J472" s="12"/>
      <c r="K472" s="12"/>
      <c r="L472" s="19"/>
      <c r="M472" s="19"/>
      <c r="N472" s="19"/>
      <c r="O472" s="19"/>
      <c r="P472" s="19"/>
      <c r="Q472" s="12"/>
      <c r="R472" s="12"/>
      <c r="S472" s="12"/>
      <c r="T472" s="12"/>
      <c r="U472" s="19"/>
      <c r="V472" s="12"/>
      <c r="W472" s="12"/>
      <c r="X472" s="12"/>
      <c r="Y472" s="12"/>
      <c r="Z472" s="12"/>
    </row>
    <row r="473">
      <c r="A473" s="18"/>
      <c r="B473" s="12"/>
      <c r="C473" s="12"/>
      <c r="D473" s="12"/>
      <c r="E473" s="12"/>
      <c r="F473" s="12"/>
      <c r="G473" s="12"/>
      <c r="H473" s="12"/>
      <c r="I473" s="12"/>
      <c r="J473" s="12"/>
      <c r="K473" s="12"/>
      <c r="L473" s="19"/>
      <c r="M473" s="19"/>
      <c r="N473" s="19"/>
      <c r="O473" s="19"/>
      <c r="P473" s="19"/>
      <c r="Q473" s="12"/>
      <c r="R473" s="12"/>
      <c r="S473" s="12"/>
      <c r="T473" s="12"/>
      <c r="U473" s="19"/>
      <c r="V473" s="12"/>
      <c r="W473" s="12"/>
      <c r="X473" s="12"/>
      <c r="Y473" s="12"/>
      <c r="Z473" s="12"/>
    </row>
    <row r="474">
      <c r="A474" s="18"/>
      <c r="B474" s="12"/>
      <c r="C474" s="12"/>
      <c r="D474" s="12"/>
      <c r="E474" s="12"/>
      <c r="F474" s="12"/>
      <c r="G474" s="12"/>
      <c r="H474" s="12"/>
      <c r="I474" s="12"/>
      <c r="J474" s="12"/>
      <c r="K474" s="12"/>
      <c r="L474" s="19"/>
      <c r="M474" s="19"/>
      <c r="N474" s="19"/>
      <c r="O474" s="19"/>
      <c r="P474" s="19"/>
      <c r="Q474" s="12"/>
      <c r="R474" s="12"/>
      <c r="S474" s="12"/>
      <c r="T474" s="12"/>
      <c r="U474" s="19"/>
      <c r="V474" s="12"/>
      <c r="W474" s="12"/>
      <c r="X474" s="12"/>
      <c r="Y474" s="12"/>
      <c r="Z474" s="12"/>
    </row>
    <row r="475">
      <c r="A475" s="18"/>
      <c r="B475" s="12"/>
      <c r="C475" s="12"/>
      <c r="D475" s="12"/>
      <c r="E475" s="12"/>
      <c r="F475" s="12"/>
      <c r="G475" s="12"/>
      <c r="H475" s="12"/>
      <c r="I475" s="12"/>
      <c r="J475" s="12"/>
      <c r="K475" s="12"/>
      <c r="L475" s="19"/>
      <c r="M475" s="19"/>
      <c r="N475" s="19"/>
      <c r="O475" s="19"/>
      <c r="P475" s="19"/>
      <c r="Q475" s="12"/>
      <c r="R475" s="12"/>
      <c r="S475" s="12"/>
      <c r="T475" s="12"/>
      <c r="U475" s="19"/>
      <c r="V475" s="12"/>
      <c r="W475" s="12"/>
      <c r="X475" s="12"/>
      <c r="Y475" s="12"/>
      <c r="Z475" s="12"/>
    </row>
    <row r="476">
      <c r="A476" s="18"/>
      <c r="B476" s="12"/>
      <c r="C476" s="12"/>
      <c r="D476" s="12"/>
      <c r="E476" s="12"/>
      <c r="F476" s="12"/>
      <c r="G476" s="12"/>
      <c r="H476" s="12"/>
      <c r="I476" s="12"/>
      <c r="J476" s="12"/>
      <c r="K476" s="12"/>
      <c r="L476" s="19"/>
      <c r="M476" s="19"/>
      <c r="N476" s="19"/>
      <c r="O476" s="19"/>
      <c r="P476" s="19"/>
      <c r="Q476" s="12"/>
      <c r="R476" s="12"/>
      <c r="S476" s="12"/>
      <c r="T476" s="12"/>
      <c r="U476" s="19"/>
      <c r="V476" s="12"/>
      <c r="W476" s="12"/>
      <c r="X476" s="12"/>
      <c r="Y476" s="12"/>
      <c r="Z476" s="12"/>
    </row>
    <row r="477">
      <c r="A477" s="18"/>
      <c r="B477" s="12"/>
      <c r="C477" s="12"/>
      <c r="D477" s="12"/>
      <c r="E477" s="12"/>
      <c r="F477" s="12"/>
      <c r="G477" s="12"/>
      <c r="H477" s="12"/>
      <c r="I477" s="12"/>
      <c r="J477" s="12"/>
      <c r="K477" s="12"/>
      <c r="L477" s="19"/>
      <c r="M477" s="19"/>
      <c r="N477" s="19"/>
      <c r="O477" s="19"/>
      <c r="P477" s="19"/>
      <c r="Q477" s="12"/>
      <c r="R477" s="12"/>
      <c r="S477" s="12"/>
      <c r="T477" s="12"/>
      <c r="U477" s="19"/>
      <c r="V477" s="12"/>
      <c r="W477" s="12"/>
      <c r="X477" s="12"/>
      <c r="Y477" s="12"/>
      <c r="Z477" s="12"/>
    </row>
    <row r="478">
      <c r="A478" s="18"/>
      <c r="B478" s="12"/>
      <c r="C478" s="12"/>
      <c r="D478" s="12"/>
      <c r="E478" s="12"/>
      <c r="F478" s="12"/>
      <c r="G478" s="12"/>
      <c r="H478" s="12"/>
      <c r="I478" s="12"/>
      <c r="J478" s="12"/>
      <c r="K478" s="12"/>
      <c r="L478" s="19"/>
      <c r="M478" s="19"/>
      <c r="N478" s="19"/>
      <c r="O478" s="19"/>
      <c r="P478" s="19"/>
      <c r="Q478" s="12"/>
      <c r="R478" s="12"/>
      <c r="S478" s="12"/>
      <c r="T478" s="12"/>
      <c r="U478" s="19"/>
      <c r="V478" s="12"/>
      <c r="W478" s="12"/>
      <c r="X478" s="12"/>
      <c r="Y478" s="12"/>
      <c r="Z478" s="12"/>
    </row>
    <row r="479">
      <c r="A479" s="18"/>
      <c r="B479" s="12"/>
      <c r="C479" s="12"/>
      <c r="D479" s="12"/>
      <c r="E479" s="12"/>
      <c r="F479" s="12"/>
      <c r="G479" s="12"/>
      <c r="H479" s="12"/>
      <c r="I479" s="12"/>
      <c r="J479" s="12"/>
      <c r="K479" s="12"/>
      <c r="L479" s="19"/>
      <c r="M479" s="19"/>
      <c r="N479" s="19"/>
      <c r="O479" s="19"/>
      <c r="P479" s="19"/>
      <c r="Q479" s="12"/>
      <c r="R479" s="12"/>
      <c r="S479" s="12"/>
      <c r="T479" s="12"/>
      <c r="U479" s="19"/>
      <c r="V479" s="12"/>
      <c r="W479" s="12"/>
      <c r="X479" s="12"/>
      <c r="Y479" s="12"/>
      <c r="Z479" s="12"/>
    </row>
    <row r="480">
      <c r="A480" s="18"/>
      <c r="B480" s="12"/>
      <c r="C480" s="12"/>
      <c r="D480" s="12"/>
      <c r="E480" s="12"/>
      <c r="F480" s="12"/>
      <c r="G480" s="12"/>
      <c r="H480" s="12"/>
      <c r="I480" s="12"/>
      <c r="J480" s="12"/>
      <c r="K480" s="12"/>
      <c r="L480" s="19"/>
      <c r="M480" s="19"/>
      <c r="N480" s="19"/>
      <c r="O480" s="19"/>
      <c r="P480" s="19"/>
      <c r="Q480" s="12"/>
      <c r="R480" s="12"/>
      <c r="S480" s="12"/>
      <c r="T480" s="12"/>
      <c r="U480" s="19"/>
      <c r="V480" s="12"/>
      <c r="W480" s="12"/>
      <c r="X480" s="12"/>
      <c r="Y480" s="12"/>
      <c r="Z480" s="12"/>
    </row>
    <row r="481">
      <c r="A481" s="18"/>
      <c r="B481" s="12"/>
      <c r="C481" s="12"/>
      <c r="D481" s="12"/>
      <c r="E481" s="12"/>
      <c r="F481" s="12"/>
      <c r="G481" s="12"/>
      <c r="H481" s="12"/>
      <c r="I481" s="12"/>
      <c r="J481" s="12"/>
      <c r="K481" s="12"/>
      <c r="L481" s="19"/>
      <c r="M481" s="19"/>
      <c r="N481" s="19"/>
      <c r="O481" s="19"/>
      <c r="P481" s="19"/>
      <c r="Q481" s="12"/>
      <c r="R481" s="12"/>
      <c r="S481" s="12"/>
      <c r="T481" s="12"/>
      <c r="U481" s="19"/>
      <c r="V481" s="12"/>
      <c r="W481" s="12"/>
      <c r="X481" s="12"/>
      <c r="Y481" s="12"/>
      <c r="Z481" s="12"/>
    </row>
    <row r="482">
      <c r="A482" s="18"/>
      <c r="B482" s="12"/>
      <c r="C482" s="12"/>
      <c r="D482" s="12"/>
      <c r="E482" s="12"/>
      <c r="F482" s="12"/>
      <c r="G482" s="12"/>
      <c r="H482" s="12"/>
      <c r="I482" s="12"/>
      <c r="J482" s="12"/>
      <c r="K482" s="12"/>
      <c r="L482" s="19"/>
      <c r="M482" s="19"/>
      <c r="N482" s="19"/>
      <c r="O482" s="19"/>
      <c r="P482" s="19"/>
      <c r="Q482" s="12"/>
      <c r="R482" s="12"/>
      <c r="S482" s="12"/>
      <c r="T482" s="12"/>
      <c r="U482" s="19"/>
      <c r="V482" s="12"/>
      <c r="W482" s="12"/>
      <c r="X482" s="12"/>
      <c r="Y482" s="12"/>
      <c r="Z482" s="12"/>
    </row>
    <row r="483">
      <c r="A483" s="18"/>
      <c r="B483" s="12"/>
      <c r="C483" s="12"/>
      <c r="D483" s="12"/>
      <c r="E483" s="12"/>
      <c r="F483" s="12"/>
      <c r="G483" s="12"/>
      <c r="H483" s="12"/>
      <c r="I483" s="12"/>
      <c r="J483" s="12"/>
      <c r="K483" s="12"/>
      <c r="L483" s="19"/>
      <c r="M483" s="19"/>
      <c r="N483" s="19"/>
      <c r="O483" s="19"/>
      <c r="P483" s="19"/>
      <c r="Q483" s="12"/>
      <c r="R483" s="12"/>
      <c r="S483" s="12"/>
      <c r="T483" s="12"/>
      <c r="U483" s="19"/>
      <c r="V483" s="12"/>
      <c r="W483" s="12"/>
      <c r="X483" s="12"/>
      <c r="Y483" s="12"/>
      <c r="Z483" s="12"/>
    </row>
    <row r="484">
      <c r="A484" s="18"/>
      <c r="B484" s="12"/>
      <c r="C484" s="12"/>
      <c r="D484" s="12"/>
      <c r="E484" s="12"/>
      <c r="F484" s="12"/>
      <c r="G484" s="12"/>
      <c r="H484" s="12"/>
      <c r="I484" s="12"/>
      <c r="J484" s="12"/>
      <c r="K484" s="12"/>
      <c r="L484" s="19"/>
      <c r="M484" s="19"/>
      <c r="N484" s="19"/>
      <c r="O484" s="19"/>
      <c r="P484" s="19"/>
      <c r="Q484" s="12"/>
      <c r="R484" s="12"/>
      <c r="S484" s="12"/>
      <c r="T484" s="12"/>
      <c r="U484" s="19"/>
      <c r="V484" s="12"/>
      <c r="W484" s="12"/>
      <c r="X484" s="12"/>
      <c r="Y484" s="12"/>
      <c r="Z484" s="12"/>
    </row>
    <row r="485">
      <c r="A485" s="18"/>
      <c r="B485" s="12"/>
      <c r="C485" s="12"/>
      <c r="D485" s="12"/>
      <c r="E485" s="12"/>
      <c r="F485" s="12"/>
      <c r="G485" s="12"/>
      <c r="H485" s="12"/>
      <c r="I485" s="12"/>
      <c r="J485" s="12"/>
      <c r="K485" s="12"/>
      <c r="L485" s="19"/>
      <c r="M485" s="19"/>
      <c r="N485" s="19"/>
      <c r="O485" s="19"/>
      <c r="P485" s="19"/>
      <c r="Q485" s="12"/>
      <c r="R485" s="12"/>
      <c r="S485" s="12"/>
      <c r="T485" s="12"/>
      <c r="U485" s="19"/>
      <c r="V485" s="12"/>
      <c r="W485" s="12"/>
      <c r="X485" s="12"/>
      <c r="Y485" s="12"/>
      <c r="Z485" s="12"/>
    </row>
    <row r="486">
      <c r="A486" s="18"/>
      <c r="B486" s="12"/>
      <c r="C486" s="12"/>
      <c r="D486" s="12"/>
      <c r="E486" s="12"/>
      <c r="F486" s="12"/>
      <c r="G486" s="12"/>
      <c r="H486" s="12"/>
      <c r="I486" s="12"/>
      <c r="J486" s="12"/>
      <c r="K486" s="12"/>
      <c r="L486" s="19"/>
      <c r="M486" s="19"/>
      <c r="N486" s="19"/>
      <c r="O486" s="19"/>
      <c r="P486" s="19"/>
      <c r="Q486" s="12"/>
      <c r="R486" s="12"/>
      <c r="S486" s="12"/>
      <c r="T486" s="12"/>
      <c r="U486" s="19"/>
      <c r="V486" s="12"/>
      <c r="W486" s="12"/>
      <c r="X486" s="12"/>
      <c r="Y486" s="12"/>
      <c r="Z486" s="12"/>
    </row>
    <row r="487">
      <c r="A487" s="18"/>
      <c r="B487" s="12"/>
      <c r="C487" s="12"/>
      <c r="D487" s="12"/>
      <c r="E487" s="12"/>
      <c r="F487" s="12"/>
      <c r="G487" s="12"/>
      <c r="H487" s="12"/>
      <c r="I487" s="12"/>
      <c r="J487" s="12"/>
      <c r="K487" s="12"/>
      <c r="L487" s="19"/>
      <c r="M487" s="19"/>
      <c r="N487" s="19"/>
      <c r="O487" s="19"/>
      <c r="P487" s="19"/>
      <c r="Q487" s="12"/>
      <c r="R487" s="12"/>
      <c r="S487" s="12"/>
      <c r="T487" s="12"/>
      <c r="U487" s="19"/>
      <c r="V487" s="12"/>
      <c r="W487" s="12"/>
      <c r="X487" s="12"/>
      <c r="Y487" s="12"/>
      <c r="Z487" s="12"/>
    </row>
    <row r="488">
      <c r="A488" s="18"/>
      <c r="B488" s="12"/>
      <c r="C488" s="12"/>
      <c r="D488" s="12"/>
      <c r="E488" s="12"/>
      <c r="F488" s="12"/>
      <c r="G488" s="12"/>
      <c r="H488" s="12"/>
      <c r="I488" s="12"/>
      <c r="J488" s="12"/>
      <c r="K488" s="12"/>
      <c r="L488" s="19"/>
      <c r="M488" s="19"/>
      <c r="N488" s="19"/>
      <c r="O488" s="19"/>
      <c r="P488" s="19"/>
      <c r="Q488" s="12"/>
      <c r="R488" s="12"/>
      <c r="S488" s="12"/>
      <c r="T488" s="12"/>
      <c r="U488" s="19"/>
      <c r="V488" s="12"/>
      <c r="W488" s="12"/>
      <c r="X488" s="12"/>
      <c r="Y488" s="12"/>
      <c r="Z488" s="12"/>
    </row>
    <row r="489">
      <c r="A489" s="18"/>
      <c r="B489" s="12"/>
      <c r="C489" s="12"/>
      <c r="D489" s="12"/>
      <c r="E489" s="12"/>
      <c r="F489" s="12"/>
      <c r="G489" s="12"/>
      <c r="H489" s="12"/>
      <c r="I489" s="12"/>
      <c r="J489" s="12"/>
      <c r="K489" s="12"/>
      <c r="L489" s="19"/>
      <c r="M489" s="19"/>
      <c r="N489" s="19"/>
      <c r="O489" s="19"/>
      <c r="P489" s="19"/>
      <c r="Q489" s="12"/>
      <c r="R489" s="12"/>
      <c r="S489" s="12"/>
      <c r="T489" s="12"/>
      <c r="U489" s="19"/>
      <c r="V489" s="12"/>
      <c r="W489" s="12"/>
      <c r="X489" s="12"/>
      <c r="Y489" s="12"/>
      <c r="Z489" s="12"/>
    </row>
    <row r="490">
      <c r="A490" s="18"/>
      <c r="B490" s="12"/>
      <c r="C490" s="12"/>
      <c r="D490" s="12"/>
      <c r="E490" s="12"/>
      <c r="F490" s="12"/>
      <c r="G490" s="12"/>
      <c r="H490" s="12"/>
      <c r="I490" s="12"/>
      <c r="J490" s="12"/>
      <c r="K490" s="12"/>
      <c r="L490" s="19"/>
      <c r="M490" s="19"/>
      <c r="N490" s="19"/>
      <c r="O490" s="19"/>
      <c r="P490" s="19"/>
      <c r="Q490" s="12"/>
      <c r="R490" s="12"/>
      <c r="S490" s="12"/>
      <c r="T490" s="12"/>
      <c r="U490" s="19"/>
      <c r="V490" s="12"/>
      <c r="W490" s="12"/>
      <c r="X490" s="12"/>
      <c r="Y490" s="12"/>
      <c r="Z490" s="12"/>
    </row>
    <row r="491">
      <c r="A491" s="18"/>
      <c r="B491" s="12"/>
      <c r="C491" s="12"/>
      <c r="D491" s="12"/>
      <c r="E491" s="12"/>
      <c r="F491" s="12"/>
      <c r="G491" s="12"/>
      <c r="H491" s="12"/>
      <c r="I491" s="12"/>
      <c r="J491" s="12"/>
      <c r="K491" s="12"/>
      <c r="L491" s="19"/>
      <c r="M491" s="19"/>
      <c r="N491" s="19"/>
      <c r="O491" s="19"/>
      <c r="P491" s="19"/>
      <c r="Q491" s="12"/>
      <c r="R491" s="12"/>
      <c r="S491" s="12"/>
      <c r="T491" s="12"/>
      <c r="U491" s="19"/>
      <c r="V491" s="12"/>
      <c r="W491" s="12"/>
      <c r="X491" s="12"/>
      <c r="Y491" s="12"/>
      <c r="Z491" s="12"/>
    </row>
    <row r="492">
      <c r="A492" s="18"/>
      <c r="B492" s="12"/>
      <c r="C492" s="12"/>
      <c r="D492" s="12"/>
      <c r="E492" s="12"/>
      <c r="F492" s="12"/>
      <c r="G492" s="12"/>
      <c r="H492" s="12"/>
      <c r="I492" s="12"/>
      <c r="J492" s="12"/>
      <c r="K492" s="12"/>
      <c r="L492" s="19"/>
      <c r="M492" s="19"/>
      <c r="N492" s="19"/>
      <c r="O492" s="19"/>
      <c r="P492" s="19"/>
      <c r="Q492" s="12"/>
      <c r="R492" s="12"/>
      <c r="S492" s="12"/>
      <c r="T492" s="12"/>
      <c r="U492" s="19"/>
      <c r="V492" s="12"/>
      <c r="W492" s="12"/>
      <c r="X492" s="12"/>
      <c r="Y492" s="12"/>
      <c r="Z492" s="12"/>
    </row>
    <row r="493">
      <c r="A493" s="18"/>
      <c r="B493" s="12"/>
      <c r="C493" s="12"/>
      <c r="D493" s="12"/>
      <c r="E493" s="12"/>
      <c r="F493" s="12"/>
      <c r="G493" s="12"/>
      <c r="H493" s="12"/>
      <c r="I493" s="12"/>
      <c r="J493" s="12"/>
      <c r="K493" s="12"/>
      <c r="L493" s="19"/>
      <c r="M493" s="19"/>
      <c r="N493" s="19"/>
      <c r="O493" s="19"/>
      <c r="P493" s="19"/>
      <c r="Q493" s="12"/>
      <c r="R493" s="12"/>
      <c r="S493" s="12"/>
      <c r="T493" s="12"/>
      <c r="U493" s="19"/>
      <c r="V493" s="12"/>
      <c r="W493" s="12"/>
      <c r="X493" s="12"/>
      <c r="Y493" s="12"/>
      <c r="Z493" s="12"/>
    </row>
    <row r="494">
      <c r="A494" s="18"/>
      <c r="B494" s="12"/>
      <c r="C494" s="12"/>
      <c r="D494" s="12"/>
      <c r="E494" s="12"/>
      <c r="F494" s="12"/>
      <c r="G494" s="12"/>
      <c r="H494" s="12"/>
      <c r="I494" s="12"/>
      <c r="J494" s="12"/>
      <c r="K494" s="12"/>
      <c r="L494" s="19"/>
      <c r="M494" s="19"/>
      <c r="N494" s="19"/>
      <c r="O494" s="19"/>
      <c r="P494" s="19"/>
      <c r="Q494" s="12"/>
      <c r="R494" s="12"/>
      <c r="S494" s="12"/>
      <c r="T494" s="12"/>
      <c r="U494" s="19"/>
      <c r="V494" s="12"/>
      <c r="W494" s="12"/>
      <c r="X494" s="12"/>
      <c r="Y494" s="12"/>
      <c r="Z494" s="12"/>
    </row>
    <row r="495">
      <c r="A495" s="18"/>
      <c r="B495" s="12"/>
      <c r="C495" s="12"/>
      <c r="D495" s="12"/>
      <c r="E495" s="12"/>
      <c r="F495" s="12"/>
      <c r="G495" s="12"/>
      <c r="H495" s="12"/>
      <c r="I495" s="12"/>
      <c r="J495" s="12"/>
      <c r="K495" s="12"/>
      <c r="L495" s="19"/>
      <c r="M495" s="19"/>
      <c r="N495" s="19"/>
      <c r="O495" s="19"/>
      <c r="P495" s="19"/>
      <c r="Q495" s="12"/>
      <c r="R495" s="12"/>
      <c r="S495" s="12"/>
      <c r="T495" s="12"/>
      <c r="U495" s="19"/>
      <c r="V495" s="12"/>
      <c r="W495" s="12"/>
      <c r="X495" s="12"/>
      <c r="Y495" s="12"/>
      <c r="Z495" s="12"/>
    </row>
    <row r="496">
      <c r="A496" s="18"/>
      <c r="B496" s="12"/>
      <c r="C496" s="12"/>
      <c r="D496" s="12"/>
      <c r="E496" s="12"/>
      <c r="F496" s="12"/>
      <c r="G496" s="12"/>
      <c r="H496" s="12"/>
      <c r="I496" s="12"/>
      <c r="J496" s="12"/>
      <c r="K496" s="12"/>
      <c r="L496" s="19"/>
      <c r="M496" s="19"/>
      <c r="N496" s="19"/>
      <c r="O496" s="19"/>
      <c r="P496" s="19"/>
      <c r="Q496" s="12"/>
      <c r="R496" s="12"/>
      <c r="S496" s="12"/>
      <c r="T496" s="12"/>
      <c r="U496" s="19"/>
      <c r="V496" s="12"/>
      <c r="W496" s="12"/>
      <c r="X496" s="12"/>
      <c r="Y496" s="12"/>
      <c r="Z496" s="12"/>
    </row>
    <row r="497">
      <c r="A497" s="18"/>
      <c r="B497" s="12"/>
      <c r="C497" s="12"/>
      <c r="D497" s="12"/>
      <c r="E497" s="12"/>
      <c r="F497" s="12"/>
      <c r="G497" s="12"/>
      <c r="H497" s="12"/>
      <c r="I497" s="12"/>
      <c r="J497" s="12"/>
      <c r="K497" s="12"/>
      <c r="L497" s="19"/>
      <c r="M497" s="19"/>
      <c r="N497" s="19"/>
      <c r="O497" s="19"/>
      <c r="P497" s="19"/>
      <c r="Q497" s="12"/>
      <c r="R497" s="12"/>
      <c r="S497" s="12"/>
      <c r="T497" s="12"/>
      <c r="U497" s="19"/>
      <c r="V497" s="12"/>
      <c r="W497" s="12"/>
      <c r="X497" s="12"/>
      <c r="Y497" s="12"/>
      <c r="Z497" s="12"/>
    </row>
    <row r="498">
      <c r="A498" s="18"/>
      <c r="B498" s="12"/>
      <c r="C498" s="12"/>
      <c r="D498" s="12"/>
      <c r="E498" s="12"/>
      <c r="F498" s="12"/>
      <c r="G498" s="12"/>
      <c r="H498" s="12"/>
      <c r="I498" s="12"/>
      <c r="J498" s="12"/>
      <c r="K498" s="12"/>
      <c r="L498" s="19"/>
      <c r="M498" s="19"/>
      <c r="N498" s="19"/>
      <c r="O498" s="19"/>
      <c r="P498" s="19"/>
      <c r="Q498" s="12"/>
      <c r="R498" s="12"/>
      <c r="S498" s="12"/>
      <c r="T498" s="12"/>
      <c r="U498" s="19"/>
      <c r="V498" s="12"/>
      <c r="W498" s="12"/>
      <c r="X498" s="12"/>
      <c r="Y498" s="12"/>
      <c r="Z498" s="12"/>
    </row>
    <row r="499">
      <c r="A499" s="18"/>
      <c r="B499" s="12"/>
      <c r="C499" s="12"/>
      <c r="D499" s="12"/>
      <c r="E499" s="12"/>
      <c r="F499" s="12"/>
      <c r="G499" s="12"/>
      <c r="H499" s="12"/>
      <c r="I499" s="12"/>
      <c r="J499" s="12"/>
      <c r="K499" s="12"/>
      <c r="L499" s="19"/>
      <c r="M499" s="19"/>
      <c r="N499" s="19"/>
      <c r="O499" s="19"/>
      <c r="P499" s="19"/>
      <c r="Q499" s="12"/>
      <c r="R499" s="12"/>
      <c r="S499" s="12"/>
      <c r="T499" s="12"/>
      <c r="U499" s="19"/>
      <c r="V499" s="12"/>
      <c r="W499" s="12"/>
      <c r="X499" s="12"/>
      <c r="Y499" s="12"/>
      <c r="Z499" s="12"/>
    </row>
    <row r="500">
      <c r="A500" s="18"/>
      <c r="B500" s="12"/>
      <c r="C500" s="12"/>
      <c r="D500" s="12"/>
      <c r="E500" s="12"/>
      <c r="F500" s="12"/>
      <c r="G500" s="12"/>
      <c r="H500" s="12"/>
      <c r="I500" s="12"/>
      <c r="J500" s="12"/>
      <c r="K500" s="12"/>
      <c r="L500" s="19"/>
      <c r="M500" s="19"/>
      <c r="N500" s="19"/>
      <c r="O500" s="19"/>
      <c r="P500" s="19"/>
      <c r="Q500" s="12"/>
      <c r="R500" s="12"/>
      <c r="S500" s="12"/>
      <c r="T500" s="12"/>
      <c r="U500" s="19"/>
      <c r="V500" s="12"/>
      <c r="W500" s="12"/>
      <c r="X500" s="12"/>
      <c r="Y500" s="12"/>
      <c r="Z500" s="12"/>
    </row>
    <row r="501">
      <c r="A501" s="18"/>
      <c r="B501" s="12"/>
      <c r="C501" s="12"/>
      <c r="D501" s="12"/>
      <c r="E501" s="12"/>
      <c r="F501" s="12"/>
      <c r="G501" s="12"/>
      <c r="H501" s="12"/>
      <c r="I501" s="12"/>
      <c r="J501" s="12"/>
      <c r="K501" s="12"/>
      <c r="L501" s="19"/>
      <c r="M501" s="19"/>
      <c r="N501" s="19"/>
      <c r="O501" s="19"/>
      <c r="P501" s="19"/>
      <c r="Q501" s="12"/>
      <c r="R501" s="12"/>
      <c r="S501" s="12"/>
      <c r="T501" s="12"/>
      <c r="U501" s="19"/>
      <c r="V501" s="12"/>
      <c r="W501" s="12"/>
      <c r="X501" s="12"/>
      <c r="Y501" s="12"/>
      <c r="Z501" s="12"/>
    </row>
    <row r="502">
      <c r="A502" s="18"/>
      <c r="B502" s="12"/>
      <c r="C502" s="12"/>
      <c r="D502" s="12"/>
      <c r="E502" s="12"/>
      <c r="F502" s="12"/>
      <c r="G502" s="12"/>
      <c r="H502" s="12"/>
      <c r="I502" s="12"/>
      <c r="J502" s="12"/>
      <c r="K502" s="12"/>
      <c r="L502" s="19"/>
      <c r="M502" s="19"/>
      <c r="N502" s="19"/>
      <c r="O502" s="19"/>
      <c r="P502" s="19"/>
      <c r="Q502" s="12"/>
      <c r="R502" s="12"/>
      <c r="S502" s="12"/>
      <c r="T502" s="12"/>
      <c r="U502" s="19"/>
      <c r="V502" s="12"/>
      <c r="W502" s="12"/>
      <c r="X502" s="12"/>
      <c r="Y502" s="12"/>
      <c r="Z502" s="12"/>
    </row>
    <row r="503">
      <c r="A503" s="18"/>
      <c r="B503" s="12"/>
      <c r="C503" s="12"/>
      <c r="D503" s="12"/>
      <c r="E503" s="12"/>
      <c r="F503" s="12"/>
      <c r="G503" s="12"/>
      <c r="H503" s="12"/>
      <c r="I503" s="12"/>
      <c r="J503" s="12"/>
      <c r="K503" s="12"/>
      <c r="L503" s="19"/>
      <c r="M503" s="19"/>
      <c r="N503" s="19"/>
      <c r="O503" s="19"/>
      <c r="P503" s="19"/>
      <c r="Q503" s="12"/>
      <c r="R503" s="12"/>
      <c r="S503" s="12"/>
      <c r="T503" s="12"/>
      <c r="U503" s="19"/>
      <c r="V503" s="12"/>
      <c r="W503" s="12"/>
      <c r="X503" s="12"/>
      <c r="Y503" s="12"/>
      <c r="Z503" s="12"/>
    </row>
    <row r="504">
      <c r="A504" s="18"/>
      <c r="B504" s="12"/>
      <c r="C504" s="12"/>
      <c r="D504" s="12"/>
      <c r="E504" s="12"/>
      <c r="F504" s="12"/>
      <c r="G504" s="12"/>
      <c r="H504" s="12"/>
      <c r="I504" s="12"/>
      <c r="J504" s="12"/>
      <c r="K504" s="12"/>
      <c r="L504" s="19"/>
      <c r="M504" s="19"/>
      <c r="N504" s="19"/>
      <c r="O504" s="19"/>
      <c r="P504" s="19"/>
      <c r="Q504" s="12"/>
      <c r="R504" s="12"/>
      <c r="S504" s="12"/>
      <c r="T504" s="12"/>
      <c r="U504" s="19"/>
      <c r="V504" s="12"/>
      <c r="W504" s="12"/>
      <c r="X504" s="12"/>
      <c r="Y504" s="12"/>
      <c r="Z504" s="12"/>
    </row>
    <row r="505">
      <c r="A505" s="18"/>
      <c r="B505" s="12"/>
      <c r="C505" s="12"/>
      <c r="D505" s="12"/>
      <c r="E505" s="12"/>
      <c r="F505" s="12"/>
      <c r="G505" s="12"/>
      <c r="H505" s="12"/>
      <c r="I505" s="12"/>
      <c r="J505" s="12"/>
      <c r="K505" s="12"/>
      <c r="L505" s="19"/>
      <c r="M505" s="19"/>
      <c r="N505" s="19"/>
      <c r="O505" s="19"/>
      <c r="P505" s="19"/>
      <c r="Q505" s="12"/>
      <c r="R505" s="12"/>
      <c r="S505" s="12"/>
      <c r="T505" s="12"/>
      <c r="U505" s="19"/>
      <c r="V505" s="12"/>
      <c r="W505" s="12"/>
      <c r="X505" s="12"/>
      <c r="Y505" s="12"/>
      <c r="Z505" s="12"/>
    </row>
    <row r="506">
      <c r="A506" s="18"/>
      <c r="B506" s="12"/>
      <c r="C506" s="12"/>
      <c r="D506" s="12"/>
      <c r="E506" s="12"/>
      <c r="F506" s="12"/>
      <c r="G506" s="12"/>
      <c r="H506" s="12"/>
      <c r="I506" s="12"/>
      <c r="J506" s="12"/>
      <c r="K506" s="12"/>
      <c r="L506" s="19"/>
      <c r="M506" s="19"/>
      <c r="N506" s="19"/>
      <c r="O506" s="19"/>
      <c r="P506" s="19"/>
      <c r="Q506" s="12"/>
      <c r="R506" s="12"/>
      <c r="S506" s="12"/>
      <c r="T506" s="12"/>
      <c r="U506" s="19"/>
      <c r="V506" s="12"/>
      <c r="W506" s="12"/>
      <c r="X506" s="12"/>
      <c r="Y506" s="12"/>
      <c r="Z506" s="12"/>
    </row>
    <row r="507">
      <c r="A507" s="18"/>
      <c r="B507" s="12"/>
      <c r="C507" s="12"/>
      <c r="D507" s="12"/>
      <c r="E507" s="12"/>
      <c r="F507" s="12"/>
      <c r="G507" s="12"/>
      <c r="H507" s="12"/>
      <c r="I507" s="12"/>
      <c r="J507" s="12"/>
      <c r="K507" s="12"/>
      <c r="L507" s="19"/>
      <c r="M507" s="19"/>
      <c r="N507" s="19"/>
      <c r="O507" s="19"/>
      <c r="P507" s="19"/>
      <c r="Q507" s="12"/>
      <c r="R507" s="12"/>
      <c r="S507" s="12"/>
      <c r="T507" s="12"/>
      <c r="U507" s="19"/>
      <c r="V507" s="12"/>
      <c r="W507" s="12"/>
      <c r="X507" s="12"/>
      <c r="Y507" s="12"/>
      <c r="Z507" s="12"/>
    </row>
    <row r="508">
      <c r="A508" s="18"/>
      <c r="B508" s="12"/>
      <c r="C508" s="12"/>
      <c r="D508" s="12"/>
      <c r="E508" s="12"/>
      <c r="F508" s="12"/>
      <c r="G508" s="12"/>
      <c r="H508" s="12"/>
      <c r="I508" s="12"/>
      <c r="J508" s="12"/>
      <c r="K508" s="12"/>
      <c r="L508" s="19"/>
      <c r="M508" s="19"/>
      <c r="N508" s="19"/>
      <c r="O508" s="19"/>
      <c r="P508" s="19"/>
      <c r="Q508" s="12"/>
      <c r="R508" s="12"/>
      <c r="S508" s="12"/>
      <c r="T508" s="12"/>
      <c r="U508" s="19"/>
      <c r="V508" s="12"/>
      <c r="W508" s="12"/>
      <c r="X508" s="12"/>
      <c r="Y508" s="12"/>
      <c r="Z508" s="12"/>
    </row>
    <row r="509">
      <c r="A509" s="18"/>
      <c r="B509" s="12"/>
      <c r="C509" s="12"/>
      <c r="D509" s="12"/>
      <c r="E509" s="12"/>
      <c r="F509" s="12"/>
      <c r="G509" s="12"/>
      <c r="H509" s="12"/>
      <c r="I509" s="12"/>
      <c r="J509" s="12"/>
      <c r="K509" s="12"/>
      <c r="L509" s="19"/>
      <c r="M509" s="19"/>
      <c r="N509" s="19"/>
      <c r="O509" s="19"/>
      <c r="P509" s="19"/>
      <c r="Q509" s="12"/>
      <c r="R509" s="12"/>
      <c r="S509" s="12"/>
      <c r="T509" s="12"/>
      <c r="U509" s="19"/>
      <c r="V509" s="12"/>
      <c r="W509" s="12"/>
      <c r="X509" s="12"/>
      <c r="Y509" s="12"/>
      <c r="Z509" s="12"/>
    </row>
    <row r="510">
      <c r="A510" s="18"/>
      <c r="B510" s="12"/>
      <c r="C510" s="12"/>
      <c r="D510" s="12"/>
      <c r="E510" s="12"/>
      <c r="F510" s="12"/>
      <c r="G510" s="12"/>
      <c r="H510" s="12"/>
      <c r="I510" s="12"/>
      <c r="J510" s="12"/>
      <c r="K510" s="12"/>
      <c r="L510" s="19"/>
      <c r="M510" s="19"/>
      <c r="N510" s="19"/>
      <c r="O510" s="19"/>
      <c r="P510" s="19"/>
      <c r="Q510" s="12"/>
      <c r="R510" s="12"/>
      <c r="S510" s="12"/>
      <c r="T510" s="12"/>
      <c r="U510" s="19"/>
      <c r="V510" s="12"/>
      <c r="W510" s="12"/>
      <c r="X510" s="12"/>
      <c r="Y510" s="12"/>
      <c r="Z510" s="12"/>
    </row>
    <row r="511">
      <c r="A511" s="18"/>
      <c r="B511" s="12"/>
      <c r="C511" s="12"/>
      <c r="D511" s="12"/>
      <c r="E511" s="12"/>
      <c r="F511" s="12"/>
      <c r="G511" s="12"/>
      <c r="H511" s="12"/>
      <c r="I511" s="12"/>
      <c r="J511" s="12"/>
      <c r="K511" s="12"/>
      <c r="L511" s="19"/>
      <c r="M511" s="19"/>
      <c r="N511" s="19"/>
      <c r="O511" s="19"/>
      <c r="P511" s="19"/>
      <c r="Q511" s="12"/>
      <c r="R511" s="12"/>
      <c r="S511" s="12"/>
      <c r="T511" s="12"/>
      <c r="U511" s="19"/>
      <c r="V511" s="12"/>
      <c r="W511" s="12"/>
      <c r="X511" s="12"/>
      <c r="Y511" s="12"/>
      <c r="Z511" s="12"/>
    </row>
    <row r="512">
      <c r="A512" s="18"/>
      <c r="B512" s="12"/>
      <c r="C512" s="12"/>
      <c r="D512" s="12"/>
      <c r="E512" s="12"/>
      <c r="F512" s="12"/>
      <c r="G512" s="12"/>
      <c r="H512" s="12"/>
      <c r="I512" s="12"/>
      <c r="J512" s="12"/>
      <c r="K512" s="12"/>
      <c r="L512" s="19"/>
      <c r="M512" s="19"/>
      <c r="N512" s="19"/>
      <c r="O512" s="19"/>
      <c r="P512" s="19"/>
      <c r="Q512" s="12"/>
      <c r="R512" s="12"/>
      <c r="S512" s="12"/>
      <c r="T512" s="12"/>
      <c r="U512" s="19"/>
      <c r="V512" s="12"/>
      <c r="W512" s="12"/>
      <c r="X512" s="12"/>
      <c r="Y512" s="12"/>
      <c r="Z512" s="12"/>
    </row>
    <row r="513">
      <c r="A513" s="18"/>
      <c r="B513" s="12"/>
      <c r="C513" s="12"/>
      <c r="D513" s="12"/>
      <c r="E513" s="12"/>
      <c r="F513" s="12"/>
      <c r="G513" s="12"/>
      <c r="H513" s="12"/>
      <c r="I513" s="12"/>
      <c r="J513" s="12"/>
      <c r="K513" s="12"/>
      <c r="L513" s="19"/>
      <c r="M513" s="19"/>
      <c r="N513" s="19"/>
      <c r="O513" s="19"/>
      <c r="P513" s="19"/>
      <c r="Q513" s="12"/>
      <c r="R513" s="12"/>
      <c r="S513" s="12"/>
      <c r="T513" s="12"/>
      <c r="U513" s="19"/>
      <c r="V513" s="12"/>
      <c r="W513" s="12"/>
      <c r="X513" s="12"/>
      <c r="Y513" s="12"/>
      <c r="Z513" s="12"/>
    </row>
    <row r="514">
      <c r="A514" s="18"/>
      <c r="B514" s="12"/>
      <c r="C514" s="12"/>
      <c r="D514" s="12"/>
      <c r="E514" s="12"/>
      <c r="F514" s="12"/>
      <c r="G514" s="12"/>
      <c r="H514" s="12"/>
      <c r="I514" s="12"/>
      <c r="J514" s="12"/>
      <c r="K514" s="12"/>
      <c r="L514" s="19"/>
      <c r="M514" s="19"/>
      <c r="N514" s="19"/>
      <c r="O514" s="19"/>
      <c r="P514" s="19"/>
      <c r="Q514" s="12"/>
      <c r="R514" s="12"/>
      <c r="S514" s="12"/>
      <c r="T514" s="12"/>
      <c r="U514" s="19"/>
      <c r="V514" s="12"/>
      <c r="W514" s="12"/>
      <c r="X514" s="12"/>
      <c r="Y514" s="12"/>
      <c r="Z514" s="12"/>
    </row>
    <row r="515">
      <c r="A515" s="18"/>
      <c r="B515" s="12"/>
      <c r="C515" s="12"/>
      <c r="D515" s="12"/>
      <c r="E515" s="12"/>
      <c r="F515" s="12"/>
      <c r="G515" s="12"/>
      <c r="H515" s="12"/>
      <c r="I515" s="12"/>
      <c r="J515" s="12"/>
      <c r="K515" s="12"/>
      <c r="L515" s="19"/>
      <c r="M515" s="19"/>
      <c r="N515" s="19"/>
      <c r="O515" s="19"/>
      <c r="P515" s="19"/>
      <c r="Q515" s="12"/>
      <c r="R515" s="12"/>
      <c r="S515" s="12"/>
      <c r="T515" s="12"/>
      <c r="U515" s="19"/>
      <c r="V515" s="12"/>
      <c r="W515" s="12"/>
      <c r="X515" s="12"/>
      <c r="Y515" s="12"/>
      <c r="Z515" s="12"/>
    </row>
    <row r="516">
      <c r="A516" s="18"/>
      <c r="B516" s="12"/>
      <c r="C516" s="12"/>
      <c r="D516" s="12"/>
      <c r="E516" s="12"/>
      <c r="F516" s="12"/>
      <c r="G516" s="12"/>
      <c r="H516" s="12"/>
      <c r="I516" s="12"/>
      <c r="J516" s="12"/>
      <c r="K516" s="12"/>
      <c r="L516" s="19"/>
      <c r="M516" s="19"/>
      <c r="N516" s="19"/>
      <c r="O516" s="19"/>
      <c r="P516" s="19"/>
      <c r="Q516" s="12"/>
      <c r="R516" s="12"/>
      <c r="S516" s="12"/>
      <c r="T516" s="12"/>
      <c r="U516" s="19"/>
      <c r="V516" s="12"/>
      <c r="W516" s="12"/>
      <c r="X516" s="12"/>
      <c r="Y516" s="12"/>
      <c r="Z516" s="12"/>
    </row>
    <row r="517">
      <c r="A517" s="18"/>
      <c r="B517" s="12"/>
      <c r="C517" s="12"/>
      <c r="D517" s="12"/>
      <c r="E517" s="12"/>
      <c r="F517" s="12"/>
      <c r="G517" s="12"/>
      <c r="H517" s="12"/>
      <c r="I517" s="12"/>
      <c r="J517" s="12"/>
      <c r="K517" s="12"/>
      <c r="L517" s="19"/>
      <c r="M517" s="19"/>
      <c r="N517" s="19"/>
      <c r="O517" s="19"/>
      <c r="P517" s="19"/>
      <c r="Q517" s="12"/>
      <c r="R517" s="12"/>
      <c r="S517" s="12"/>
      <c r="T517" s="12"/>
      <c r="U517" s="19"/>
      <c r="V517" s="12"/>
      <c r="W517" s="12"/>
      <c r="X517" s="12"/>
      <c r="Y517" s="12"/>
      <c r="Z517" s="12"/>
    </row>
    <row r="518">
      <c r="A518" s="18"/>
      <c r="B518" s="12"/>
      <c r="C518" s="12"/>
      <c r="D518" s="12"/>
      <c r="E518" s="12"/>
      <c r="F518" s="12"/>
      <c r="G518" s="12"/>
      <c r="H518" s="12"/>
      <c r="I518" s="12"/>
      <c r="J518" s="12"/>
      <c r="K518" s="12"/>
      <c r="L518" s="19"/>
      <c r="M518" s="19"/>
      <c r="N518" s="19"/>
      <c r="O518" s="19"/>
      <c r="P518" s="19"/>
      <c r="Q518" s="12"/>
      <c r="R518" s="12"/>
      <c r="S518" s="12"/>
      <c r="T518" s="12"/>
      <c r="U518" s="19"/>
      <c r="V518" s="12"/>
      <c r="W518" s="12"/>
      <c r="X518" s="12"/>
      <c r="Y518" s="12"/>
      <c r="Z518" s="12"/>
    </row>
    <row r="519">
      <c r="A519" s="18"/>
      <c r="B519" s="12"/>
      <c r="C519" s="12"/>
      <c r="D519" s="12"/>
      <c r="E519" s="12"/>
      <c r="F519" s="12"/>
      <c r="G519" s="12"/>
      <c r="H519" s="12"/>
      <c r="I519" s="12"/>
      <c r="J519" s="12"/>
      <c r="K519" s="12"/>
      <c r="L519" s="19"/>
      <c r="M519" s="19"/>
      <c r="N519" s="19"/>
      <c r="O519" s="19"/>
      <c r="P519" s="19"/>
      <c r="Q519" s="12"/>
      <c r="R519" s="12"/>
      <c r="S519" s="12"/>
      <c r="T519" s="12"/>
      <c r="U519" s="19"/>
      <c r="V519" s="12"/>
      <c r="W519" s="12"/>
      <c r="X519" s="12"/>
      <c r="Y519" s="12"/>
      <c r="Z519" s="12"/>
    </row>
    <row r="520">
      <c r="A520" s="18"/>
      <c r="B520" s="12"/>
      <c r="C520" s="12"/>
      <c r="D520" s="12"/>
      <c r="E520" s="12"/>
      <c r="F520" s="12"/>
      <c r="G520" s="12"/>
      <c r="H520" s="12"/>
      <c r="I520" s="12"/>
      <c r="J520" s="12"/>
      <c r="K520" s="12"/>
      <c r="L520" s="19"/>
      <c r="M520" s="19"/>
      <c r="N520" s="19"/>
      <c r="O520" s="19"/>
      <c r="P520" s="19"/>
      <c r="Q520" s="12"/>
      <c r="R520" s="12"/>
      <c r="S520" s="12"/>
      <c r="T520" s="12"/>
      <c r="U520" s="19"/>
      <c r="V520" s="12"/>
      <c r="W520" s="12"/>
      <c r="X520" s="12"/>
      <c r="Y520" s="12"/>
      <c r="Z520" s="12"/>
    </row>
    <row r="521">
      <c r="A521" s="18"/>
      <c r="B521" s="12"/>
      <c r="C521" s="12"/>
      <c r="D521" s="12"/>
      <c r="E521" s="12"/>
      <c r="F521" s="12"/>
      <c r="G521" s="12"/>
      <c r="H521" s="12"/>
      <c r="I521" s="12"/>
      <c r="J521" s="12"/>
      <c r="K521" s="12"/>
      <c r="L521" s="19"/>
      <c r="M521" s="19"/>
      <c r="N521" s="19"/>
      <c r="O521" s="19"/>
      <c r="P521" s="19"/>
      <c r="Q521" s="12"/>
      <c r="R521" s="12"/>
      <c r="S521" s="12"/>
      <c r="T521" s="12"/>
      <c r="U521" s="19"/>
      <c r="V521" s="12"/>
      <c r="W521" s="12"/>
      <c r="X521" s="12"/>
      <c r="Y521" s="12"/>
      <c r="Z521" s="12"/>
    </row>
    <row r="522">
      <c r="A522" s="18"/>
      <c r="B522" s="12"/>
      <c r="C522" s="12"/>
      <c r="D522" s="12"/>
      <c r="E522" s="12"/>
      <c r="F522" s="12"/>
      <c r="G522" s="12"/>
      <c r="H522" s="12"/>
      <c r="I522" s="12"/>
      <c r="J522" s="12"/>
      <c r="K522" s="12"/>
      <c r="L522" s="19"/>
      <c r="M522" s="19"/>
      <c r="N522" s="19"/>
      <c r="O522" s="19"/>
      <c r="P522" s="19"/>
      <c r="Q522" s="12"/>
      <c r="R522" s="12"/>
      <c r="S522" s="12"/>
      <c r="T522" s="12"/>
      <c r="U522" s="19"/>
      <c r="V522" s="12"/>
      <c r="W522" s="12"/>
      <c r="X522" s="12"/>
      <c r="Y522" s="12"/>
      <c r="Z522" s="12"/>
    </row>
    <row r="523">
      <c r="A523" s="18"/>
      <c r="B523" s="12"/>
      <c r="C523" s="12"/>
      <c r="D523" s="12"/>
      <c r="E523" s="12"/>
      <c r="F523" s="12"/>
      <c r="G523" s="12"/>
      <c r="H523" s="12"/>
      <c r="I523" s="12"/>
      <c r="J523" s="12"/>
      <c r="K523" s="12"/>
      <c r="L523" s="19"/>
      <c r="M523" s="19"/>
      <c r="N523" s="19"/>
      <c r="O523" s="19"/>
      <c r="P523" s="19"/>
      <c r="Q523" s="12"/>
      <c r="R523" s="12"/>
      <c r="S523" s="12"/>
      <c r="T523" s="12"/>
      <c r="U523" s="19"/>
      <c r="V523" s="12"/>
      <c r="W523" s="12"/>
      <c r="X523" s="12"/>
      <c r="Y523" s="12"/>
      <c r="Z523" s="12"/>
    </row>
    <row r="524">
      <c r="A524" s="18"/>
      <c r="B524" s="12"/>
      <c r="C524" s="12"/>
      <c r="D524" s="12"/>
      <c r="E524" s="12"/>
      <c r="F524" s="12"/>
      <c r="G524" s="12"/>
      <c r="H524" s="12"/>
      <c r="I524" s="12"/>
      <c r="J524" s="12"/>
      <c r="K524" s="12"/>
      <c r="L524" s="19"/>
      <c r="M524" s="19"/>
      <c r="N524" s="19"/>
      <c r="O524" s="19"/>
      <c r="P524" s="19"/>
      <c r="Q524" s="12"/>
      <c r="R524" s="12"/>
      <c r="S524" s="12"/>
      <c r="T524" s="12"/>
      <c r="U524" s="19"/>
      <c r="V524" s="12"/>
      <c r="W524" s="12"/>
      <c r="X524" s="12"/>
      <c r="Y524" s="12"/>
      <c r="Z524" s="12"/>
    </row>
    <row r="525">
      <c r="A525" s="18"/>
      <c r="B525" s="12"/>
      <c r="C525" s="12"/>
      <c r="D525" s="12"/>
      <c r="E525" s="12"/>
      <c r="F525" s="12"/>
      <c r="G525" s="12"/>
      <c r="H525" s="12"/>
      <c r="I525" s="12"/>
      <c r="J525" s="12"/>
      <c r="K525" s="12"/>
      <c r="L525" s="19"/>
      <c r="M525" s="19"/>
      <c r="N525" s="19"/>
      <c r="O525" s="19"/>
      <c r="P525" s="19"/>
      <c r="Q525" s="12"/>
      <c r="R525" s="12"/>
      <c r="S525" s="12"/>
      <c r="T525" s="12"/>
      <c r="U525" s="19"/>
      <c r="V525" s="12"/>
      <c r="W525" s="12"/>
      <c r="X525" s="12"/>
      <c r="Y525" s="12"/>
      <c r="Z525" s="12"/>
    </row>
    <row r="526">
      <c r="A526" s="18"/>
      <c r="B526" s="12"/>
      <c r="C526" s="12"/>
      <c r="D526" s="12"/>
      <c r="E526" s="12"/>
      <c r="F526" s="12"/>
      <c r="G526" s="12"/>
      <c r="H526" s="12"/>
      <c r="I526" s="12"/>
      <c r="J526" s="12"/>
      <c r="K526" s="12"/>
      <c r="L526" s="19"/>
      <c r="M526" s="19"/>
      <c r="N526" s="19"/>
      <c r="O526" s="19"/>
      <c r="P526" s="19"/>
      <c r="Q526" s="12"/>
      <c r="R526" s="12"/>
      <c r="S526" s="12"/>
      <c r="T526" s="12"/>
      <c r="U526" s="19"/>
      <c r="V526" s="12"/>
      <c r="W526" s="12"/>
      <c r="X526" s="12"/>
      <c r="Y526" s="12"/>
      <c r="Z526" s="12"/>
    </row>
    <row r="527">
      <c r="A527" s="18"/>
      <c r="B527" s="12"/>
      <c r="C527" s="12"/>
      <c r="D527" s="12"/>
      <c r="E527" s="12"/>
      <c r="F527" s="12"/>
      <c r="G527" s="12"/>
      <c r="H527" s="12"/>
      <c r="I527" s="12"/>
      <c r="J527" s="12"/>
      <c r="K527" s="12"/>
      <c r="L527" s="19"/>
      <c r="M527" s="19"/>
      <c r="N527" s="19"/>
      <c r="O527" s="19"/>
      <c r="P527" s="19"/>
      <c r="Q527" s="12"/>
      <c r="R527" s="12"/>
      <c r="S527" s="12"/>
      <c r="T527" s="12"/>
      <c r="U527" s="19"/>
      <c r="V527" s="12"/>
      <c r="W527" s="12"/>
      <c r="X527" s="12"/>
      <c r="Y527" s="12"/>
      <c r="Z527" s="12"/>
    </row>
    <row r="528">
      <c r="A528" s="18"/>
      <c r="B528" s="12"/>
      <c r="C528" s="12"/>
      <c r="D528" s="12"/>
      <c r="E528" s="12"/>
      <c r="F528" s="12"/>
      <c r="G528" s="12"/>
      <c r="H528" s="12"/>
      <c r="I528" s="12"/>
      <c r="J528" s="12"/>
      <c r="K528" s="12"/>
      <c r="L528" s="19"/>
      <c r="M528" s="19"/>
      <c r="N528" s="19"/>
      <c r="O528" s="19"/>
      <c r="P528" s="19"/>
      <c r="Q528" s="12"/>
      <c r="R528" s="12"/>
      <c r="S528" s="12"/>
      <c r="T528" s="12"/>
      <c r="U528" s="19"/>
      <c r="V528" s="12"/>
      <c r="W528" s="12"/>
      <c r="X528" s="12"/>
      <c r="Y528" s="12"/>
      <c r="Z528" s="12"/>
    </row>
    <row r="529">
      <c r="A529" s="18"/>
      <c r="B529" s="12"/>
      <c r="C529" s="12"/>
      <c r="D529" s="12"/>
      <c r="E529" s="12"/>
      <c r="F529" s="12"/>
      <c r="G529" s="12"/>
      <c r="H529" s="12"/>
      <c r="I529" s="12"/>
      <c r="J529" s="12"/>
      <c r="K529" s="12"/>
      <c r="L529" s="19"/>
      <c r="M529" s="19"/>
      <c r="N529" s="19"/>
      <c r="O529" s="19"/>
      <c r="P529" s="19"/>
      <c r="Q529" s="12"/>
      <c r="R529" s="12"/>
      <c r="S529" s="12"/>
      <c r="T529" s="12"/>
      <c r="U529" s="19"/>
      <c r="V529" s="12"/>
      <c r="W529" s="12"/>
      <c r="X529" s="12"/>
      <c r="Y529" s="12"/>
      <c r="Z529" s="12"/>
    </row>
    <row r="530">
      <c r="A530" s="18"/>
      <c r="B530" s="12"/>
      <c r="C530" s="12"/>
      <c r="D530" s="12"/>
      <c r="E530" s="12"/>
      <c r="F530" s="12"/>
      <c r="G530" s="12"/>
      <c r="H530" s="12"/>
      <c r="I530" s="12"/>
      <c r="J530" s="12"/>
      <c r="K530" s="12"/>
      <c r="L530" s="19"/>
      <c r="M530" s="19"/>
      <c r="N530" s="19"/>
      <c r="O530" s="19"/>
      <c r="P530" s="19"/>
      <c r="Q530" s="12"/>
      <c r="R530" s="12"/>
      <c r="S530" s="12"/>
      <c r="T530" s="12"/>
      <c r="U530" s="19"/>
      <c r="V530" s="12"/>
      <c r="W530" s="12"/>
      <c r="X530" s="12"/>
      <c r="Y530" s="12"/>
      <c r="Z530" s="12"/>
    </row>
    <row r="531">
      <c r="A531" s="18"/>
      <c r="B531" s="12"/>
      <c r="C531" s="12"/>
      <c r="D531" s="12"/>
      <c r="E531" s="12"/>
      <c r="F531" s="12"/>
      <c r="G531" s="12"/>
      <c r="H531" s="12"/>
      <c r="I531" s="12"/>
      <c r="J531" s="12"/>
      <c r="K531" s="12"/>
      <c r="L531" s="19"/>
      <c r="M531" s="19"/>
      <c r="N531" s="19"/>
      <c r="O531" s="19"/>
      <c r="P531" s="19"/>
      <c r="Q531" s="12"/>
      <c r="R531" s="12"/>
      <c r="S531" s="12"/>
      <c r="T531" s="12"/>
      <c r="U531" s="19"/>
      <c r="V531" s="12"/>
      <c r="W531" s="12"/>
      <c r="X531" s="12"/>
      <c r="Y531" s="12"/>
      <c r="Z531" s="12"/>
    </row>
    <row r="532">
      <c r="A532" s="18"/>
      <c r="B532" s="12"/>
      <c r="C532" s="12"/>
      <c r="D532" s="12"/>
      <c r="E532" s="12"/>
      <c r="F532" s="12"/>
      <c r="G532" s="12"/>
      <c r="H532" s="12"/>
      <c r="I532" s="12"/>
      <c r="J532" s="12"/>
      <c r="K532" s="12"/>
      <c r="L532" s="19"/>
      <c r="M532" s="19"/>
      <c r="N532" s="19"/>
      <c r="O532" s="19"/>
      <c r="P532" s="19"/>
      <c r="Q532" s="12"/>
      <c r="R532" s="12"/>
      <c r="S532" s="12"/>
      <c r="T532" s="12"/>
      <c r="U532" s="19"/>
      <c r="V532" s="12"/>
      <c r="W532" s="12"/>
      <c r="X532" s="12"/>
      <c r="Y532" s="12"/>
      <c r="Z532" s="12"/>
    </row>
    <row r="533">
      <c r="A533" s="18"/>
      <c r="B533" s="12"/>
      <c r="C533" s="12"/>
      <c r="D533" s="12"/>
      <c r="E533" s="12"/>
      <c r="F533" s="12"/>
      <c r="G533" s="12"/>
      <c r="H533" s="12"/>
      <c r="I533" s="12"/>
      <c r="J533" s="12"/>
      <c r="K533" s="12"/>
      <c r="L533" s="19"/>
      <c r="M533" s="19"/>
      <c r="N533" s="19"/>
      <c r="O533" s="19"/>
      <c r="P533" s="19"/>
      <c r="Q533" s="12"/>
      <c r="R533" s="12"/>
      <c r="S533" s="12"/>
      <c r="T533" s="12"/>
      <c r="U533" s="19"/>
      <c r="V533" s="12"/>
      <c r="W533" s="12"/>
      <c r="X533" s="12"/>
      <c r="Y533" s="12"/>
      <c r="Z533" s="12"/>
    </row>
    <row r="534">
      <c r="A534" s="18"/>
      <c r="B534" s="12"/>
      <c r="C534" s="12"/>
      <c r="D534" s="12"/>
      <c r="E534" s="12"/>
      <c r="F534" s="12"/>
      <c r="G534" s="12"/>
      <c r="H534" s="12"/>
      <c r="I534" s="12"/>
      <c r="J534" s="12"/>
      <c r="K534" s="12"/>
      <c r="L534" s="19"/>
      <c r="M534" s="19"/>
      <c r="N534" s="19"/>
      <c r="O534" s="19"/>
      <c r="P534" s="19"/>
      <c r="Q534" s="12"/>
      <c r="R534" s="12"/>
      <c r="S534" s="12"/>
      <c r="T534" s="12"/>
      <c r="U534" s="19"/>
      <c r="V534" s="12"/>
      <c r="W534" s="12"/>
      <c r="X534" s="12"/>
      <c r="Y534" s="12"/>
      <c r="Z534" s="12"/>
    </row>
    <row r="535">
      <c r="A535" s="18"/>
      <c r="B535" s="12"/>
      <c r="C535" s="12"/>
      <c r="D535" s="12"/>
      <c r="E535" s="12"/>
      <c r="F535" s="12"/>
      <c r="G535" s="12"/>
      <c r="H535" s="12"/>
      <c r="I535" s="12"/>
      <c r="J535" s="12"/>
      <c r="K535" s="12"/>
      <c r="L535" s="19"/>
      <c r="M535" s="19"/>
      <c r="N535" s="19"/>
      <c r="O535" s="19"/>
      <c r="P535" s="19"/>
      <c r="Q535" s="12"/>
      <c r="R535" s="12"/>
      <c r="S535" s="12"/>
      <c r="T535" s="12"/>
      <c r="U535" s="19"/>
      <c r="V535" s="12"/>
      <c r="W535" s="12"/>
      <c r="X535" s="12"/>
      <c r="Y535" s="12"/>
      <c r="Z535" s="12"/>
    </row>
    <row r="536">
      <c r="A536" s="18"/>
      <c r="B536" s="12"/>
      <c r="C536" s="12"/>
      <c r="D536" s="12"/>
      <c r="E536" s="12"/>
      <c r="F536" s="12"/>
      <c r="G536" s="12"/>
      <c r="H536" s="12"/>
      <c r="I536" s="12"/>
      <c r="J536" s="12"/>
      <c r="K536" s="12"/>
      <c r="L536" s="19"/>
      <c r="M536" s="19"/>
      <c r="N536" s="19"/>
      <c r="O536" s="19"/>
      <c r="P536" s="19"/>
      <c r="Q536" s="12"/>
      <c r="R536" s="12"/>
      <c r="S536" s="12"/>
      <c r="T536" s="12"/>
      <c r="U536" s="19"/>
      <c r="V536" s="12"/>
      <c r="W536" s="12"/>
      <c r="X536" s="12"/>
      <c r="Y536" s="12"/>
      <c r="Z536" s="12"/>
    </row>
    <row r="537">
      <c r="A537" s="18"/>
      <c r="B537" s="12"/>
      <c r="C537" s="12"/>
      <c r="D537" s="12"/>
      <c r="E537" s="12"/>
      <c r="F537" s="12"/>
      <c r="G537" s="12"/>
      <c r="H537" s="12"/>
      <c r="I537" s="12"/>
      <c r="J537" s="12"/>
      <c r="K537" s="12"/>
      <c r="L537" s="19"/>
      <c r="M537" s="19"/>
      <c r="N537" s="19"/>
      <c r="O537" s="19"/>
      <c r="P537" s="19"/>
      <c r="Q537" s="12"/>
      <c r="R537" s="12"/>
      <c r="S537" s="12"/>
      <c r="T537" s="12"/>
      <c r="U537" s="19"/>
      <c r="V537" s="12"/>
      <c r="W537" s="12"/>
      <c r="X537" s="12"/>
      <c r="Y537" s="12"/>
      <c r="Z537" s="12"/>
    </row>
    <row r="538">
      <c r="A538" s="18"/>
      <c r="B538" s="12"/>
      <c r="C538" s="12"/>
      <c r="D538" s="12"/>
      <c r="E538" s="12"/>
      <c r="F538" s="12"/>
      <c r="G538" s="12"/>
      <c r="H538" s="12"/>
      <c r="I538" s="12"/>
      <c r="J538" s="12"/>
      <c r="K538" s="12"/>
      <c r="L538" s="19"/>
      <c r="M538" s="19"/>
      <c r="N538" s="19"/>
      <c r="O538" s="19"/>
      <c r="P538" s="19"/>
      <c r="Q538" s="12"/>
      <c r="R538" s="12"/>
      <c r="S538" s="12"/>
      <c r="T538" s="12"/>
      <c r="U538" s="19"/>
      <c r="V538" s="12"/>
      <c r="W538" s="12"/>
      <c r="X538" s="12"/>
      <c r="Y538" s="12"/>
      <c r="Z538" s="12"/>
    </row>
    <row r="539">
      <c r="A539" s="18"/>
      <c r="B539" s="12"/>
      <c r="C539" s="12"/>
      <c r="D539" s="12"/>
      <c r="E539" s="12"/>
      <c r="F539" s="12"/>
      <c r="G539" s="12"/>
      <c r="H539" s="12"/>
      <c r="I539" s="12"/>
      <c r="J539" s="12"/>
      <c r="K539" s="12"/>
      <c r="L539" s="19"/>
      <c r="M539" s="19"/>
      <c r="N539" s="19"/>
      <c r="O539" s="19"/>
      <c r="P539" s="19"/>
      <c r="Q539" s="12"/>
      <c r="R539" s="12"/>
      <c r="S539" s="12"/>
      <c r="T539" s="12"/>
      <c r="U539" s="19"/>
      <c r="V539" s="12"/>
      <c r="W539" s="12"/>
      <c r="X539" s="12"/>
      <c r="Y539" s="12"/>
      <c r="Z539" s="12"/>
    </row>
    <row r="540">
      <c r="A540" s="18"/>
      <c r="B540" s="12"/>
      <c r="C540" s="12"/>
      <c r="D540" s="12"/>
      <c r="E540" s="12"/>
      <c r="F540" s="12"/>
      <c r="G540" s="12"/>
      <c r="H540" s="12"/>
      <c r="I540" s="12"/>
      <c r="J540" s="12"/>
      <c r="K540" s="12"/>
      <c r="L540" s="19"/>
      <c r="M540" s="19"/>
      <c r="N540" s="19"/>
      <c r="O540" s="19"/>
      <c r="P540" s="19"/>
      <c r="Q540" s="12"/>
      <c r="R540" s="12"/>
      <c r="S540" s="12"/>
      <c r="T540" s="12"/>
      <c r="U540" s="19"/>
      <c r="V540" s="12"/>
      <c r="W540" s="12"/>
      <c r="X540" s="12"/>
      <c r="Y540" s="12"/>
      <c r="Z540" s="12"/>
    </row>
    <row r="541">
      <c r="A541" s="18"/>
      <c r="B541" s="12"/>
      <c r="C541" s="12"/>
      <c r="D541" s="12"/>
      <c r="E541" s="12"/>
      <c r="F541" s="12"/>
      <c r="G541" s="12"/>
      <c r="H541" s="12"/>
      <c r="I541" s="12"/>
      <c r="J541" s="12"/>
      <c r="K541" s="12"/>
      <c r="L541" s="19"/>
      <c r="M541" s="19"/>
      <c r="N541" s="19"/>
      <c r="O541" s="19"/>
      <c r="P541" s="19"/>
      <c r="Q541" s="12"/>
      <c r="R541" s="12"/>
      <c r="S541" s="12"/>
      <c r="T541" s="12"/>
      <c r="U541" s="19"/>
      <c r="V541" s="12"/>
      <c r="W541" s="12"/>
      <c r="X541" s="12"/>
      <c r="Y541" s="12"/>
      <c r="Z541" s="12"/>
    </row>
    <row r="542">
      <c r="A542" s="18"/>
      <c r="B542" s="12"/>
      <c r="C542" s="12"/>
      <c r="D542" s="12"/>
      <c r="E542" s="12"/>
      <c r="F542" s="12"/>
      <c r="G542" s="12"/>
      <c r="H542" s="12"/>
      <c r="I542" s="12"/>
      <c r="J542" s="12"/>
      <c r="K542" s="12"/>
      <c r="L542" s="19"/>
      <c r="M542" s="19"/>
      <c r="N542" s="19"/>
      <c r="O542" s="19"/>
      <c r="P542" s="19"/>
      <c r="Q542" s="12"/>
      <c r="R542" s="12"/>
      <c r="S542" s="12"/>
      <c r="T542" s="12"/>
      <c r="U542" s="19"/>
      <c r="V542" s="12"/>
      <c r="W542" s="12"/>
      <c r="X542" s="12"/>
      <c r="Y542" s="12"/>
      <c r="Z542" s="12"/>
    </row>
    <row r="543">
      <c r="A543" s="18"/>
      <c r="B543" s="12"/>
      <c r="C543" s="12"/>
      <c r="D543" s="12"/>
      <c r="E543" s="12"/>
      <c r="F543" s="12"/>
      <c r="G543" s="12"/>
      <c r="H543" s="12"/>
      <c r="I543" s="12"/>
      <c r="J543" s="12"/>
      <c r="K543" s="12"/>
      <c r="L543" s="19"/>
      <c r="M543" s="19"/>
      <c r="N543" s="19"/>
      <c r="O543" s="19"/>
      <c r="P543" s="19"/>
      <c r="Q543" s="12"/>
      <c r="R543" s="12"/>
      <c r="S543" s="12"/>
      <c r="T543" s="12"/>
      <c r="U543" s="19"/>
      <c r="V543" s="12"/>
      <c r="W543" s="12"/>
      <c r="X543" s="12"/>
      <c r="Y543" s="12"/>
      <c r="Z543" s="12"/>
    </row>
    <row r="544">
      <c r="A544" s="18"/>
      <c r="B544" s="12"/>
      <c r="C544" s="12"/>
      <c r="D544" s="12"/>
      <c r="E544" s="12"/>
      <c r="F544" s="12"/>
      <c r="G544" s="12"/>
      <c r="H544" s="12"/>
      <c r="I544" s="12"/>
      <c r="J544" s="12"/>
      <c r="K544" s="12"/>
      <c r="L544" s="19"/>
      <c r="M544" s="19"/>
      <c r="N544" s="19"/>
      <c r="O544" s="19"/>
      <c r="P544" s="19"/>
      <c r="Q544" s="12"/>
      <c r="R544" s="12"/>
      <c r="S544" s="12"/>
      <c r="T544" s="12"/>
      <c r="U544" s="19"/>
      <c r="V544" s="12"/>
      <c r="W544" s="12"/>
      <c r="X544" s="12"/>
      <c r="Y544" s="12"/>
      <c r="Z544" s="12"/>
    </row>
    <row r="545">
      <c r="A545" s="18"/>
      <c r="B545" s="12"/>
      <c r="C545" s="12"/>
      <c r="D545" s="12"/>
      <c r="E545" s="12"/>
      <c r="F545" s="12"/>
      <c r="G545" s="12"/>
      <c r="H545" s="12"/>
      <c r="I545" s="12"/>
      <c r="J545" s="12"/>
      <c r="K545" s="12"/>
      <c r="L545" s="19"/>
      <c r="M545" s="19"/>
      <c r="N545" s="19"/>
      <c r="O545" s="19"/>
      <c r="P545" s="19"/>
      <c r="Q545" s="12"/>
      <c r="R545" s="12"/>
      <c r="S545" s="12"/>
      <c r="T545" s="12"/>
      <c r="U545" s="19"/>
      <c r="V545" s="12"/>
      <c r="W545" s="12"/>
      <c r="X545" s="12"/>
      <c r="Y545" s="12"/>
      <c r="Z545" s="12"/>
    </row>
    <row r="546">
      <c r="A546" s="18"/>
      <c r="B546" s="12"/>
      <c r="C546" s="12"/>
      <c r="D546" s="12"/>
      <c r="E546" s="12"/>
      <c r="F546" s="12"/>
      <c r="G546" s="12"/>
      <c r="H546" s="12"/>
      <c r="I546" s="12"/>
      <c r="J546" s="12"/>
      <c r="K546" s="12"/>
      <c r="L546" s="19"/>
      <c r="M546" s="19"/>
      <c r="N546" s="19"/>
      <c r="O546" s="19"/>
      <c r="P546" s="19"/>
      <c r="Q546" s="12"/>
      <c r="R546" s="12"/>
      <c r="S546" s="12"/>
      <c r="T546" s="12"/>
      <c r="U546" s="19"/>
      <c r="V546" s="12"/>
      <c r="W546" s="12"/>
      <c r="X546" s="12"/>
      <c r="Y546" s="12"/>
      <c r="Z546" s="12"/>
    </row>
    <row r="547">
      <c r="A547" s="18"/>
      <c r="B547" s="12"/>
      <c r="C547" s="12"/>
      <c r="D547" s="12"/>
      <c r="E547" s="12"/>
      <c r="F547" s="12"/>
      <c r="G547" s="12"/>
      <c r="H547" s="12"/>
      <c r="I547" s="12"/>
      <c r="J547" s="12"/>
      <c r="K547" s="12"/>
      <c r="L547" s="19"/>
      <c r="M547" s="19"/>
      <c r="N547" s="19"/>
      <c r="O547" s="19"/>
      <c r="P547" s="19"/>
      <c r="Q547" s="12"/>
      <c r="R547" s="12"/>
      <c r="S547" s="12"/>
      <c r="T547" s="12"/>
      <c r="U547" s="19"/>
      <c r="V547" s="12"/>
      <c r="W547" s="12"/>
      <c r="X547" s="12"/>
      <c r="Y547" s="12"/>
      <c r="Z547" s="12"/>
    </row>
    <row r="548">
      <c r="A548" s="18"/>
      <c r="B548" s="12"/>
      <c r="C548" s="12"/>
      <c r="D548" s="12"/>
      <c r="E548" s="12"/>
      <c r="F548" s="12"/>
      <c r="G548" s="12"/>
      <c r="H548" s="12"/>
      <c r="I548" s="12"/>
      <c r="J548" s="12"/>
      <c r="K548" s="12"/>
      <c r="L548" s="19"/>
      <c r="M548" s="19"/>
      <c r="N548" s="19"/>
      <c r="O548" s="19"/>
      <c r="P548" s="19"/>
      <c r="Q548" s="12"/>
      <c r="R548" s="12"/>
      <c r="S548" s="12"/>
      <c r="T548" s="12"/>
      <c r="U548" s="19"/>
      <c r="V548" s="12"/>
      <c r="W548" s="12"/>
      <c r="X548" s="12"/>
      <c r="Y548" s="12"/>
      <c r="Z548" s="12"/>
    </row>
    <row r="549">
      <c r="A549" s="18"/>
      <c r="B549" s="12"/>
      <c r="C549" s="12"/>
      <c r="D549" s="12"/>
      <c r="E549" s="12"/>
      <c r="F549" s="12"/>
      <c r="G549" s="12"/>
      <c r="H549" s="12"/>
      <c r="I549" s="12"/>
      <c r="J549" s="12"/>
      <c r="K549" s="12"/>
      <c r="L549" s="19"/>
      <c r="M549" s="19"/>
      <c r="N549" s="19"/>
      <c r="O549" s="19"/>
      <c r="P549" s="19"/>
      <c r="Q549" s="12"/>
      <c r="R549" s="12"/>
      <c r="S549" s="12"/>
      <c r="T549" s="12"/>
      <c r="U549" s="19"/>
      <c r="V549" s="12"/>
      <c r="W549" s="12"/>
      <c r="X549" s="12"/>
      <c r="Y549" s="12"/>
      <c r="Z549" s="12"/>
    </row>
    <row r="550">
      <c r="A550" s="18"/>
      <c r="B550" s="12"/>
      <c r="C550" s="12"/>
      <c r="D550" s="12"/>
      <c r="E550" s="12"/>
      <c r="F550" s="12"/>
      <c r="G550" s="12"/>
      <c r="H550" s="12"/>
      <c r="I550" s="12"/>
      <c r="J550" s="12"/>
      <c r="K550" s="12"/>
      <c r="L550" s="19"/>
      <c r="M550" s="19"/>
      <c r="N550" s="19"/>
      <c r="O550" s="19"/>
      <c r="P550" s="19"/>
      <c r="Q550" s="12"/>
      <c r="R550" s="12"/>
      <c r="S550" s="12"/>
      <c r="T550" s="12"/>
      <c r="U550" s="19"/>
      <c r="V550" s="12"/>
      <c r="W550" s="12"/>
      <c r="X550" s="12"/>
      <c r="Y550" s="12"/>
      <c r="Z550" s="12"/>
    </row>
    <row r="551">
      <c r="A551" s="18"/>
      <c r="B551" s="12"/>
      <c r="C551" s="12"/>
      <c r="D551" s="12"/>
      <c r="E551" s="12"/>
      <c r="F551" s="12"/>
      <c r="G551" s="12"/>
      <c r="H551" s="12"/>
      <c r="I551" s="12"/>
      <c r="J551" s="12"/>
      <c r="K551" s="12"/>
      <c r="L551" s="19"/>
      <c r="M551" s="19"/>
      <c r="N551" s="19"/>
      <c r="O551" s="19"/>
      <c r="P551" s="19"/>
      <c r="Q551" s="12"/>
      <c r="R551" s="12"/>
      <c r="S551" s="12"/>
      <c r="T551" s="12"/>
      <c r="U551" s="19"/>
      <c r="V551" s="12"/>
      <c r="W551" s="12"/>
      <c r="X551" s="12"/>
      <c r="Y551" s="12"/>
      <c r="Z551" s="12"/>
    </row>
    <row r="552">
      <c r="A552" s="18"/>
      <c r="B552" s="12"/>
      <c r="C552" s="12"/>
      <c r="D552" s="12"/>
      <c r="E552" s="12"/>
      <c r="F552" s="12"/>
      <c r="G552" s="12"/>
      <c r="H552" s="12"/>
      <c r="I552" s="12"/>
      <c r="J552" s="12"/>
      <c r="K552" s="12"/>
      <c r="L552" s="19"/>
      <c r="M552" s="19"/>
      <c r="N552" s="19"/>
      <c r="O552" s="19"/>
      <c r="P552" s="19"/>
      <c r="Q552" s="12"/>
      <c r="R552" s="12"/>
      <c r="S552" s="12"/>
      <c r="T552" s="12"/>
      <c r="U552" s="19"/>
      <c r="V552" s="12"/>
      <c r="W552" s="12"/>
      <c r="X552" s="12"/>
      <c r="Y552" s="12"/>
      <c r="Z552" s="12"/>
    </row>
    <row r="553">
      <c r="A553" s="18"/>
      <c r="B553" s="12"/>
      <c r="C553" s="12"/>
      <c r="D553" s="12"/>
      <c r="E553" s="12"/>
      <c r="F553" s="12"/>
      <c r="G553" s="12"/>
      <c r="H553" s="12"/>
      <c r="I553" s="12"/>
      <c r="J553" s="12"/>
      <c r="K553" s="12"/>
      <c r="L553" s="19"/>
      <c r="M553" s="19"/>
      <c r="N553" s="19"/>
      <c r="O553" s="19"/>
      <c r="P553" s="19"/>
      <c r="Q553" s="12"/>
      <c r="R553" s="12"/>
      <c r="S553" s="12"/>
      <c r="T553" s="12"/>
      <c r="U553" s="19"/>
      <c r="V553" s="12"/>
      <c r="W553" s="12"/>
      <c r="X553" s="12"/>
      <c r="Y553" s="12"/>
      <c r="Z553" s="12"/>
    </row>
    <row r="554">
      <c r="A554" s="18"/>
      <c r="B554" s="12"/>
      <c r="C554" s="12"/>
      <c r="D554" s="12"/>
      <c r="E554" s="12"/>
      <c r="F554" s="12"/>
      <c r="G554" s="12"/>
      <c r="H554" s="12"/>
      <c r="I554" s="12"/>
      <c r="J554" s="12"/>
      <c r="K554" s="12"/>
      <c r="L554" s="19"/>
      <c r="M554" s="19"/>
      <c r="N554" s="19"/>
      <c r="O554" s="19"/>
      <c r="P554" s="19"/>
      <c r="Q554" s="12"/>
      <c r="R554" s="12"/>
      <c r="S554" s="12"/>
      <c r="T554" s="12"/>
      <c r="U554" s="19"/>
      <c r="V554" s="12"/>
      <c r="W554" s="12"/>
      <c r="X554" s="12"/>
      <c r="Y554" s="12"/>
      <c r="Z554" s="12"/>
    </row>
    <row r="555">
      <c r="A555" s="18"/>
      <c r="B555" s="12"/>
      <c r="C555" s="12"/>
      <c r="D555" s="12"/>
      <c r="E555" s="12"/>
      <c r="F555" s="12"/>
      <c r="G555" s="12"/>
      <c r="H555" s="12"/>
      <c r="I555" s="12"/>
      <c r="J555" s="12"/>
      <c r="K555" s="12"/>
      <c r="L555" s="19"/>
      <c r="M555" s="19"/>
      <c r="N555" s="19"/>
      <c r="O555" s="19"/>
      <c r="P555" s="19"/>
      <c r="Q555" s="12"/>
      <c r="R555" s="12"/>
      <c r="S555" s="12"/>
      <c r="T555" s="12"/>
      <c r="U555" s="19"/>
      <c r="V555" s="12"/>
      <c r="W555" s="12"/>
      <c r="X555" s="12"/>
      <c r="Y555" s="12"/>
      <c r="Z555" s="12"/>
    </row>
    <row r="556">
      <c r="A556" s="18"/>
      <c r="B556" s="12"/>
      <c r="C556" s="12"/>
      <c r="D556" s="12"/>
      <c r="E556" s="12"/>
      <c r="F556" s="12"/>
      <c r="G556" s="12"/>
      <c r="H556" s="12"/>
      <c r="I556" s="12"/>
      <c r="J556" s="12"/>
      <c r="K556" s="12"/>
      <c r="L556" s="19"/>
      <c r="M556" s="19"/>
      <c r="N556" s="19"/>
      <c r="O556" s="19"/>
      <c r="P556" s="19"/>
      <c r="Q556" s="12"/>
      <c r="R556" s="12"/>
      <c r="S556" s="12"/>
      <c r="T556" s="12"/>
      <c r="U556" s="19"/>
      <c r="V556" s="12"/>
      <c r="W556" s="12"/>
      <c r="X556" s="12"/>
      <c r="Y556" s="12"/>
      <c r="Z556" s="12"/>
    </row>
    <row r="557">
      <c r="A557" s="18"/>
      <c r="B557" s="12"/>
      <c r="C557" s="12"/>
      <c r="D557" s="12"/>
      <c r="E557" s="12"/>
      <c r="F557" s="12"/>
      <c r="G557" s="12"/>
      <c r="H557" s="12"/>
      <c r="I557" s="12"/>
      <c r="J557" s="12"/>
      <c r="K557" s="12"/>
      <c r="L557" s="19"/>
      <c r="M557" s="19"/>
      <c r="N557" s="19"/>
      <c r="O557" s="19"/>
      <c r="P557" s="19"/>
      <c r="Q557" s="12"/>
      <c r="R557" s="12"/>
      <c r="S557" s="12"/>
      <c r="T557" s="12"/>
      <c r="U557" s="19"/>
      <c r="V557" s="12"/>
      <c r="W557" s="12"/>
      <c r="X557" s="12"/>
      <c r="Y557" s="12"/>
      <c r="Z557" s="12"/>
    </row>
    <row r="558">
      <c r="A558" s="18"/>
      <c r="B558" s="12"/>
      <c r="C558" s="12"/>
      <c r="D558" s="12"/>
      <c r="E558" s="12"/>
      <c r="F558" s="12"/>
      <c r="G558" s="12"/>
      <c r="H558" s="12"/>
      <c r="I558" s="12"/>
      <c r="J558" s="12"/>
      <c r="K558" s="12"/>
      <c r="L558" s="19"/>
      <c r="M558" s="19"/>
      <c r="N558" s="19"/>
      <c r="O558" s="19"/>
      <c r="P558" s="19"/>
      <c r="Q558" s="12"/>
      <c r="R558" s="12"/>
      <c r="S558" s="12"/>
      <c r="T558" s="12"/>
      <c r="U558" s="19"/>
      <c r="V558" s="12"/>
      <c r="W558" s="12"/>
      <c r="X558" s="12"/>
      <c r="Y558" s="12"/>
      <c r="Z558" s="12"/>
    </row>
    <row r="559">
      <c r="A559" s="18"/>
      <c r="B559" s="12"/>
      <c r="C559" s="12"/>
      <c r="D559" s="12"/>
      <c r="E559" s="12"/>
      <c r="F559" s="12"/>
      <c r="G559" s="12"/>
      <c r="H559" s="12"/>
      <c r="I559" s="12"/>
      <c r="J559" s="12"/>
      <c r="K559" s="12"/>
      <c r="L559" s="19"/>
      <c r="M559" s="19"/>
      <c r="N559" s="19"/>
      <c r="O559" s="19"/>
      <c r="P559" s="19"/>
      <c r="Q559" s="12"/>
      <c r="R559" s="12"/>
      <c r="S559" s="12"/>
      <c r="T559" s="12"/>
      <c r="U559" s="19"/>
      <c r="V559" s="12"/>
      <c r="W559" s="12"/>
      <c r="X559" s="12"/>
      <c r="Y559" s="12"/>
      <c r="Z559" s="12"/>
    </row>
    <row r="560">
      <c r="A560" s="18"/>
      <c r="B560" s="12"/>
      <c r="C560" s="12"/>
      <c r="D560" s="12"/>
      <c r="E560" s="12"/>
      <c r="F560" s="12"/>
      <c r="G560" s="12"/>
      <c r="H560" s="12"/>
      <c r="I560" s="12"/>
      <c r="J560" s="12"/>
      <c r="K560" s="12"/>
      <c r="L560" s="19"/>
      <c r="M560" s="19"/>
      <c r="N560" s="19"/>
      <c r="O560" s="19"/>
      <c r="P560" s="19"/>
      <c r="Q560" s="12"/>
      <c r="R560" s="12"/>
      <c r="S560" s="12"/>
      <c r="T560" s="12"/>
      <c r="U560" s="19"/>
      <c r="V560" s="12"/>
      <c r="W560" s="12"/>
      <c r="X560" s="12"/>
      <c r="Y560" s="12"/>
      <c r="Z560" s="12"/>
    </row>
    <row r="561">
      <c r="A561" s="18"/>
      <c r="B561" s="12"/>
      <c r="C561" s="12"/>
      <c r="D561" s="12"/>
      <c r="E561" s="12"/>
      <c r="F561" s="12"/>
      <c r="G561" s="12"/>
      <c r="H561" s="12"/>
      <c r="I561" s="12"/>
      <c r="J561" s="12"/>
      <c r="K561" s="12"/>
      <c r="L561" s="19"/>
      <c r="M561" s="19"/>
      <c r="N561" s="19"/>
      <c r="O561" s="19"/>
      <c r="P561" s="19"/>
      <c r="Q561" s="12"/>
      <c r="R561" s="12"/>
      <c r="S561" s="12"/>
      <c r="T561" s="12"/>
      <c r="U561" s="19"/>
      <c r="V561" s="12"/>
      <c r="W561" s="12"/>
      <c r="X561" s="12"/>
      <c r="Y561" s="12"/>
      <c r="Z561" s="12"/>
    </row>
    <row r="562">
      <c r="A562" s="18"/>
      <c r="B562" s="12"/>
      <c r="C562" s="12"/>
      <c r="D562" s="12"/>
      <c r="E562" s="12"/>
      <c r="F562" s="12"/>
      <c r="G562" s="12"/>
      <c r="H562" s="12"/>
      <c r="I562" s="12"/>
      <c r="J562" s="12"/>
      <c r="K562" s="12"/>
      <c r="L562" s="19"/>
      <c r="M562" s="19"/>
      <c r="N562" s="19"/>
      <c r="O562" s="19"/>
      <c r="P562" s="19"/>
      <c r="Q562" s="12"/>
      <c r="R562" s="12"/>
      <c r="S562" s="12"/>
      <c r="T562" s="12"/>
      <c r="U562" s="19"/>
      <c r="V562" s="12"/>
      <c r="W562" s="12"/>
      <c r="X562" s="12"/>
      <c r="Y562" s="12"/>
      <c r="Z562" s="12"/>
    </row>
    <row r="563">
      <c r="A563" s="18"/>
      <c r="B563" s="12"/>
      <c r="C563" s="12"/>
      <c r="D563" s="12"/>
      <c r="E563" s="12"/>
      <c r="F563" s="12"/>
      <c r="G563" s="12"/>
      <c r="H563" s="12"/>
      <c r="I563" s="12"/>
      <c r="J563" s="12"/>
      <c r="K563" s="12"/>
      <c r="L563" s="19"/>
      <c r="M563" s="19"/>
      <c r="N563" s="19"/>
      <c r="O563" s="19"/>
      <c r="P563" s="19"/>
      <c r="Q563" s="12"/>
      <c r="R563" s="12"/>
      <c r="S563" s="12"/>
      <c r="T563" s="12"/>
      <c r="U563" s="19"/>
      <c r="V563" s="12"/>
      <c r="W563" s="12"/>
      <c r="X563" s="12"/>
      <c r="Y563" s="12"/>
      <c r="Z563" s="12"/>
    </row>
    <row r="564">
      <c r="A564" s="18"/>
      <c r="B564" s="12"/>
      <c r="C564" s="12"/>
      <c r="D564" s="12"/>
      <c r="E564" s="12"/>
      <c r="F564" s="12"/>
      <c r="G564" s="12"/>
      <c r="H564" s="12"/>
      <c r="I564" s="12"/>
      <c r="J564" s="12"/>
      <c r="K564" s="12"/>
      <c r="L564" s="19"/>
      <c r="M564" s="19"/>
      <c r="N564" s="19"/>
      <c r="O564" s="19"/>
      <c r="P564" s="19"/>
      <c r="Q564" s="12"/>
      <c r="R564" s="12"/>
      <c r="S564" s="12"/>
      <c r="T564" s="12"/>
      <c r="U564" s="19"/>
      <c r="V564" s="12"/>
      <c r="W564" s="12"/>
      <c r="X564" s="12"/>
      <c r="Y564" s="12"/>
      <c r="Z564" s="12"/>
    </row>
    <row r="565">
      <c r="A565" s="18"/>
      <c r="B565" s="12"/>
      <c r="C565" s="12"/>
      <c r="D565" s="12"/>
      <c r="E565" s="12"/>
      <c r="F565" s="12"/>
      <c r="G565" s="12"/>
      <c r="H565" s="12"/>
      <c r="I565" s="12"/>
      <c r="J565" s="12"/>
      <c r="K565" s="12"/>
      <c r="L565" s="19"/>
      <c r="M565" s="19"/>
      <c r="N565" s="19"/>
      <c r="O565" s="19"/>
      <c r="P565" s="19"/>
      <c r="Q565" s="12"/>
      <c r="R565" s="12"/>
      <c r="S565" s="12"/>
      <c r="T565" s="12"/>
      <c r="U565" s="19"/>
      <c r="V565" s="12"/>
      <c r="W565" s="12"/>
      <c r="X565" s="12"/>
      <c r="Y565" s="12"/>
      <c r="Z565" s="12"/>
    </row>
    <row r="566">
      <c r="A566" s="18"/>
      <c r="B566" s="12"/>
      <c r="C566" s="12"/>
      <c r="D566" s="12"/>
      <c r="E566" s="12"/>
      <c r="F566" s="12"/>
      <c r="G566" s="12"/>
      <c r="H566" s="12"/>
      <c r="I566" s="12"/>
      <c r="J566" s="12"/>
      <c r="K566" s="12"/>
      <c r="L566" s="19"/>
      <c r="M566" s="19"/>
      <c r="N566" s="19"/>
      <c r="O566" s="19"/>
      <c r="P566" s="19"/>
      <c r="Q566" s="12"/>
      <c r="R566" s="12"/>
      <c r="S566" s="12"/>
      <c r="T566" s="12"/>
      <c r="U566" s="19"/>
      <c r="V566" s="12"/>
      <c r="W566" s="12"/>
      <c r="X566" s="12"/>
      <c r="Y566" s="12"/>
      <c r="Z566" s="12"/>
    </row>
    <row r="567">
      <c r="A567" s="18"/>
      <c r="B567" s="12"/>
      <c r="C567" s="12"/>
      <c r="D567" s="12"/>
      <c r="E567" s="12"/>
      <c r="F567" s="12"/>
      <c r="G567" s="12"/>
      <c r="H567" s="12"/>
      <c r="I567" s="12"/>
      <c r="J567" s="12"/>
      <c r="K567" s="12"/>
      <c r="L567" s="19"/>
      <c r="M567" s="19"/>
      <c r="N567" s="19"/>
      <c r="O567" s="19"/>
      <c r="P567" s="19"/>
      <c r="Q567" s="12"/>
      <c r="R567" s="12"/>
      <c r="S567" s="12"/>
      <c r="T567" s="12"/>
      <c r="U567" s="19"/>
      <c r="V567" s="12"/>
      <c r="W567" s="12"/>
      <c r="X567" s="12"/>
      <c r="Y567" s="12"/>
      <c r="Z567" s="12"/>
    </row>
    <row r="568">
      <c r="A568" s="18"/>
      <c r="B568" s="12"/>
      <c r="C568" s="12"/>
      <c r="D568" s="12"/>
      <c r="E568" s="12"/>
      <c r="F568" s="12"/>
      <c r="G568" s="12"/>
      <c r="H568" s="12"/>
      <c r="I568" s="12"/>
      <c r="J568" s="12"/>
      <c r="K568" s="12"/>
      <c r="L568" s="19"/>
      <c r="M568" s="19"/>
      <c r="N568" s="19"/>
      <c r="O568" s="19"/>
      <c r="P568" s="19"/>
      <c r="Q568" s="12"/>
      <c r="R568" s="12"/>
      <c r="S568" s="12"/>
      <c r="T568" s="12"/>
      <c r="U568" s="19"/>
      <c r="V568" s="12"/>
      <c r="W568" s="12"/>
      <c r="X568" s="12"/>
      <c r="Y568" s="12"/>
      <c r="Z568" s="12"/>
    </row>
    <row r="569">
      <c r="A569" s="18"/>
      <c r="B569" s="12"/>
      <c r="C569" s="12"/>
      <c r="D569" s="12"/>
      <c r="E569" s="12"/>
      <c r="F569" s="12"/>
      <c r="G569" s="12"/>
      <c r="H569" s="12"/>
      <c r="I569" s="12"/>
      <c r="J569" s="12"/>
      <c r="K569" s="12"/>
      <c r="L569" s="19"/>
      <c r="M569" s="19"/>
      <c r="N569" s="19"/>
      <c r="O569" s="19"/>
      <c r="P569" s="19"/>
      <c r="Q569" s="12"/>
      <c r="R569" s="12"/>
      <c r="S569" s="12"/>
      <c r="T569" s="12"/>
      <c r="U569" s="19"/>
      <c r="V569" s="12"/>
      <c r="W569" s="12"/>
      <c r="X569" s="12"/>
      <c r="Y569" s="12"/>
      <c r="Z569" s="12"/>
    </row>
    <row r="570">
      <c r="A570" s="18"/>
      <c r="B570" s="12"/>
      <c r="C570" s="12"/>
      <c r="D570" s="12"/>
      <c r="E570" s="12"/>
      <c r="F570" s="12"/>
      <c r="G570" s="12"/>
      <c r="H570" s="12"/>
      <c r="I570" s="12"/>
      <c r="J570" s="12"/>
      <c r="K570" s="12"/>
      <c r="L570" s="19"/>
      <c r="M570" s="19"/>
      <c r="N570" s="19"/>
      <c r="O570" s="19"/>
      <c r="P570" s="19"/>
      <c r="Q570" s="12"/>
      <c r="R570" s="12"/>
      <c r="S570" s="12"/>
      <c r="T570" s="12"/>
      <c r="U570" s="19"/>
      <c r="V570" s="12"/>
      <c r="W570" s="12"/>
      <c r="X570" s="12"/>
      <c r="Y570" s="12"/>
      <c r="Z570" s="12"/>
    </row>
    <row r="571">
      <c r="A571" s="18"/>
      <c r="B571" s="12"/>
      <c r="C571" s="12"/>
      <c r="D571" s="12"/>
      <c r="E571" s="12"/>
      <c r="F571" s="12"/>
      <c r="G571" s="12"/>
      <c r="H571" s="12"/>
      <c r="I571" s="12"/>
      <c r="J571" s="12"/>
      <c r="K571" s="12"/>
      <c r="L571" s="19"/>
      <c r="M571" s="19"/>
      <c r="N571" s="19"/>
      <c r="O571" s="19"/>
      <c r="P571" s="19"/>
      <c r="Q571" s="12"/>
      <c r="R571" s="12"/>
      <c r="S571" s="12"/>
      <c r="T571" s="12"/>
      <c r="U571" s="19"/>
      <c r="V571" s="12"/>
      <c r="W571" s="12"/>
      <c r="X571" s="12"/>
      <c r="Y571" s="12"/>
      <c r="Z571" s="12"/>
    </row>
    <row r="572">
      <c r="A572" s="18"/>
      <c r="B572" s="12"/>
      <c r="C572" s="12"/>
      <c r="D572" s="12"/>
      <c r="E572" s="12"/>
      <c r="F572" s="12"/>
      <c r="G572" s="12"/>
      <c r="H572" s="12"/>
      <c r="I572" s="12"/>
      <c r="J572" s="12"/>
      <c r="K572" s="12"/>
      <c r="L572" s="19"/>
      <c r="M572" s="19"/>
      <c r="N572" s="19"/>
      <c r="O572" s="19"/>
      <c r="P572" s="19"/>
      <c r="Q572" s="12"/>
      <c r="R572" s="12"/>
      <c r="S572" s="12"/>
      <c r="T572" s="12"/>
      <c r="U572" s="19"/>
      <c r="V572" s="12"/>
      <c r="W572" s="12"/>
      <c r="X572" s="12"/>
      <c r="Y572" s="12"/>
      <c r="Z572" s="12"/>
    </row>
    <row r="573">
      <c r="A573" s="18"/>
      <c r="B573" s="12"/>
      <c r="C573" s="12"/>
      <c r="D573" s="12"/>
      <c r="E573" s="12"/>
      <c r="F573" s="12"/>
      <c r="G573" s="12"/>
      <c r="H573" s="12"/>
      <c r="I573" s="12"/>
      <c r="J573" s="12"/>
      <c r="K573" s="12"/>
      <c r="L573" s="19"/>
      <c r="M573" s="19"/>
      <c r="N573" s="19"/>
      <c r="O573" s="19"/>
      <c r="P573" s="19"/>
      <c r="Q573" s="12"/>
      <c r="R573" s="12"/>
      <c r="S573" s="12"/>
      <c r="T573" s="12"/>
      <c r="U573" s="19"/>
      <c r="V573" s="12"/>
      <c r="W573" s="12"/>
      <c r="X573" s="12"/>
      <c r="Y573" s="12"/>
      <c r="Z573" s="12"/>
    </row>
    <row r="574">
      <c r="A574" s="18"/>
      <c r="B574" s="12"/>
      <c r="C574" s="12"/>
      <c r="D574" s="12"/>
      <c r="E574" s="12"/>
      <c r="F574" s="12"/>
      <c r="G574" s="12"/>
      <c r="H574" s="12"/>
      <c r="I574" s="12"/>
      <c r="J574" s="12"/>
      <c r="K574" s="12"/>
      <c r="L574" s="19"/>
      <c r="M574" s="19"/>
      <c r="N574" s="19"/>
      <c r="O574" s="19"/>
      <c r="P574" s="19"/>
      <c r="Q574" s="12"/>
      <c r="R574" s="12"/>
      <c r="S574" s="12"/>
      <c r="T574" s="12"/>
      <c r="U574" s="19"/>
      <c r="V574" s="12"/>
      <c r="W574" s="12"/>
      <c r="X574" s="12"/>
      <c r="Y574" s="12"/>
      <c r="Z574" s="12"/>
    </row>
    <row r="575">
      <c r="A575" s="18"/>
      <c r="B575" s="12"/>
      <c r="C575" s="12"/>
      <c r="D575" s="12"/>
      <c r="E575" s="12"/>
      <c r="F575" s="12"/>
      <c r="G575" s="12"/>
      <c r="H575" s="12"/>
      <c r="I575" s="12"/>
      <c r="J575" s="12"/>
      <c r="K575" s="12"/>
      <c r="L575" s="19"/>
      <c r="M575" s="19"/>
      <c r="N575" s="19"/>
      <c r="O575" s="19"/>
      <c r="P575" s="19"/>
      <c r="Q575" s="12"/>
      <c r="R575" s="12"/>
      <c r="S575" s="12"/>
      <c r="T575" s="12"/>
      <c r="U575" s="19"/>
      <c r="V575" s="12"/>
      <c r="W575" s="12"/>
      <c r="X575" s="12"/>
      <c r="Y575" s="12"/>
      <c r="Z575" s="12"/>
    </row>
    <row r="576">
      <c r="A576" s="18"/>
      <c r="B576" s="12"/>
      <c r="C576" s="12"/>
      <c r="D576" s="12"/>
      <c r="E576" s="12"/>
      <c r="F576" s="12"/>
      <c r="G576" s="12"/>
      <c r="H576" s="12"/>
      <c r="I576" s="12"/>
      <c r="J576" s="12"/>
      <c r="K576" s="12"/>
      <c r="L576" s="19"/>
      <c r="M576" s="19"/>
      <c r="N576" s="19"/>
      <c r="O576" s="19"/>
      <c r="P576" s="19"/>
      <c r="Q576" s="12"/>
      <c r="R576" s="12"/>
      <c r="S576" s="12"/>
      <c r="T576" s="12"/>
      <c r="U576" s="19"/>
      <c r="V576" s="12"/>
      <c r="W576" s="12"/>
      <c r="X576" s="12"/>
      <c r="Y576" s="12"/>
      <c r="Z576" s="12"/>
    </row>
    <row r="577">
      <c r="A577" s="18"/>
      <c r="B577" s="12"/>
      <c r="C577" s="12"/>
      <c r="D577" s="12"/>
      <c r="E577" s="12"/>
      <c r="F577" s="12"/>
      <c r="G577" s="12"/>
      <c r="H577" s="12"/>
      <c r="I577" s="12"/>
      <c r="J577" s="12"/>
      <c r="K577" s="12"/>
      <c r="L577" s="19"/>
      <c r="M577" s="19"/>
      <c r="N577" s="19"/>
      <c r="O577" s="19"/>
      <c r="P577" s="19"/>
      <c r="Q577" s="12"/>
      <c r="R577" s="12"/>
      <c r="S577" s="12"/>
      <c r="T577" s="12"/>
      <c r="U577" s="19"/>
      <c r="V577" s="12"/>
      <c r="W577" s="12"/>
      <c r="X577" s="12"/>
      <c r="Y577" s="12"/>
      <c r="Z577" s="12"/>
    </row>
    <row r="578">
      <c r="A578" s="18"/>
      <c r="B578" s="12"/>
      <c r="C578" s="12"/>
      <c r="D578" s="12"/>
      <c r="E578" s="12"/>
      <c r="F578" s="12"/>
      <c r="G578" s="12"/>
      <c r="H578" s="12"/>
      <c r="I578" s="12"/>
      <c r="J578" s="12"/>
      <c r="K578" s="12"/>
      <c r="L578" s="19"/>
      <c r="M578" s="19"/>
      <c r="N578" s="19"/>
      <c r="O578" s="19"/>
      <c r="P578" s="19"/>
      <c r="Q578" s="12"/>
      <c r="R578" s="12"/>
      <c r="S578" s="12"/>
      <c r="T578" s="12"/>
      <c r="U578" s="19"/>
      <c r="V578" s="12"/>
      <c r="W578" s="12"/>
      <c r="X578" s="12"/>
      <c r="Y578" s="12"/>
      <c r="Z578" s="12"/>
    </row>
    <row r="579">
      <c r="A579" s="18"/>
      <c r="B579" s="12"/>
      <c r="C579" s="12"/>
      <c r="D579" s="12"/>
      <c r="E579" s="12"/>
      <c r="F579" s="12"/>
      <c r="G579" s="12"/>
      <c r="H579" s="12"/>
      <c r="I579" s="12"/>
      <c r="J579" s="12"/>
      <c r="K579" s="12"/>
      <c r="L579" s="19"/>
      <c r="M579" s="19"/>
      <c r="N579" s="19"/>
      <c r="O579" s="19"/>
      <c r="P579" s="19"/>
      <c r="Q579" s="12"/>
      <c r="R579" s="12"/>
      <c r="S579" s="12"/>
      <c r="T579" s="12"/>
      <c r="U579" s="19"/>
      <c r="V579" s="12"/>
      <c r="W579" s="12"/>
      <c r="X579" s="12"/>
      <c r="Y579" s="12"/>
      <c r="Z579" s="12"/>
    </row>
    <row r="580">
      <c r="A580" s="18"/>
      <c r="B580" s="12"/>
      <c r="C580" s="12"/>
      <c r="D580" s="12"/>
      <c r="E580" s="12"/>
      <c r="F580" s="12"/>
      <c r="G580" s="12"/>
      <c r="H580" s="12"/>
      <c r="I580" s="12"/>
      <c r="J580" s="12"/>
      <c r="K580" s="12"/>
      <c r="L580" s="19"/>
      <c r="M580" s="19"/>
      <c r="N580" s="19"/>
      <c r="O580" s="19"/>
      <c r="P580" s="19"/>
      <c r="Q580" s="12"/>
      <c r="R580" s="12"/>
      <c r="S580" s="12"/>
      <c r="T580" s="12"/>
      <c r="U580" s="19"/>
      <c r="V580" s="12"/>
      <c r="W580" s="12"/>
      <c r="X580" s="12"/>
      <c r="Y580" s="12"/>
      <c r="Z580" s="12"/>
    </row>
    <row r="581">
      <c r="A581" s="18"/>
      <c r="B581" s="12"/>
      <c r="C581" s="12"/>
      <c r="D581" s="12"/>
      <c r="E581" s="12"/>
      <c r="F581" s="12"/>
      <c r="G581" s="12"/>
      <c r="H581" s="12"/>
      <c r="I581" s="12"/>
      <c r="J581" s="12"/>
      <c r="K581" s="12"/>
      <c r="L581" s="19"/>
      <c r="M581" s="19"/>
      <c r="N581" s="19"/>
      <c r="O581" s="19"/>
      <c r="P581" s="19"/>
      <c r="Q581" s="12"/>
      <c r="R581" s="12"/>
      <c r="S581" s="12"/>
      <c r="T581" s="12"/>
      <c r="U581" s="19"/>
      <c r="V581" s="12"/>
      <c r="W581" s="12"/>
      <c r="X581" s="12"/>
      <c r="Y581" s="12"/>
      <c r="Z581" s="12"/>
    </row>
    <row r="582">
      <c r="A582" s="18"/>
      <c r="B582" s="12"/>
      <c r="C582" s="12"/>
      <c r="D582" s="12"/>
      <c r="E582" s="12"/>
      <c r="F582" s="12"/>
      <c r="G582" s="12"/>
      <c r="H582" s="12"/>
      <c r="I582" s="12"/>
      <c r="J582" s="12"/>
      <c r="K582" s="12"/>
      <c r="L582" s="19"/>
      <c r="M582" s="19"/>
      <c r="N582" s="19"/>
      <c r="O582" s="19"/>
      <c r="P582" s="19"/>
      <c r="Q582" s="12"/>
      <c r="R582" s="12"/>
      <c r="S582" s="12"/>
      <c r="T582" s="12"/>
      <c r="U582" s="19"/>
      <c r="V582" s="12"/>
      <c r="W582" s="12"/>
      <c r="X582" s="12"/>
      <c r="Y582" s="12"/>
      <c r="Z582" s="12"/>
    </row>
    <row r="583">
      <c r="A583" s="18"/>
      <c r="B583" s="12"/>
      <c r="C583" s="12"/>
      <c r="D583" s="12"/>
      <c r="E583" s="12"/>
      <c r="F583" s="12"/>
      <c r="G583" s="12"/>
      <c r="H583" s="12"/>
      <c r="I583" s="12"/>
      <c r="J583" s="12"/>
      <c r="K583" s="12"/>
      <c r="L583" s="19"/>
      <c r="M583" s="19"/>
      <c r="N583" s="19"/>
      <c r="O583" s="19"/>
      <c r="P583" s="19"/>
      <c r="Q583" s="12"/>
      <c r="R583" s="12"/>
      <c r="S583" s="12"/>
      <c r="T583" s="12"/>
      <c r="U583" s="19"/>
      <c r="V583" s="12"/>
      <c r="W583" s="12"/>
      <c r="X583" s="12"/>
      <c r="Y583" s="12"/>
      <c r="Z583" s="12"/>
    </row>
    <row r="584">
      <c r="A584" s="18"/>
      <c r="B584" s="12"/>
      <c r="C584" s="12"/>
      <c r="D584" s="12"/>
      <c r="E584" s="12"/>
      <c r="F584" s="12"/>
      <c r="G584" s="12"/>
      <c r="H584" s="12"/>
      <c r="I584" s="12"/>
      <c r="J584" s="12"/>
      <c r="K584" s="12"/>
      <c r="L584" s="19"/>
      <c r="M584" s="19"/>
      <c r="N584" s="19"/>
      <c r="O584" s="19"/>
      <c r="P584" s="19"/>
      <c r="Q584" s="12"/>
      <c r="R584" s="12"/>
      <c r="S584" s="12"/>
      <c r="T584" s="12"/>
      <c r="U584" s="19"/>
      <c r="V584" s="12"/>
      <c r="W584" s="12"/>
      <c r="X584" s="12"/>
      <c r="Y584" s="12"/>
      <c r="Z584" s="12"/>
    </row>
    <row r="585">
      <c r="A585" s="18"/>
      <c r="B585" s="12"/>
      <c r="C585" s="12"/>
      <c r="D585" s="12"/>
      <c r="E585" s="12"/>
      <c r="F585" s="12"/>
      <c r="G585" s="12"/>
      <c r="H585" s="12"/>
      <c r="I585" s="12"/>
      <c r="J585" s="12"/>
      <c r="K585" s="12"/>
      <c r="L585" s="19"/>
      <c r="M585" s="19"/>
      <c r="N585" s="19"/>
      <c r="O585" s="19"/>
      <c r="P585" s="19"/>
      <c r="Q585" s="12"/>
      <c r="R585" s="12"/>
      <c r="S585" s="12"/>
      <c r="T585" s="12"/>
      <c r="U585" s="19"/>
      <c r="V585" s="12"/>
      <c r="W585" s="12"/>
      <c r="X585" s="12"/>
      <c r="Y585" s="12"/>
      <c r="Z585" s="12"/>
    </row>
    <row r="586">
      <c r="A586" s="18"/>
      <c r="B586" s="12"/>
      <c r="C586" s="12"/>
      <c r="D586" s="12"/>
      <c r="E586" s="12"/>
      <c r="F586" s="12"/>
      <c r="G586" s="12"/>
      <c r="H586" s="12"/>
      <c r="I586" s="12"/>
      <c r="J586" s="12"/>
      <c r="K586" s="12"/>
      <c r="L586" s="19"/>
      <c r="M586" s="19"/>
      <c r="N586" s="19"/>
      <c r="O586" s="19"/>
      <c r="P586" s="19"/>
      <c r="Q586" s="12"/>
      <c r="R586" s="12"/>
      <c r="S586" s="12"/>
      <c r="T586" s="12"/>
      <c r="U586" s="19"/>
      <c r="V586" s="12"/>
      <c r="W586" s="12"/>
      <c r="X586" s="12"/>
      <c r="Y586" s="12"/>
      <c r="Z586" s="12"/>
    </row>
    <row r="587">
      <c r="A587" s="18"/>
      <c r="B587" s="12"/>
      <c r="C587" s="12"/>
      <c r="D587" s="12"/>
      <c r="E587" s="12"/>
      <c r="F587" s="12"/>
      <c r="G587" s="12"/>
      <c r="H587" s="12"/>
      <c r="I587" s="12"/>
      <c r="J587" s="12"/>
      <c r="K587" s="12"/>
      <c r="L587" s="19"/>
      <c r="M587" s="19"/>
      <c r="N587" s="19"/>
      <c r="O587" s="19"/>
      <c r="P587" s="19"/>
      <c r="Q587" s="12"/>
      <c r="R587" s="12"/>
      <c r="S587" s="12"/>
      <c r="T587" s="12"/>
      <c r="U587" s="19"/>
      <c r="V587" s="12"/>
      <c r="W587" s="12"/>
      <c r="X587" s="12"/>
      <c r="Y587" s="12"/>
      <c r="Z587" s="12"/>
    </row>
    <row r="588">
      <c r="A588" s="18"/>
      <c r="B588" s="12"/>
      <c r="C588" s="12"/>
      <c r="D588" s="12"/>
      <c r="E588" s="12"/>
      <c r="F588" s="12"/>
      <c r="G588" s="12"/>
      <c r="H588" s="12"/>
      <c r="I588" s="12"/>
      <c r="J588" s="12"/>
      <c r="K588" s="12"/>
      <c r="L588" s="19"/>
      <c r="M588" s="19"/>
      <c r="N588" s="19"/>
      <c r="O588" s="19"/>
      <c r="P588" s="19"/>
      <c r="Q588" s="12"/>
      <c r="R588" s="12"/>
      <c r="S588" s="12"/>
      <c r="T588" s="12"/>
      <c r="U588" s="19"/>
      <c r="V588" s="12"/>
      <c r="W588" s="12"/>
      <c r="X588" s="12"/>
      <c r="Y588" s="12"/>
      <c r="Z588" s="12"/>
    </row>
    <row r="589">
      <c r="A589" s="18"/>
      <c r="B589" s="12"/>
      <c r="C589" s="12"/>
      <c r="D589" s="12"/>
      <c r="E589" s="12"/>
      <c r="F589" s="12"/>
      <c r="G589" s="12"/>
      <c r="H589" s="12"/>
      <c r="I589" s="12"/>
      <c r="J589" s="12"/>
      <c r="K589" s="12"/>
      <c r="L589" s="19"/>
      <c r="M589" s="19"/>
      <c r="N589" s="19"/>
      <c r="O589" s="19"/>
      <c r="P589" s="19"/>
      <c r="Q589" s="12"/>
      <c r="R589" s="12"/>
      <c r="S589" s="12"/>
      <c r="T589" s="12"/>
      <c r="U589" s="19"/>
      <c r="V589" s="12"/>
      <c r="W589" s="12"/>
      <c r="X589" s="12"/>
      <c r="Y589" s="12"/>
      <c r="Z589" s="12"/>
    </row>
    <row r="590">
      <c r="A590" s="18"/>
      <c r="B590" s="12"/>
      <c r="C590" s="12"/>
      <c r="D590" s="12"/>
      <c r="E590" s="12"/>
      <c r="F590" s="12"/>
      <c r="G590" s="12"/>
      <c r="H590" s="12"/>
      <c r="I590" s="12"/>
      <c r="J590" s="12"/>
      <c r="K590" s="12"/>
      <c r="L590" s="19"/>
      <c r="M590" s="19"/>
      <c r="N590" s="19"/>
      <c r="O590" s="19"/>
      <c r="P590" s="19"/>
      <c r="Q590" s="12"/>
      <c r="R590" s="12"/>
      <c r="S590" s="12"/>
      <c r="T590" s="12"/>
      <c r="U590" s="19"/>
      <c r="V590" s="12"/>
      <c r="W590" s="12"/>
      <c r="X590" s="12"/>
      <c r="Y590" s="12"/>
      <c r="Z590" s="12"/>
    </row>
    <row r="591">
      <c r="A591" s="18"/>
      <c r="B591" s="12"/>
      <c r="C591" s="12"/>
      <c r="D591" s="12"/>
      <c r="E591" s="12"/>
      <c r="F591" s="12"/>
      <c r="G591" s="12"/>
      <c r="H591" s="12"/>
      <c r="I591" s="12"/>
      <c r="J591" s="12"/>
      <c r="K591" s="12"/>
      <c r="L591" s="19"/>
      <c r="M591" s="19"/>
      <c r="N591" s="19"/>
      <c r="O591" s="19"/>
      <c r="P591" s="19"/>
      <c r="Q591" s="12"/>
      <c r="R591" s="12"/>
      <c r="S591" s="12"/>
      <c r="T591" s="12"/>
      <c r="U591" s="19"/>
      <c r="V591" s="12"/>
      <c r="W591" s="12"/>
      <c r="X591" s="12"/>
      <c r="Y591" s="12"/>
      <c r="Z591" s="12"/>
    </row>
    <row r="592">
      <c r="A592" s="18"/>
      <c r="B592" s="12"/>
      <c r="C592" s="12"/>
      <c r="D592" s="12"/>
      <c r="E592" s="12"/>
      <c r="F592" s="12"/>
      <c r="G592" s="12"/>
      <c r="H592" s="12"/>
      <c r="I592" s="12"/>
      <c r="J592" s="12"/>
      <c r="K592" s="12"/>
      <c r="L592" s="19"/>
      <c r="M592" s="19"/>
      <c r="N592" s="19"/>
      <c r="O592" s="19"/>
      <c r="P592" s="19"/>
      <c r="Q592" s="12"/>
      <c r="R592" s="12"/>
      <c r="S592" s="12"/>
      <c r="T592" s="12"/>
      <c r="U592" s="19"/>
      <c r="V592" s="12"/>
      <c r="W592" s="12"/>
      <c r="X592" s="12"/>
      <c r="Y592" s="12"/>
      <c r="Z592" s="12"/>
    </row>
    <row r="593">
      <c r="A593" s="18"/>
      <c r="B593" s="12"/>
      <c r="C593" s="12"/>
      <c r="D593" s="12"/>
      <c r="E593" s="12"/>
      <c r="F593" s="12"/>
      <c r="G593" s="12"/>
      <c r="H593" s="12"/>
      <c r="I593" s="12"/>
      <c r="J593" s="12"/>
      <c r="K593" s="12"/>
      <c r="L593" s="19"/>
      <c r="M593" s="19"/>
      <c r="N593" s="19"/>
      <c r="O593" s="19"/>
      <c r="P593" s="19"/>
      <c r="Q593" s="12"/>
      <c r="R593" s="12"/>
      <c r="S593" s="12"/>
      <c r="T593" s="12"/>
      <c r="U593" s="19"/>
      <c r="V593" s="12"/>
      <c r="W593" s="12"/>
      <c r="X593" s="12"/>
      <c r="Y593" s="12"/>
      <c r="Z593" s="12"/>
    </row>
    <row r="594">
      <c r="A594" s="18"/>
      <c r="B594" s="12"/>
      <c r="C594" s="12"/>
      <c r="D594" s="12"/>
      <c r="E594" s="12"/>
      <c r="F594" s="12"/>
      <c r="G594" s="12"/>
      <c r="H594" s="12"/>
      <c r="I594" s="12"/>
      <c r="J594" s="12"/>
      <c r="K594" s="12"/>
      <c r="L594" s="19"/>
      <c r="M594" s="19"/>
      <c r="N594" s="19"/>
      <c r="O594" s="19"/>
      <c r="P594" s="19"/>
      <c r="Q594" s="12"/>
      <c r="R594" s="12"/>
      <c r="S594" s="12"/>
      <c r="T594" s="12"/>
      <c r="U594" s="19"/>
      <c r="V594" s="12"/>
      <c r="W594" s="12"/>
      <c r="X594" s="12"/>
      <c r="Y594" s="12"/>
      <c r="Z594" s="12"/>
    </row>
    <row r="595">
      <c r="A595" s="18"/>
      <c r="B595" s="12"/>
      <c r="C595" s="12"/>
      <c r="D595" s="12"/>
      <c r="E595" s="12"/>
      <c r="F595" s="12"/>
      <c r="G595" s="12"/>
      <c r="H595" s="12"/>
      <c r="I595" s="12"/>
      <c r="J595" s="12"/>
      <c r="K595" s="12"/>
      <c r="L595" s="19"/>
      <c r="M595" s="19"/>
      <c r="N595" s="19"/>
      <c r="O595" s="19"/>
      <c r="P595" s="19"/>
      <c r="Q595" s="12"/>
      <c r="R595" s="12"/>
      <c r="S595" s="12"/>
      <c r="T595" s="12"/>
      <c r="U595" s="19"/>
      <c r="V595" s="12"/>
      <c r="W595" s="12"/>
      <c r="X595" s="12"/>
      <c r="Y595" s="12"/>
      <c r="Z595" s="12"/>
    </row>
    <row r="596">
      <c r="A596" s="18"/>
      <c r="B596" s="12"/>
      <c r="C596" s="12"/>
      <c r="D596" s="12"/>
      <c r="E596" s="12"/>
      <c r="F596" s="12"/>
      <c r="G596" s="12"/>
      <c r="H596" s="12"/>
      <c r="I596" s="12"/>
      <c r="J596" s="12"/>
      <c r="K596" s="12"/>
      <c r="L596" s="19"/>
      <c r="M596" s="19"/>
      <c r="N596" s="19"/>
      <c r="O596" s="19"/>
      <c r="P596" s="19"/>
      <c r="Q596" s="12"/>
      <c r="R596" s="12"/>
      <c r="S596" s="12"/>
      <c r="T596" s="12"/>
      <c r="U596" s="19"/>
      <c r="V596" s="12"/>
      <c r="W596" s="12"/>
      <c r="X596" s="12"/>
      <c r="Y596" s="12"/>
      <c r="Z596" s="12"/>
    </row>
    <row r="597">
      <c r="A597" s="18"/>
      <c r="B597" s="12"/>
      <c r="C597" s="12"/>
      <c r="D597" s="12"/>
      <c r="E597" s="12"/>
      <c r="F597" s="12"/>
      <c r="G597" s="12"/>
      <c r="H597" s="12"/>
      <c r="I597" s="12"/>
      <c r="J597" s="12"/>
      <c r="K597" s="12"/>
      <c r="L597" s="19"/>
      <c r="M597" s="19"/>
      <c r="N597" s="19"/>
      <c r="O597" s="19"/>
      <c r="P597" s="19"/>
      <c r="Q597" s="12"/>
      <c r="R597" s="12"/>
      <c r="S597" s="12"/>
      <c r="T597" s="12"/>
      <c r="U597" s="19"/>
      <c r="V597" s="12"/>
      <c r="W597" s="12"/>
      <c r="X597" s="12"/>
      <c r="Y597" s="12"/>
      <c r="Z597" s="12"/>
    </row>
    <row r="598">
      <c r="A598" s="18"/>
      <c r="B598" s="12"/>
      <c r="C598" s="12"/>
      <c r="D598" s="12"/>
      <c r="E598" s="12"/>
      <c r="F598" s="12"/>
      <c r="G598" s="12"/>
      <c r="H598" s="12"/>
      <c r="I598" s="12"/>
      <c r="J598" s="12"/>
      <c r="K598" s="12"/>
      <c r="L598" s="19"/>
      <c r="M598" s="19"/>
      <c r="N598" s="19"/>
      <c r="O598" s="19"/>
      <c r="P598" s="19"/>
      <c r="Q598" s="12"/>
      <c r="R598" s="12"/>
      <c r="S598" s="12"/>
      <c r="T598" s="12"/>
      <c r="U598" s="19"/>
      <c r="V598" s="12"/>
      <c r="W598" s="12"/>
      <c r="X598" s="12"/>
      <c r="Y598" s="12"/>
      <c r="Z598" s="12"/>
    </row>
    <row r="599">
      <c r="A599" s="18"/>
      <c r="B599" s="12"/>
      <c r="C599" s="12"/>
      <c r="D599" s="12"/>
      <c r="E599" s="12"/>
      <c r="F599" s="12"/>
      <c r="G599" s="12"/>
      <c r="H599" s="12"/>
      <c r="I599" s="12"/>
      <c r="J599" s="12"/>
      <c r="K599" s="12"/>
      <c r="L599" s="19"/>
      <c r="M599" s="19"/>
      <c r="N599" s="19"/>
      <c r="O599" s="19"/>
      <c r="P599" s="19"/>
      <c r="Q599" s="12"/>
      <c r="R599" s="12"/>
      <c r="S599" s="12"/>
      <c r="T599" s="12"/>
      <c r="U599" s="19"/>
      <c r="V599" s="12"/>
      <c r="W599" s="12"/>
      <c r="X599" s="12"/>
      <c r="Y599" s="12"/>
      <c r="Z599" s="12"/>
    </row>
    <row r="600">
      <c r="A600" s="18"/>
      <c r="B600" s="12"/>
      <c r="C600" s="12"/>
      <c r="D600" s="12"/>
      <c r="E600" s="12"/>
      <c r="F600" s="12"/>
      <c r="G600" s="12"/>
      <c r="H600" s="12"/>
      <c r="I600" s="12"/>
      <c r="J600" s="12"/>
      <c r="K600" s="12"/>
      <c r="L600" s="19"/>
      <c r="M600" s="19"/>
      <c r="N600" s="19"/>
      <c r="O600" s="19"/>
      <c r="P600" s="19"/>
      <c r="Q600" s="12"/>
      <c r="R600" s="12"/>
      <c r="S600" s="12"/>
      <c r="T600" s="12"/>
      <c r="U600" s="19"/>
      <c r="V600" s="12"/>
      <c r="W600" s="12"/>
      <c r="X600" s="12"/>
      <c r="Y600" s="12"/>
      <c r="Z600" s="12"/>
    </row>
    <row r="601">
      <c r="A601" s="18"/>
      <c r="B601" s="12"/>
      <c r="C601" s="12"/>
      <c r="D601" s="12"/>
      <c r="E601" s="12"/>
      <c r="F601" s="12"/>
      <c r="G601" s="12"/>
      <c r="H601" s="12"/>
      <c r="I601" s="12"/>
      <c r="J601" s="12"/>
      <c r="K601" s="12"/>
      <c r="L601" s="19"/>
      <c r="M601" s="19"/>
      <c r="N601" s="19"/>
      <c r="O601" s="19"/>
      <c r="P601" s="19"/>
      <c r="Q601" s="12"/>
      <c r="R601" s="12"/>
      <c r="S601" s="12"/>
      <c r="T601" s="12"/>
      <c r="U601" s="19"/>
      <c r="V601" s="12"/>
      <c r="W601" s="12"/>
      <c r="X601" s="12"/>
      <c r="Y601" s="12"/>
      <c r="Z601" s="12"/>
    </row>
    <row r="602">
      <c r="A602" s="18"/>
      <c r="B602" s="12"/>
      <c r="C602" s="12"/>
      <c r="D602" s="12"/>
      <c r="E602" s="12"/>
      <c r="F602" s="12"/>
      <c r="G602" s="12"/>
      <c r="H602" s="12"/>
      <c r="I602" s="12"/>
      <c r="J602" s="12"/>
      <c r="K602" s="12"/>
      <c r="L602" s="19"/>
      <c r="M602" s="19"/>
      <c r="N602" s="19"/>
      <c r="O602" s="19"/>
      <c r="P602" s="19"/>
      <c r="Q602" s="12"/>
      <c r="R602" s="12"/>
      <c r="S602" s="12"/>
      <c r="T602" s="12"/>
      <c r="U602" s="19"/>
      <c r="V602" s="12"/>
      <c r="W602" s="12"/>
      <c r="X602" s="12"/>
      <c r="Y602" s="12"/>
      <c r="Z602" s="12"/>
    </row>
    <row r="603">
      <c r="A603" s="18"/>
      <c r="B603" s="12"/>
      <c r="C603" s="12"/>
      <c r="D603" s="12"/>
      <c r="E603" s="12"/>
      <c r="F603" s="12"/>
      <c r="G603" s="12"/>
      <c r="H603" s="12"/>
      <c r="I603" s="12"/>
      <c r="J603" s="12"/>
      <c r="K603" s="12"/>
      <c r="L603" s="19"/>
      <c r="M603" s="19"/>
      <c r="N603" s="19"/>
      <c r="O603" s="19"/>
      <c r="P603" s="19"/>
      <c r="Q603" s="12"/>
      <c r="R603" s="12"/>
      <c r="S603" s="12"/>
      <c r="T603" s="12"/>
      <c r="U603" s="19"/>
      <c r="V603" s="12"/>
      <c r="W603" s="12"/>
      <c r="X603" s="12"/>
      <c r="Y603" s="12"/>
      <c r="Z603" s="12"/>
    </row>
    <row r="604">
      <c r="A604" s="18"/>
      <c r="B604" s="12"/>
      <c r="C604" s="12"/>
      <c r="D604" s="12"/>
      <c r="E604" s="12"/>
      <c r="F604" s="12"/>
      <c r="G604" s="12"/>
      <c r="H604" s="12"/>
      <c r="I604" s="12"/>
      <c r="J604" s="12"/>
      <c r="K604" s="12"/>
      <c r="L604" s="19"/>
      <c r="M604" s="19"/>
      <c r="N604" s="19"/>
      <c r="O604" s="19"/>
      <c r="P604" s="19"/>
      <c r="Q604" s="12"/>
      <c r="R604" s="12"/>
      <c r="S604" s="12"/>
      <c r="T604" s="12"/>
      <c r="U604" s="19"/>
      <c r="V604" s="12"/>
      <c r="W604" s="12"/>
      <c r="X604" s="12"/>
      <c r="Y604" s="12"/>
      <c r="Z604" s="12"/>
    </row>
    <row r="605">
      <c r="A605" s="18"/>
      <c r="B605" s="12"/>
      <c r="C605" s="12"/>
      <c r="D605" s="12"/>
      <c r="E605" s="12"/>
      <c r="F605" s="12"/>
      <c r="G605" s="12"/>
      <c r="H605" s="12"/>
      <c r="I605" s="12"/>
      <c r="J605" s="12"/>
      <c r="K605" s="12"/>
      <c r="L605" s="19"/>
      <c r="M605" s="19"/>
      <c r="N605" s="19"/>
      <c r="O605" s="19"/>
      <c r="P605" s="19"/>
      <c r="Q605" s="12"/>
      <c r="R605" s="12"/>
      <c r="S605" s="12"/>
      <c r="T605" s="12"/>
      <c r="U605" s="19"/>
      <c r="V605" s="12"/>
      <c r="W605" s="12"/>
      <c r="X605" s="12"/>
      <c r="Y605" s="12"/>
      <c r="Z605" s="12"/>
    </row>
    <row r="606">
      <c r="A606" s="18"/>
      <c r="B606" s="12"/>
      <c r="C606" s="12"/>
      <c r="D606" s="12"/>
      <c r="E606" s="12"/>
      <c r="F606" s="12"/>
      <c r="G606" s="12"/>
      <c r="H606" s="12"/>
      <c r="I606" s="12"/>
      <c r="J606" s="12"/>
      <c r="K606" s="12"/>
      <c r="L606" s="19"/>
      <c r="M606" s="19"/>
      <c r="N606" s="19"/>
      <c r="O606" s="19"/>
      <c r="P606" s="19"/>
      <c r="Q606" s="12"/>
      <c r="R606" s="12"/>
      <c r="S606" s="12"/>
      <c r="T606" s="12"/>
      <c r="U606" s="19"/>
      <c r="V606" s="12"/>
      <c r="W606" s="12"/>
      <c r="X606" s="12"/>
      <c r="Y606" s="12"/>
      <c r="Z606" s="12"/>
    </row>
    <row r="607">
      <c r="A607" s="18"/>
      <c r="B607" s="12"/>
      <c r="C607" s="12"/>
      <c r="D607" s="12"/>
      <c r="E607" s="12"/>
      <c r="F607" s="12"/>
      <c r="G607" s="12"/>
      <c r="H607" s="12"/>
      <c r="I607" s="12"/>
      <c r="J607" s="12"/>
      <c r="K607" s="12"/>
      <c r="L607" s="19"/>
      <c r="M607" s="19"/>
      <c r="N607" s="19"/>
      <c r="O607" s="19"/>
      <c r="P607" s="19"/>
      <c r="Q607" s="12"/>
      <c r="R607" s="12"/>
      <c r="S607" s="12"/>
      <c r="T607" s="12"/>
      <c r="U607" s="19"/>
      <c r="V607" s="12"/>
      <c r="W607" s="12"/>
      <c r="X607" s="12"/>
      <c r="Y607" s="12"/>
      <c r="Z607" s="12"/>
    </row>
    <row r="608">
      <c r="A608" s="18"/>
      <c r="B608" s="12"/>
      <c r="C608" s="12"/>
      <c r="D608" s="12"/>
      <c r="E608" s="12"/>
      <c r="F608" s="12"/>
      <c r="G608" s="12"/>
      <c r="H608" s="12"/>
      <c r="I608" s="12"/>
      <c r="J608" s="12"/>
      <c r="K608" s="12"/>
      <c r="L608" s="19"/>
      <c r="M608" s="19"/>
      <c r="N608" s="19"/>
      <c r="O608" s="19"/>
      <c r="P608" s="19"/>
      <c r="Q608" s="12"/>
      <c r="R608" s="12"/>
      <c r="S608" s="12"/>
      <c r="T608" s="12"/>
      <c r="U608" s="19"/>
      <c r="V608" s="12"/>
      <c r="W608" s="12"/>
      <c r="X608" s="12"/>
      <c r="Y608" s="12"/>
      <c r="Z608" s="12"/>
    </row>
    <row r="609">
      <c r="A609" s="18"/>
      <c r="B609" s="12"/>
      <c r="C609" s="12"/>
      <c r="D609" s="12"/>
      <c r="E609" s="12"/>
      <c r="F609" s="12"/>
      <c r="G609" s="12"/>
      <c r="H609" s="12"/>
      <c r="I609" s="12"/>
      <c r="J609" s="12"/>
      <c r="K609" s="12"/>
      <c r="L609" s="19"/>
      <c r="M609" s="19"/>
      <c r="N609" s="19"/>
      <c r="O609" s="19"/>
      <c r="P609" s="19"/>
      <c r="Q609" s="12"/>
      <c r="R609" s="12"/>
      <c r="S609" s="12"/>
      <c r="T609" s="12"/>
      <c r="U609" s="19"/>
      <c r="V609" s="12"/>
      <c r="W609" s="12"/>
      <c r="X609" s="12"/>
      <c r="Y609" s="12"/>
      <c r="Z609" s="12"/>
    </row>
    <row r="610">
      <c r="A610" s="18"/>
      <c r="B610" s="12"/>
      <c r="C610" s="12"/>
      <c r="D610" s="12"/>
      <c r="E610" s="12"/>
      <c r="F610" s="12"/>
      <c r="G610" s="12"/>
      <c r="H610" s="12"/>
      <c r="I610" s="12"/>
      <c r="J610" s="12"/>
      <c r="K610" s="12"/>
      <c r="L610" s="19"/>
      <c r="M610" s="19"/>
      <c r="N610" s="19"/>
      <c r="O610" s="19"/>
      <c r="P610" s="19"/>
      <c r="Q610" s="12"/>
      <c r="R610" s="12"/>
      <c r="S610" s="12"/>
      <c r="T610" s="12"/>
      <c r="U610" s="19"/>
      <c r="V610" s="12"/>
      <c r="W610" s="12"/>
      <c r="X610" s="12"/>
      <c r="Y610" s="12"/>
      <c r="Z610" s="12"/>
    </row>
    <row r="611">
      <c r="A611" s="18"/>
      <c r="B611" s="12"/>
      <c r="C611" s="12"/>
      <c r="D611" s="12"/>
      <c r="E611" s="12"/>
      <c r="F611" s="12"/>
      <c r="G611" s="12"/>
      <c r="H611" s="12"/>
      <c r="I611" s="12"/>
      <c r="J611" s="12"/>
      <c r="K611" s="12"/>
      <c r="L611" s="19"/>
      <c r="M611" s="19"/>
      <c r="N611" s="19"/>
      <c r="O611" s="19"/>
      <c r="P611" s="19"/>
      <c r="Q611" s="12"/>
      <c r="R611" s="12"/>
      <c r="S611" s="12"/>
      <c r="T611" s="12"/>
      <c r="U611" s="19"/>
      <c r="V611" s="12"/>
      <c r="W611" s="12"/>
      <c r="X611" s="12"/>
      <c r="Y611" s="12"/>
      <c r="Z611" s="12"/>
    </row>
    <row r="612">
      <c r="A612" s="18"/>
      <c r="B612" s="12"/>
      <c r="C612" s="12"/>
      <c r="D612" s="12"/>
      <c r="E612" s="12"/>
      <c r="F612" s="12"/>
      <c r="G612" s="12"/>
      <c r="H612" s="12"/>
      <c r="I612" s="12"/>
      <c r="J612" s="12"/>
      <c r="K612" s="12"/>
      <c r="L612" s="19"/>
      <c r="M612" s="19"/>
      <c r="N612" s="19"/>
      <c r="O612" s="19"/>
      <c r="P612" s="19"/>
      <c r="Q612" s="12"/>
      <c r="R612" s="12"/>
      <c r="S612" s="12"/>
      <c r="T612" s="12"/>
      <c r="U612" s="19"/>
      <c r="V612" s="12"/>
      <c r="W612" s="12"/>
      <c r="X612" s="12"/>
      <c r="Y612" s="12"/>
      <c r="Z612" s="12"/>
    </row>
    <row r="613">
      <c r="A613" s="18"/>
      <c r="B613" s="12"/>
      <c r="C613" s="12"/>
      <c r="D613" s="12"/>
      <c r="E613" s="12"/>
      <c r="F613" s="12"/>
      <c r="G613" s="12"/>
      <c r="H613" s="12"/>
      <c r="I613" s="12"/>
      <c r="J613" s="12"/>
      <c r="K613" s="12"/>
      <c r="L613" s="19"/>
      <c r="M613" s="19"/>
      <c r="N613" s="19"/>
      <c r="O613" s="19"/>
      <c r="P613" s="19"/>
      <c r="Q613" s="12"/>
      <c r="R613" s="12"/>
      <c r="S613" s="12"/>
      <c r="T613" s="12"/>
      <c r="U613" s="19"/>
      <c r="V613" s="12"/>
      <c r="W613" s="12"/>
      <c r="X613" s="12"/>
      <c r="Y613" s="12"/>
      <c r="Z613" s="12"/>
    </row>
    <row r="614">
      <c r="A614" s="18"/>
      <c r="B614" s="12"/>
      <c r="C614" s="12"/>
      <c r="D614" s="12"/>
      <c r="E614" s="12"/>
      <c r="F614" s="12"/>
      <c r="G614" s="12"/>
      <c r="H614" s="12"/>
      <c r="I614" s="12"/>
      <c r="J614" s="12"/>
      <c r="K614" s="12"/>
      <c r="L614" s="19"/>
      <c r="M614" s="19"/>
      <c r="N614" s="19"/>
      <c r="O614" s="19"/>
      <c r="P614" s="19"/>
      <c r="Q614" s="12"/>
      <c r="R614" s="12"/>
      <c r="S614" s="12"/>
      <c r="T614" s="12"/>
      <c r="U614" s="19"/>
      <c r="V614" s="12"/>
      <c r="W614" s="12"/>
      <c r="X614" s="12"/>
      <c r="Y614" s="12"/>
      <c r="Z614" s="12"/>
    </row>
    <row r="615">
      <c r="A615" s="18"/>
      <c r="B615" s="12"/>
      <c r="C615" s="12"/>
      <c r="D615" s="12"/>
      <c r="E615" s="12"/>
      <c r="F615" s="12"/>
      <c r="G615" s="12"/>
      <c r="H615" s="12"/>
      <c r="I615" s="12"/>
      <c r="J615" s="12"/>
      <c r="K615" s="12"/>
      <c r="L615" s="19"/>
      <c r="M615" s="19"/>
      <c r="N615" s="19"/>
      <c r="O615" s="19"/>
      <c r="P615" s="19"/>
      <c r="Q615" s="12"/>
      <c r="R615" s="12"/>
      <c r="S615" s="12"/>
      <c r="T615" s="12"/>
      <c r="U615" s="19"/>
      <c r="V615" s="12"/>
      <c r="W615" s="12"/>
      <c r="X615" s="12"/>
      <c r="Y615" s="12"/>
      <c r="Z615" s="12"/>
    </row>
    <row r="616">
      <c r="A616" s="18"/>
      <c r="B616" s="12"/>
      <c r="C616" s="12"/>
      <c r="D616" s="12"/>
      <c r="E616" s="12"/>
      <c r="F616" s="12"/>
      <c r="G616" s="12"/>
      <c r="H616" s="12"/>
      <c r="I616" s="12"/>
      <c r="J616" s="12"/>
      <c r="K616" s="12"/>
      <c r="L616" s="19"/>
      <c r="M616" s="19"/>
      <c r="N616" s="19"/>
      <c r="O616" s="19"/>
      <c r="P616" s="19"/>
      <c r="Q616" s="12"/>
      <c r="R616" s="12"/>
      <c r="S616" s="12"/>
      <c r="T616" s="12"/>
      <c r="U616" s="19"/>
      <c r="V616" s="12"/>
      <c r="W616" s="12"/>
      <c r="X616" s="12"/>
      <c r="Y616" s="12"/>
      <c r="Z616" s="12"/>
    </row>
    <row r="617">
      <c r="A617" s="18"/>
      <c r="B617" s="12"/>
      <c r="C617" s="12"/>
      <c r="D617" s="12"/>
      <c r="E617" s="12"/>
      <c r="F617" s="12"/>
      <c r="G617" s="12"/>
      <c r="H617" s="12"/>
      <c r="I617" s="12"/>
      <c r="J617" s="12"/>
      <c r="K617" s="12"/>
      <c r="L617" s="19"/>
      <c r="M617" s="19"/>
      <c r="N617" s="19"/>
      <c r="O617" s="19"/>
      <c r="P617" s="19"/>
      <c r="Q617" s="12"/>
      <c r="R617" s="12"/>
      <c r="S617" s="12"/>
      <c r="T617" s="12"/>
      <c r="U617" s="19"/>
      <c r="V617" s="12"/>
      <c r="W617" s="12"/>
      <c r="X617" s="12"/>
      <c r="Y617" s="12"/>
      <c r="Z617" s="12"/>
    </row>
    <row r="618">
      <c r="A618" s="18"/>
      <c r="B618" s="12"/>
      <c r="C618" s="12"/>
      <c r="D618" s="12"/>
      <c r="E618" s="12"/>
      <c r="F618" s="12"/>
      <c r="G618" s="12"/>
      <c r="H618" s="12"/>
      <c r="I618" s="12"/>
      <c r="J618" s="12"/>
      <c r="K618" s="12"/>
      <c r="L618" s="19"/>
      <c r="M618" s="19"/>
      <c r="N618" s="19"/>
      <c r="O618" s="19"/>
      <c r="P618" s="19"/>
      <c r="Q618" s="12"/>
      <c r="R618" s="12"/>
      <c r="S618" s="12"/>
      <c r="T618" s="12"/>
      <c r="U618" s="19"/>
      <c r="V618" s="12"/>
      <c r="W618" s="12"/>
      <c r="X618" s="12"/>
      <c r="Y618" s="12"/>
      <c r="Z618" s="12"/>
    </row>
    <row r="619">
      <c r="A619" s="18"/>
      <c r="B619" s="12"/>
      <c r="C619" s="12"/>
      <c r="D619" s="12"/>
      <c r="E619" s="12"/>
      <c r="F619" s="12"/>
      <c r="G619" s="12"/>
      <c r="H619" s="12"/>
      <c r="I619" s="12"/>
      <c r="J619" s="12"/>
      <c r="K619" s="12"/>
      <c r="L619" s="19"/>
      <c r="M619" s="19"/>
      <c r="N619" s="19"/>
      <c r="O619" s="19"/>
      <c r="P619" s="19"/>
      <c r="Q619" s="12"/>
      <c r="R619" s="12"/>
      <c r="S619" s="12"/>
      <c r="T619" s="12"/>
      <c r="U619" s="19"/>
      <c r="V619" s="12"/>
      <c r="W619" s="12"/>
      <c r="X619" s="12"/>
      <c r="Y619" s="12"/>
      <c r="Z619" s="12"/>
    </row>
    <row r="620">
      <c r="A620" s="18"/>
      <c r="B620" s="12"/>
      <c r="C620" s="12"/>
      <c r="D620" s="12"/>
      <c r="E620" s="12"/>
      <c r="F620" s="12"/>
      <c r="G620" s="12"/>
      <c r="H620" s="12"/>
      <c r="I620" s="12"/>
      <c r="J620" s="12"/>
      <c r="K620" s="12"/>
      <c r="L620" s="19"/>
      <c r="M620" s="19"/>
      <c r="N620" s="19"/>
      <c r="O620" s="19"/>
      <c r="P620" s="19"/>
      <c r="Q620" s="12"/>
      <c r="R620" s="12"/>
      <c r="S620" s="12"/>
      <c r="T620" s="12"/>
      <c r="U620" s="19"/>
      <c r="V620" s="12"/>
      <c r="W620" s="12"/>
      <c r="X620" s="12"/>
      <c r="Y620" s="12"/>
      <c r="Z620" s="12"/>
    </row>
    <row r="621">
      <c r="A621" s="18"/>
      <c r="B621" s="12"/>
      <c r="C621" s="12"/>
      <c r="D621" s="12"/>
      <c r="E621" s="12"/>
      <c r="F621" s="12"/>
      <c r="G621" s="12"/>
      <c r="H621" s="12"/>
      <c r="I621" s="12"/>
      <c r="J621" s="12"/>
      <c r="K621" s="12"/>
      <c r="L621" s="19"/>
      <c r="M621" s="19"/>
      <c r="N621" s="19"/>
      <c r="O621" s="19"/>
      <c r="P621" s="19"/>
      <c r="Q621" s="12"/>
      <c r="R621" s="12"/>
      <c r="S621" s="12"/>
      <c r="T621" s="12"/>
      <c r="U621" s="19"/>
      <c r="V621" s="12"/>
      <c r="W621" s="12"/>
      <c r="X621" s="12"/>
      <c r="Y621" s="12"/>
      <c r="Z621" s="12"/>
    </row>
    <row r="622">
      <c r="A622" s="18"/>
      <c r="B622" s="12"/>
      <c r="C622" s="12"/>
      <c r="D622" s="12"/>
      <c r="E622" s="12"/>
      <c r="F622" s="12"/>
      <c r="G622" s="12"/>
      <c r="H622" s="12"/>
      <c r="I622" s="12"/>
      <c r="J622" s="12"/>
      <c r="K622" s="12"/>
      <c r="L622" s="19"/>
      <c r="M622" s="19"/>
      <c r="N622" s="19"/>
      <c r="O622" s="19"/>
      <c r="P622" s="19"/>
      <c r="Q622" s="12"/>
      <c r="R622" s="12"/>
      <c r="S622" s="12"/>
      <c r="T622" s="12"/>
      <c r="U622" s="19"/>
      <c r="V622" s="12"/>
      <c r="W622" s="12"/>
      <c r="X622" s="12"/>
      <c r="Y622" s="12"/>
      <c r="Z622" s="12"/>
    </row>
    <row r="623">
      <c r="A623" s="18"/>
      <c r="B623" s="12"/>
      <c r="C623" s="12"/>
      <c r="D623" s="12"/>
      <c r="E623" s="12"/>
      <c r="F623" s="12"/>
      <c r="G623" s="12"/>
      <c r="H623" s="12"/>
      <c r="I623" s="12"/>
      <c r="J623" s="12"/>
      <c r="K623" s="12"/>
      <c r="L623" s="19"/>
      <c r="M623" s="19"/>
      <c r="N623" s="19"/>
      <c r="O623" s="19"/>
      <c r="P623" s="19"/>
      <c r="Q623" s="12"/>
      <c r="R623" s="12"/>
      <c r="S623" s="12"/>
      <c r="T623" s="12"/>
      <c r="U623" s="19"/>
      <c r="V623" s="12"/>
      <c r="W623" s="12"/>
      <c r="X623" s="12"/>
      <c r="Y623" s="12"/>
      <c r="Z623" s="12"/>
    </row>
    <row r="624">
      <c r="A624" s="18"/>
      <c r="B624" s="12"/>
      <c r="C624" s="12"/>
      <c r="D624" s="12"/>
      <c r="E624" s="12"/>
      <c r="F624" s="12"/>
      <c r="G624" s="12"/>
      <c r="H624" s="12"/>
      <c r="I624" s="12"/>
      <c r="J624" s="12"/>
      <c r="K624" s="12"/>
      <c r="L624" s="19"/>
      <c r="M624" s="19"/>
      <c r="N624" s="19"/>
      <c r="O624" s="19"/>
      <c r="P624" s="19"/>
      <c r="Q624" s="12"/>
      <c r="R624" s="12"/>
      <c r="S624" s="12"/>
      <c r="T624" s="12"/>
      <c r="U624" s="19"/>
      <c r="V624" s="12"/>
      <c r="W624" s="12"/>
      <c r="X624" s="12"/>
      <c r="Y624" s="12"/>
      <c r="Z624" s="12"/>
    </row>
    <row r="625">
      <c r="A625" s="18"/>
      <c r="B625" s="12"/>
      <c r="C625" s="12"/>
      <c r="D625" s="12"/>
      <c r="E625" s="12"/>
      <c r="F625" s="12"/>
      <c r="G625" s="12"/>
      <c r="H625" s="12"/>
      <c r="I625" s="12"/>
      <c r="J625" s="12"/>
      <c r="K625" s="12"/>
      <c r="L625" s="19"/>
      <c r="M625" s="19"/>
      <c r="N625" s="19"/>
      <c r="O625" s="19"/>
      <c r="P625" s="19"/>
      <c r="Q625" s="12"/>
      <c r="R625" s="12"/>
      <c r="S625" s="12"/>
      <c r="T625" s="12"/>
      <c r="U625" s="19"/>
      <c r="V625" s="12"/>
      <c r="W625" s="12"/>
      <c r="X625" s="12"/>
      <c r="Y625" s="12"/>
      <c r="Z625" s="12"/>
    </row>
    <row r="626">
      <c r="A626" s="18"/>
      <c r="B626" s="12"/>
      <c r="C626" s="12"/>
      <c r="D626" s="12"/>
      <c r="E626" s="12"/>
      <c r="F626" s="12"/>
      <c r="G626" s="12"/>
      <c r="H626" s="12"/>
      <c r="I626" s="12"/>
      <c r="J626" s="12"/>
      <c r="K626" s="12"/>
      <c r="L626" s="19"/>
      <c r="M626" s="19"/>
      <c r="N626" s="19"/>
      <c r="O626" s="19"/>
      <c r="P626" s="19"/>
      <c r="Q626" s="12"/>
      <c r="R626" s="12"/>
      <c r="S626" s="12"/>
      <c r="T626" s="12"/>
      <c r="U626" s="19"/>
      <c r="V626" s="12"/>
      <c r="W626" s="12"/>
      <c r="X626" s="12"/>
      <c r="Y626" s="12"/>
      <c r="Z626" s="12"/>
    </row>
    <row r="627">
      <c r="A627" s="18"/>
      <c r="B627" s="12"/>
      <c r="C627" s="12"/>
      <c r="D627" s="12"/>
      <c r="E627" s="12"/>
      <c r="F627" s="12"/>
      <c r="G627" s="12"/>
      <c r="H627" s="12"/>
      <c r="I627" s="12"/>
      <c r="J627" s="12"/>
      <c r="K627" s="12"/>
      <c r="L627" s="19"/>
      <c r="M627" s="19"/>
      <c r="N627" s="19"/>
      <c r="O627" s="19"/>
      <c r="P627" s="19"/>
      <c r="Q627" s="12"/>
      <c r="R627" s="12"/>
      <c r="S627" s="12"/>
      <c r="T627" s="12"/>
      <c r="U627" s="19"/>
      <c r="V627" s="12"/>
      <c r="W627" s="12"/>
      <c r="X627" s="12"/>
      <c r="Y627" s="12"/>
      <c r="Z627" s="12"/>
    </row>
    <row r="628">
      <c r="A628" s="18"/>
      <c r="B628" s="12"/>
      <c r="C628" s="12"/>
      <c r="D628" s="12"/>
      <c r="E628" s="12"/>
      <c r="F628" s="12"/>
      <c r="G628" s="12"/>
      <c r="H628" s="12"/>
      <c r="I628" s="12"/>
      <c r="J628" s="12"/>
      <c r="K628" s="12"/>
      <c r="L628" s="19"/>
      <c r="M628" s="19"/>
      <c r="N628" s="19"/>
      <c r="O628" s="19"/>
      <c r="P628" s="19"/>
      <c r="Q628" s="12"/>
      <c r="R628" s="12"/>
      <c r="S628" s="12"/>
      <c r="T628" s="12"/>
      <c r="U628" s="19"/>
      <c r="V628" s="12"/>
      <c r="W628" s="12"/>
      <c r="X628" s="12"/>
      <c r="Y628" s="12"/>
      <c r="Z628" s="12"/>
    </row>
    <row r="629">
      <c r="A629" s="18"/>
      <c r="B629" s="12"/>
      <c r="C629" s="12"/>
      <c r="D629" s="12"/>
      <c r="E629" s="12"/>
      <c r="F629" s="12"/>
      <c r="G629" s="12"/>
      <c r="H629" s="12"/>
      <c r="I629" s="12"/>
      <c r="J629" s="12"/>
      <c r="K629" s="12"/>
      <c r="L629" s="19"/>
      <c r="M629" s="19"/>
      <c r="N629" s="19"/>
      <c r="O629" s="19"/>
      <c r="P629" s="19"/>
      <c r="Q629" s="12"/>
      <c r="R629" s="12"/>
      <c r="S629" s="12"/>
      <c r="T629" s="12"/>
      <c r="U629" s="19"/>
      <c r="V629" s="12"/>
      <c r="W629" s="12"/>
      <c r="X629" s="12"/>
      <c r="Y629" s="12"/>
      <c r="Z629" s="12"/>
    </row>
    <row r="630">
      <c r="A630" s="18"/>
      <c r="B630" s="12"/>
      <c r="C630" s="12"/>
      <c r="D630" s="12"/>
      <c r="E630" s="12"/>
      <c r="F630" s="12"/>
      <c r="G630" s="12"/>
      <c r="H630" s="12"/>
      <c r="I630" s="12"/>
      <c r="J630" s="12"/>
      <c r="K630" s="12"/>
      <c r="L630" s="19"/>
      <c r="M630" s="19"/>
      <c r="N630" s="19"/>
      <c r="O630" s="19"/>
      <c r="P630" s="19"/>
      <c r="Q630" s="12"/>
      <c r="R630" s="12"/>
      <c r="S630" s="12"/>
      <c r="T630" s="12"/>
      <c r="U630" s="19"/>
      <c r="V630" s="12"/>
      <c r="W630" s="12"/>
      <c r="X630" s="12"/>
      <c r="Y630" s="12"/>
      <c r="Z630" s="12"/>
    </row>
    <row r="631">
      <c r="A631" s="18"/>
      <c r="B631" s="12"/>
      <c r="C631" s="12"/>
      <c r="D631" s="12"/>
      <c r="E631" s="12"/>
      <c r="F631" s="12"/>
      <c r="G631" s="12"/>
      <c r="H631" s="12"/>
      <c r="I631" s="12"/>
      <c r="J631" s="12"/>
      <c r="K631" s="12"/>
      <c r="L631" s="19"/>
      <c r="M631" s="19"/>
      <c r="N631" s="19"/>
      <c r="O631" s="19"/>
      <c r="P631" s="19"/>
      <c r="Q631" s="12"/>
      <c r="R631" s="12"/>
      <c r="S631" s="12"/>
      <c r="T631" s="12"/>
      <c r="U631" s="19"/>
      <c r="V631" s="12"/>
      <c r="W631" s="12"/>
      <c r="X631" s="12"/>
      <c r="Y631" s="12"/>
      <c r="Z631" s="12"/>
    </row>
    <row r="632">
      <c r="A632" s="18"/>
      <c r="B632" s="12"/>
      <c r="C632" s="12"/>
      <c r="D632" s="12"/>
      <c r="E632" s="12"/>
      <c r="F632" s="12"/>
      <c r="G632" s="12"/>
      <c r="H632" s="12"/>
      <c r="I632" s="12"/>
      <c r="J632" s="12"/>
      <c r="K632" s="12"/>
      <c r="L632" s="19"/>
      <c r="M632" s="19"/>
      <c r="N632" s="19"/>
      <c r="O632" s="19"/>
      <c r="P632" s="19"/>
      <c r="Q632" s="12"/>
      <c r="R632" s="12"/>
      <c r="S632" s="12"/>
      <c r="T632" s="12"/>
      <c r="U632" s="19"/>
      <c r="V632" s="12"/>
      <c r="W632" s="12"/>
      <c r="X632" s="12"/>
      <c r="Y632" s="12"/>
      <c r="Z632" s="12"/>
    </row>
    <row r="633">
      <c r="A633" s="18"/>
      <c r="B633" s="12"/>
      <c r="C633" s="12"/>
      <c r="D633" s="12"/>
      <c r="E633" s="12"/>
      <c r="F633" s="12"/>
      <c r="G633" s="12"/>
      <c r="H633" s="12"/>
      <c r="I633" s="12"/>
      <c r="J633" s="12"/>
      <c r="K633" s="12"/>
      <c r="L633" s="19"/>
      <c r="M633" s="19"/>
      <c r="N633" s="19"/>
      <c r="O633" s="19"/>
      <c r="P633" s="19"/>
      <c r="Q633" s="12"/>
      <c r="R633" s="12"/>
      <c r="S633" s="12"/>
      <c r="T633" s="12"/>
      <c r="U633" s="19"/>
      <c r="V633" s="12"/>
      <c r="W633" s="12"/>
      <c r="X633" s="12"/>
      <c r="Y633" s="12"/>
      <c r="Z633" s="12"/>
    </row>
    <row r="634">
      <c r="A634" s="18"/>
      <c r="B634" s="12"/>
      <c r="C634" s="12"/>
      <c r="D634" s="12"/>
      <c r="E634" s="12"/>
      <c r="F634" s="12"/>
      <c r="G634" s="12"/>
      <c r="H634" s="12"/>
      <c r="I634" s="12"/>
      <c r="J634" s="12"/>
      <c r="K634" s="12"/>
      <c r="L634" s="19"/>
      <c r="M634" s="19"/>
      <c r="N634" s="19"/>
      <c r="O634" s="19"/>
      <c r="P634" s="19"/>
      <c r="Q634" s="12"/>
      <c r="R634" s="12"/>
      <c r="S634" s="12"/>
      <c r="T634" s="12"/>
      <c r="U634" s="19"/>
      <c r="V634" s="12"/>
      <c r="W634" s="12"/>
      <c r="X634" s="12"/>
      <c r="Y634" s="12"/>
      <c r="Z634" s="12"/>
    </row>
    <row r="635">
      <c r="A635" s="18"/>
      <c r="B635" s="12"/>
      <c r="C635" s="12"/>
      <c r="D635" s="12"/>
      <c r="E635" s="12"/>
      <c r="F635" s="12"/>
      <c r="G635" s="12"/>
      <c r="H635" s="12"/>
      <c r="I635" s="12"/>
      <c r="J635" s="12"/>
      <c r="K635" s="12"/>
      <c r="L635" s="19"/>
      <c r="M635" s="19"/>
      <c r="N635" s="19"/>
      <c r="O635" s="19"/>
      <c r="P635" s="19"/>
      <c r="Q635" s="12"/>
      <c r="R635" s="12"/>
      <c r="S635" s="12"/>
      <c r="T635" s="12"/>
      <c r="U635" s="19"/>
      <c r="V635" s="12"/>
      <c r="W635" s="12"/>
      <c r="X635" s="12"/>
      <c r="Y635" s="12"/>
      <c r="Z635" s="12"/>
    </row>
    <row r="636">
      <c r="A636" s="18"/>
      <c r="B636" s="12"/>
      <c r="C636" s="12"/>
      <c r="D636" s="12"/>
      <c r="E636" s="12"/>
      <c r="F636" s="12"/>
      <c r="G636" s="12"/>
      <c r="H636" s="12"/>
      <c r="I636" s="12"/>
      <c r="J636" s="12"/>
      <c r="K636" s="12"/>
      <c r="L636" s="19"/>
      <c r="M636" s="19"/>
      <c r="N636" s="19"/>
      <c r="O636" s="19"/>
      <c r="P636" s="19"/>
      <c r="Q636" s="12"/>
      <c r="R636" s="12"/>
      <c r="S636" s="12"/>
      <c r="T636" s="12"/>
      <c r="U636" s="19"/>
      <c r="V636" s="12"/>
      <c r="W636" s="12"/>
      <c r="X636" s="12"/>
      <c r="Y636" s="12"/>
      <c r="Z636" s="12"/>
    </row>
    <row r="637">
      <c r="A637" s="18"/>
      <c r="B637" s="12"/>
      <c r="C637" s="12"/>
      <c r="D637" s="12"/>
      <c r="E637" s="12"/>
      <c r="F637" s="12"/>
      <c r="G637" s="12"/>
      <c r="H637" s="12"/>
      <c r="I637" s="12"/>
      <c r="J637" s="12"/>
      <c r="K637" s="12"/>
      <c r="L637" s="19"/>
      <c r="M637" s="19"/>
      <c r="N637" s="19"/>
      <c r="O637" s="19"/>
      <c r="P637" s="19"/>
      <c r="Q637" s="12"/>
      <c r="R637" s="12"/>
      <c r="S637" s="12"/>
      <c r="T637" s="12"/>
      <c r="U637" s="19"/>
      <c r="V637" s="12"/>
      <c r="W637" s="12"/>
      <c r="X637" s="12"/>
      <c r="Y637" s="12"/>
      <c r="Z637" s="12"/>
    </row>
    <row r="638">
      <c r="A638" s="18"/>
      <c r="B638" s="12"/>
      <c r="C638" s="12"/>
      <c r="D638" s="12"/>
      <c r="E638" s="12"/>
      <c r="F638" s="12"/>
      <c r="G638" s="12"/>
      <c r="H638" s="12"/>
      <c r="I638" s="12"/>
      <c r="J638" s="12"/>
      <c r="K638" s="12"/>
      <c r="L638" s="19"/>
      <c r="M638" s="19"/>
      <c r="N638" s="19"/>
      <c r="O638" s="19"/>
      <c r="P638" s="19"/>
      <c r="Q638" s="12"/>
      <c r="R638" s="12"/>
      <c r="S638" s="12"/>
      <c r="T638" s="12"/>
      <c r="U638" s="19"/>
      <c r="V638" s="12"/>
      <c r="W638" s="12"/>
      <c r="X638" s="12"/>
      <c r="Y638" s="12"/>
      <c r="Z638" s="12"/>
    </row>
    <row r="639">
      <c r="A639" s="18"/>
      <c r="B639" s="12"/>
      <c r="C639" s="12"/>
      <c r="D639" s="12"/>
      <c r="E639" s="12"/>
      <c r="F639" s="12"/>
      <c r="G639" s="12"/>
      <c r="H639" s="12"/>
      <c r="I639" s="12"/>
      <c r="J639" s="12"/>
      <c r="K639" s="12"/>
      <c r="L639" s="19"/>
      <c r="M639" s="19"/>
      <c r="N639" s="19"/>
      <c r="O639" s="19"/>
      <c r="P639" s="19"/>
      <c r="Q639" s="12"/>
      <c r="R639" s="12"/>
      <c r="S639" s="12"/>
      <c r="T639" s="12"/>
      <c r="U639" s="19"/>
      <c r="V639" s="12"/>
      <c r="W639" s="12"/>
      <c r="X639" s="12"/>
      <c r="Y639" s="12"/>
      <c r="Z639" s="12"/>
    </row>
    <row r="640">
      <c r="A640" s="18"/>
      <c r="B640" s="12"/>
      <c r="C640" s="12"/>
      <c r="D640" s="12"/>
      <c r="E640" s="12"/>
      <c r="F640" s="12"/>
      <c r="G640" s="12"/>
      <c r="H640" s="12"/>
      <c r="I640" s="12"/>
      <c r="J640" s="12"/>
      <c r="K640" s="12"/>
      <c r="L640" s="19"/>
      <c r="M640" s="19"/>
      <c r="N640" s="19"/>
      <c r="O640" s="19"/>
      <c r="P640" s="19"/>
      <c r="Q640" s="12"/>
      <c r="R640" s="12"/>
      <c r="S640" s="12"/>
      <c r="T640" s="12"/>
      <c r="U640" s="19"/>
      <c r="V640" s="12"/>
      <c r="W640" s="12"/>
      <c r="X640" s="12"/>
      <c r="Y640" s="12"/>
      <c r="Z640" s="12"/>
    </row>
    <row r="641">
      <c r="A641" s="18"/>
      <c r="B641" s="12"/>
      <c r="C641" s="12"/>
      <c r="D641" s="12"/>
      <c r="E641" s="12"/>
      <c r="F641" s="12"/>
      <c r="G641" s="12"/>
      <c r="H641" s="12"/>
      <c r="I641" s="12"/>
      <c r="J641" s="12"/>
      <c r="K641" s="12"/>
      <c r="L641" s="19"/>
      <c r="M641" s="19"/>
      <c r="N641" s="19"/>
      <c r="O641" s="19"/>
      <c r="P641" s="19"/>
      <c r="Q641" s="12"/>
      <c r="R641" s="12"/>
      <c r="S641" s="12"/>
      <c r="T641" s="12"/>
      <c r="U641" s="19"/>
      <c r="V641" s="12"/>
      <c r="W641" s="12"/>
      <c r="X641" s="12"/>
      <c r="Y641" s="12"/>
      <c r="Z641" s="12"/>
    </row>
    <row r="642">
      <c r="A642" s="18"/>
      <c r="B642" s="12"/>
      <c r="C642" s="12"/>
      <c r="D642" s="12"/>
      <c r="E642" s="12"/>
      <c r="F642" s="12"/>
      <c r="G642" s="12"/>
      <c r="H642" s="12"/>
      <c r="I642" s="12"/>
      <c r="J642" s="12"/>
      <c r="K642" s="12"/>
      <c r="L642" s="19"/>
      <c r="M642" s="19"/>
      <c r="N642" s="19"/>
      <c r="O642" s="19"/>
      <c r="P642" s="19"/>
      <c r="Q642" s="12"/>
      <c r="R642" s="12"/>
      <c r="S642" s="12"/>
      <c r="T642" s="12"/>
      <c r="U642" s="19"/>
      <c r="V642" s="12"/>
      <c r="W642" s="12"/>
      <c r="X642" s="12"/>
      <c r="Y642" s="12"/>
      <c r="Z642" s="12"/>
    </row>
    <row r="643">
      <c r="A643" s="18"/>
      <c r="B643" s="12"/>
      <c r="C643" s="12"/>
      <c r="D643" s="12"/>
      <c r="E643" s="12"/>
      <c r="F643" s="12"/>
      <c r="G643" s="12"/>
      <c r="H643" s="12"/>
      <c r="I643" s="12"/>
      <c r="J643" s="12"/>
      <c r="K643" s="12"/>
      <c r="L643" s="19"/>
      <c r="M643" s="19"/>
      <c r="N643" s="19"/>
      <c r="O643" s="19"/>
      <c r="P643" s="19"/>
      <c r="Q643" s="12"/>
      <c r="R643" s="12"/>
      <c r="S643" s="12"/>
      <c r="T643" s="12"/>
      <c r="U643" s="19"/>
      <c r="V643" s="12"/>
      <c r="W643" s="12"/>
      <c r="X643" s="12"/>
      <c r="Y643" s="12"/>
      <c r="Z643" s="12"/>
    </row>
    <row r="644">
      <c r="A644" s="18"/>
      <c r="B644" s="12"/>
      <c r="C644" s="12"/>
      <c r="D644" s="12"/>
      <c r="E644" s="12"/>
      <c r="F644" s="12"/>
      <c r="G644" s="12"/>
      <c r="H644" s="12"/>
      <c r="I644" s="12"/>
      <c r="J644" s="12"/>
      <c r="K644" s="12"/>
      <c r="L644" s="19"/>
      <c r="M644" s="19"/>
      <c r="N644" s="19"/>
      <c r="O644" s="19"/>
      <c r="P644" s="19"/>
      <c r="Q644" s="12"/>
      <c r="R644" s="12"/>
      <c r="S644" s="12"/>
      <c r="T644" s="12"/>
      <c r="U644" s="19"/>
      <c r="V644" s="12"/>
      <c r="W644" s="12"/>
      <c r="X644" s="12"/>
      <c r="Y644" s="12"/>
      <c r="Z644" s="12"/>
    </row>
    <row r="645">
      <c r="A645" s="18"/>
      <c r="B645" s="12"/>
      <c r="C645" s="12"/>
      <c r="D645" s="12"/>
      <c r="E645" s="12"/>
      <c r="F645" s="12"/>
      <c r="G645" s="12"/>
      <c r="H645" s="12"/>
      <c r="I645" s="12"/>
      <c r="J645" s="12"/>
      <c r="K645" s="12"/>
      <c r="L645" s="19"/>
      <c r="M645" s="19"/>
      <c r="N645" s="19"/>
      <c r="O645" s="19"/>
      <c r="P645" s="19"/>
      <c r="Q645" s="12"/>
      <c r="R645" s="12"/>
      <c r="S645" s="12"/>
      <c r="T645" s="12"/>
      <c r="U645" s="19"/>
      <c r="V645" s="12"/>
      <c r="W645" s="12"/>
      <c r="X645" s="12"/>
      <c r="Y645" s="12"/>
      <c r="Z645" s="12"/>
    </row>
    <row r="646">
      <c r="A646" s="18"/>
      <c r="B646" s="12"/>
      <c r="C646" s="12"/>
      <c r="D646" s="12"/>
      <c r="E646" s="12"/>
      <c r="F646" s="12"/>
      <c r="G646" s="12"/>
      <c r="H646" s="12"/>
      <c r="I646" s="12"/>
      <c r="J646" s="12"/>
      <c r="K646" s="12"/>
      <c r="L646" s="19"/>
      <c r="M646" s="19"/>
      <c r="N646" s="19"/>
      <c r="O646" s="19"/>
      <c r="P646" s="19"/>
      <c r="Q646" s="12"/>
      <c r="R646" s="12"/>
      <c r="S646" s="12"/>
      <c r="T646" s="12"/>
      <c r="U646" s="19"/>
      <c r="V646" s="12"/>
      <c r="W646" s="12"/>
      <c r="X646" s="12"/>
      <c r="Y646" s="12"/>
      <c r="Z646" s="12"/>
    </row>
    <row r="647">
      <c r="A647" s="18"/>
      <c r="B647" s="12"/>
      <c r="C647" s="12"/>
      <c r="D647" s="12"/>
      <c r="E647" s="12"/>
      <c r="F647" s="12"/>
      <c r="G647" s="12"/>
      <c r="H647" s="12"/>
      <c r="I647" s="12"/>
      <c r="J647" s="12"/>
      <c r="K647" s="12"/>
      <c r="L647" s="19"/>
      <c r="M647" s="19"/>
      <c r="N647" s="19"/>
      <c r="O647" s="19"/>
      <c r="P647" s="19"/>
      <c r="Q647" s="12"/>
      <c r="R647" s="12"/>
      <c r="S647" s="12"/>
      <c r="T647" s="12"/>
      <c r="U647" s="19"/>
      <c r="V647" s="12"/>
      <c r="W647" s="12"/>
      <c r="X647" s="12"/>
      <c r="Y647" s="12"/>
      <c r="Z647" s="12"/>
    </row>
    <row r="648">
      <c r="A648" s="18"/>
      <c r="B648" s="12"/>
      <c r="C648" s="12"/>
      <c r="D648" s="12"/>
      <c r="E648" s="12"/>
      <c r="F648" s="12"/>
      <c r="G648" s="12"/>
      <c r="H648" s="12"/>
      <c r="I648" s="12"/>
      <c r="J648" s="12"/>
      <c r="K648" s="12"/>
      <c r="L648" s="19"/>
      <c r="M648" s="19"/>
      <c r="N648" s="19"/>
      <c r="O648" s="19"/>
      <c r="P648" s="19"/>
      <c r="Q648" s="12"/>
      <c r="R648" s="12"/>
      <c r="S648" s="12"/>
      <c r="T648" s="12"/>
      <c r="U648" s="19"/>
      <c r="V648" s="12"/>
      <c r="W648" s="12"/>
      <c r="X648" s="12"/>
      <c r="Y648" s="12"/>
      <c r="Z648" s="12"/>
    </row>
    <row r="649">
      <c r="A649" s="18"/>
      <c r="B649" s="12"/>
      <c r="C649" s="12"/>
      <c r="D649" s="12"/>
      <c r="E649" s="12"/>
      <c r="F649" s="12"/>
      <c r="G649" s="12"/>
      <c r="H649" s="12"/>
      <c r="I649" s="12"/>
      <c r="J649" s="12"/>
      <c r="K649" s="12"/>
      <c r="L649" s="19"/>
      <c r="M649" s="19"/>
      <c r="N649" s="19"/>
      <c r="O649" s="19"/>
      <c r="P649" s="19"/>
      <c r="Q649" s="12"/>
      <c r="R649" s="12"/>
      <c r="S649" s="12"/>
      <c r="T649" s="12"/>
      <c r="U649" s="19"/>
      <c r="V649" s="12"/>
      <c r="W649" s="12"/>
      <c r="X649" s="12"/>
      <c r="Y649" s="12"/>
      <c r="Z649" s="12"/>
    </row>
    <row r="650">
      <c r="A650" s="18"/>
      <c r="B650" s="12"/>
      <c r="C650" s="12"/>
      <c r="D650" s="12"/>
      <c r="E650" s="12"/>
      <c r="F650" s="12"/>
      <c r="G650" s="12"/>
      <c r="H650" s="12"/>
      <c r="I650" s="12"/>
      <c r="J650" s="12"/>
      <c r="K650" s="12"/>
      <c r="L650" s="19"/>
      <c r="M650" s="19"/>
      <c r="N650" s="19"/>
      <c r="O650" s="19"/>
      <c r="P650" s="19"/>
      <c r="Q650" s="12"/>
      <c r="R650" s="12"/>
      <c r="S650" s="12"/>
      <c r="T650" s="12"/>
      <c r="U650" s="19"/>
      <c r="V650" s="12"/>
      <c r="W650" s="12"/>
      <c r="X650" s="12"/>
      <c r="Y650" s="12"/>
      <c r="Z650" s="12"/>
    </row>
    <row r="651">
      <c r="A651" s="18"/>
      <c r="B651" s="12"/>
      <c r="C651" s="12"/>
      <c r="D651" s="12"/>
      <c r="E651" s="12"/>
      <c r="F651" s="12"/>
      <c r="G651" s="12"/>
      <c r="H651" s="12"/>
      <c r="I651" s="12"/>
      <c r="J651" s="12"/>
      <c r="K651" s="12"/>
      <c r="L651" s="19"/>
      <c r="M651" s="19"/>
      <c r="N651" s="19"/>
      <c r="O651" s="19"/>
      <c r="P651" s="19"/>
      <c r="Q651" s="12"/>
      <c r="R651" s="12"/>
      <c r="S651" s="12"/>
      <c r="T651" s="12"/>
      <c r="U651" s="19"/>
      <c r="V651" s="12"/>
      <c r="W651" s="12"/>
      <c r="X651" s="12"/>
      <c r="Y651" s="12"/>
      <c r="Z651" s="12"/>
    </row>
    <row r="652">
      <c r="A652" s="18"/>
      <c r="B652" s="12"/>
      <c r="C652" s="12"/>
      <c r="D652" s="12"/>
      <c r="E652" s="12"/>
      <c r="F652" s="12"/>
      <c r="G652" s="12"/>
      <c r="H652" s="12"/>
      <c r="I652" s="12"/>
      <c r="J652" s="12"/>
      <c r="K652" s="12"/>
      <c r="L652" s="19"/>
      <c r="M652" s="19"/>
      <c r="N652" s="19"/>
      <c r="O652" s="19"/>
      <c r="P652" s="19"/>
      <c r="Q652" s="12"/>
      <c r="R652" s="12"/>
      <c r="S652" s="12"/>
      <c r="T652" s="12"/>
      <c r="U652" s="19"/>
      <c r="V652" s="12"/>
      <c r="W652" s="12"/>
      <c r="X652" s="12"/>
      <c r="Y652" s="12"/>
      <c r="Z652" s="12"/>
    </row>
    <row r="653">
      <c r="A653" s="18"/>
      <c r="B653" s="12"/>
      <c r="C653" s="12"/>
      <c r="D653" s="12"/>
      <c r="E653" s="12"/>
      <c r="F653" s="12"/>
      <c r="G653" s="12"/>
      <c r="H653" s="12"/>
      <c r="I653" s="12"/>
      <c r="J653" s="12"/>
      <c r="K653" s="12"/>
      <c r="L653" s="19"/>
      <c r="M653" s="19"/>
      <c r="N653" s="19"/>
      <c r="O653" s="19"/>
      <c r="P653" s="19"/>
      <c r="Q653" s="12"/>
      <c r="R653" s="12"/>
      <c r="S653" s="12"/>
      <c r="T653" s="12"/>
      <c r="U653" s="19"/>
      <c r="V653" s="12"/>
      <c r="W653" s="12"/>
      <c r="X653" s="12"/>
      <c r="Y653" s="12"/>
      <c r="Z653" s="12"/>
    </row>
    <row r="654">
      <c r="A654" s="18"/>
      <c r="B654" s="12"/>
      <c r="C654" s="12"/>
      <c r="D654" s="12"/>
      <c r="E654" s="12"/>
      <c r="F654" s="12"/>
      <c r="G654" s="12"/>
      <c r="H654" s="12"/>
      <c r="I654" s="12"/>
      <c r="J654" s="12"/>
      <c r="K654" s="12"/>
      <c r="L654" s="19"/>
      <c r="M654" s="19"/>
      <c r="N654" s="19"/>
      <c r="O654" s="19"/>
      <c r="P654" s="19"/>
      <c r="Q654" s="12"/>
      <c r="R654" s="12"/>
      <c r="S654" s="12"/>
      <c r="T654" s="12"/>
      <c r="U654" s="19"/>
      <c r="V654" s="12"/>
      <c r="W654" s="12"/>
      <c r="X654" s="12"/>
      <c r="Y654" s="12"/>
      <c r="Z654" s="12"/>
    </row>
    <row r="655">
      <c r="A655" s="18"/>
      <c r="B655" s="12"/>
      <c r="C655" s="12"/>
      <c r="D655" s="12"/>
      <c r="E655" s="12"/>
      <c r="F655" s="12"/>
      <c r="G655" s="12"/>
      <c r="H655" s="12"/>
      <c r="I655" s="12"/>
      <c r="J655" s="12"/>
      <c r="K655" s="12"/>
      <c r="L655" s="19"/>
      <c r="M655" s="19"/>
      <c r="N655" s="19"/>
      <c r="O655" s="19"/>
      <c r="P655" s="19"/>
      <c r="Q655" s="12"/>
      <c r="R655" s="12"/>
      <c r="S655" s="12"/>
      <c r="T655" s="12"/>
      <c r="U655" s="19"/>
      <c r="V655" s="12"/>
      <c r="W655" s="12"/>
      <c r="X655" s="12"/>
      <c r="Y655" s="12"/>
      <c r="Z655" s="12"/>
    </row>
    <row r="656">
      <c r="A656" s="18"/>
      <c r="B656" s="12"/>
      <c r="C656" s="12"/>
      <c r="D656" s="12"/>
      <c r="E656" s="12"/>
      <c r="F656" s="12"/>
      <c r="G656" s="12"/>
      <c r="H656" s="12"/>
      <c r="I656" s="12"/>
      <c r="J656" s="12"/>
      <c r="K656" s="12"/>
      <c r="L656" s="19"/>
      <c r="M656" s="19"/>
      <c r="N656" s="19"/>
      <c r="O656" s="19"/>
      <c r="P656" s="19"/>
      <c r="Q656" s="12"/>
      <c r="R656" s="12"/>
      <c r="S656" s="12"/>
      <c r="T656" s="12"/>
      <c r="U656" s="19"/>
      <c r="V656" s="12"/>
      <c r="W656" s="12"/>
      <c r="X656" s="12"/>
      <c r="Y656" s="12"/>
      <c r="Z656" s="12"/>
    </row>
    <row r="657">
      <c r="A657" s="18"/>
      <c r="B657" s="12"/>
      <c r="C657" s="12"/>
      <c r="D657" s="12"/>
      <c r="E657" s="12"/>
      <c r="F657" s="12"/>
      <c r="G657" s="12"/>
      <c r="H657" s="12"/>
      <c r="I657" s="12"/>
      <c r="J657" s="12"/>
      <c r="K657" s="12"/>
      <c r="L657" s="19"/>
      <c r="M657" s="19"/>
      <c r="N657" s="19"/>
      <c r="O657" s="19"/>
      <c r="P657" s="19"/>
      <c r="Q657" s="12"/>
      <c r="R657" s="12"/>
      <c r="S657" s="12"/>
      <c r="T657" s="12"/>
      <c r="U657" s="19"/>
      <c r="V657" s="12"/>
      <c r="W657" s="12"/>
      <c r="X657" s="12"/>
      <c r="Y657" s="12"/>
      <c r="Z657" s="12"/>
    </row>
    <row r="658">
      <c r="A658" s="18"/>
      <c r="B658" s="12"/>
      <c r="C658" s="12"/>
      <c r="D658" s="12"/>
      <c r="E658" s="12"/>
      <c r="F658" s="12"/>
      <c r="G658" s="12"/>
      <c r="H658" s="12"/>
      <c r="I658" s="12"/>
      <c r="J658" s="12"/>
      <c r="K658" s="12"/>
      <c r="L658" s="19"/>
      <c r="M658" s="19"/>
      <c r="N658" s="19"/>
      <c r="O658" s="19"/>
      <c r="P658" s="19"/>
      <c r="Q658" s="12"/>
      <c r="R658" s="12"/>
      <c r="S658" s="12"/>
      <c r="T658" s="12"/>
      <c r="U658" s="19"/>
      <c r="V658" s="12"/>
      <c r="W658" s="12"/>
      <c r="X658" s="12"/>
      <c r="Y658" s="12"/>
      <c r="Z658" s="12"/>
    </row>
    <row r="659">
      <c r="A659" s="18"/>
      <c r="B659" s="12"/>
      <c r="C659" s="12"/>
      <c r="D659" s="12"/>
      <c r="E659" s="12"/>
      <c r="F659" s="12"/>
      <c r="G659" s="12"/>
      <c r="H659" s="12"/>
      <c r="I659" s="12"/>
      <c r="J659" s="12"/>
      <c r="K659" s="12"/>
      <c r="L659" s="19"/>
      <c r="M659" s="19"/>
      <c r="N659" s="19"/>
      <c r="O659" s="19"/>
      <c r="P659" s="19"/>
      <c r="Q659" s="12"/>
      <c r="R659" s="12"/>
      <c r="S659" s="12"/>
      <c r="T659" s="12"/>
      <c r="U659" s="19"/>
      <c r="V659" s="12"/>
      <c r="W659" s="12"/>
      <c r="X659" s="12"/>
      <c r="Y659" s="12"/>
      <c r="Z659" s="12"/>
    </row>
    <row r="660">
      <c r="A660" s="18"/>
      <c r="B660" s="12"/>
      <c r="C660" s="12"/>
      <c r="D660" s="12"/>
      <c r="E660" s="12"/>
      <c r="F660" s="12"/>
      <c r="G660" s="12"/>
      <c r="H660" s="12"/>
      <c r="I660" s="12"/>
      <c r="J660" s="12"/>
      <c r="K660" s="12"/>
      <c r="L660" s="19"/>
      <c r="M660" s="19"/>
      <c r="N660" s="19"/>
      <c r="O660" s="19"/>
      <c r="P660" s="19"/>
      <c r="Q660" s="12"/>
      <c r="R660" s="12"/>
      <c r="S660" s="12"/>
      <c r="T660" s="12"/>
      <c r="U660" s="19"/>
      <c r="V660" s="12"/>
      <c r="W660" s="12"/>
      <c r="X660" s="12"/>
      <c r="Y660" s="12"/>
      <c r="Z660" s="12"/>
    </row>
    <row r="661">
      <c r="A661" s="18"/>
      <c r="B661" s="12"/>
      <c r="C661" s="12"/>
      <c r="D661" s="12"/>
      <c r="E661" s="12"/>
      <c r="F661" s="12"/>
      <c r="G661" s="12"/>
      <c r="H661" s="12"/>
      <c r="I661" s="12"/>
      <c r="J661" s="12"/>
      <c r="K661" s="12"/>
      <c r="L661" s="19"/>
      <c r="M661" s="19"/>
      <c r="N661" s="19"/>
      <c r="O661" s="19"/>
      <c r="P661" s="19"/>
      <c r="Q661" s="12"/>
      <c r="R661" s="12"/>
      <c r="S661" s="12"/>
      <c r="T661" s="12"/>
      <c r="U661" s="19"/>
      <c r="V661" s="12"/>
      <c r="W661" s="12"/>
      <c r="X661" s="12"/>
      <c r="Y661" s="12"/>
      <c r="Z661" s="12"/>
    </row>
    <row r="662">
      <c r="A662" s="18"/>
      <c r="B662" s="12"/>
      <c r="C662" s="12"/>
      <c r="D662" s="12"/>
      <c r="E662" s="12"/>
      <c r="F662" s="12"/>
      <c r="G662" s="12"/>
      <c r="H662" s="12"/>
      <c r="I662" s="12"/>
      <c r="J662" s="12"/>
      <c r="K662" s="12"/>
      <c r="L662" s="19"/>
      <c r="M662" s="19"/>
      <c r="N662" s="19"/>
      <c r="O662" s="19"/>
      <c r="P662" s="19"/>
      <c r="Q662" s="12"/>
      <c r="R662" s="12"/>
      <c r="S662" s="12"/>
      <c r="T662" s="12"/>
      <c r="U662" s="19"/>
      <c r="V662" s="12"/>
      <c r="W662" s="12"/>
      <c r="X662" s="12"/>
      <c r="Y662" s="12"/>
      <c r="Z662" s="12"/>
    </row>
    <row r="663">
      <c r="A663" s="18"/>
      <c r="B663" s="12"/>
      <c r="C663" s="12"/>
      <c r="D663" s="12"/>
      <c r="E663" s="12"/>
      <c r="F663" s="12"/>
      <c r="G663" s="12"/>
      <c r="H663" s="12"/>
      <c r="I663" s="12"/>
      <c r="J663" s="12"/>
      <c r="K663" s="12"/>
      <c r="L663" s="19"/>
      <c r="M663" s="19"/>
      <c r="N663" s="19"/>
      <c r="O663" s="19"/>
      <c r="P663" s="19"/>
      <c r="Q663" s="12"/>
      <c r="R663" s="12"/>
      <c r="S663" s="12"/>
      <c r="T663" s="12"/>
      <c r="U663" s="19"/>
      <c r="V663" s="12"/>
      <c r="W663" s="12"/>
      <c r="X663" s="12"/>
      <c r="Y663" s="12"/>
      <c r="Z663" s="12"/>
    </row>
    <row r="664">
      <c r="A664" s="18"/>
      <c r="B664" s="12"/>
      <c r="C664" s="12"/>
      <c r="D664" s="12"/>
      <c r="E664" s="12"/>
      <c r="F664" s="12"/>
      <c r="G664" s="12"/>
      <c r="H664" s="12"/>
      <c r="I664" s="12"/>
      <c r="J664" s="12"/>
      <c r="K664" s="12"/>
      <c r="L664" s="19"/>
      <c r="M664" s="19"/>
      <c r="N664" s="19"/>
      <c r="O664" s="19"/>
      <c r="P664" s="19"/>
      <c r="Q664" s="12"/>
      <c r="R664" s="12"/>
      <c r="S664" s="12"/>
      <c r="T664" s="12"/>
      <c r="U664" s="19"/>
      <c r="V664" s="12"/>
      <c r="W664" s="12"/>
      <c r="X664" s="12"/>
      <c r="Y664" s="12"/>
      <c r="Z664" s="12"/>
    </row>
    <row r="665">
      <c r="A665" s="18"/>
      <c r="B665" s="12"/>
      <c r="C665" s="12"/>
      <c r="D665" s="12"/>
      <c r="E665" s="12"/>
      <c r="F665" s="12"/>
      <c r="G665" s="12"/>
      <c r="H665" s="12"/>
      <c r="I665" s="12"/>
      <c r="J665" s="12"/>
      <c r="K665" s="12"/>
      <c r="L665" s="19"/>
      <c r="M665" s="19"/>
      <c r="N665" s="19"/>
      <c r="O665" s="19"/>
      <c r="P665" s="19"/>
      <c r="Q665" s="12"/>
      <c r="R665" s="12"/>
      <c r="S665" s="12"/>
      <c r="T665" s="12"/>
      <c r="U665" s="19"/>
      <c r="V665" s="12"/>
      <c r="W665" s="12"/>
      <c r="X665" s="12"/>
      <c r="Y665" s="12"/>
      <c r="Z665" s="12"/>
    </row>
    <row r="666">
      <c r="A666" s="18"/>
      <c r="B666" s="12"/>
      <c r="C666" s="12"/>
      <c r="D666" s="12"/>
      <c r="E666" s="12"/>
      <c r="F666" s="12"/>
      <c r="G666" s="12"/>
      <c r="H666" s="12"/>
      <c r="I666" s="12"/>
      <c r="J666" s="12"/>
      <c r="K666" s="12"/>
      <c r="L666" s="19"/>
      <c r="M666" s="19"/>
      <c r="N666" s="19"/>
      <c r="O666" s="19"/>
      <c r="P666" s="19"/>
      <c r="Q666" s="12"/>
      <c r="R666" s="12"/>
      <c r="S666" s="12"/>
      <c r="T666" s="12"/>
      <c r="U666" s="19"/>
      <c r="V666" s="12"/>
      <c r="W666" s="12"/>
      <c r="X666" s="12"/>
      <c r="Y666" s="12"/>
      <c r="Z666" s="12"/>
    </row>
    <row r="667">
      <c r="A667" s="18"/>
      <c r="B667" s="12"/>
      <c r="C667" s="12"/>
      <c r="D667" s="12"/>
      <c r="E667" s="12"/>
      <c r="F667" s="12"/>
      <c r="G667" s="12"/>
      <c r="H667" s="12"/>
      <c r="I667" s="12"/>
      <c r="J667" s="12"/>
      <c r="K667" s="12"/>
      <c r="L667" s="19"/>
      <c r="M667" s="19"/>
      <c r="N667" s="19"/>
      <c r="O667" s="19"/>
      <c r="P667" s="19"/>
      <c r="Q667" s="12"/>
      <c r="R667" s="12"/>
      <c r="S667" s="12"/>
      <c r="T667" s="12"/>
      <c r="U667" s="19"/>
      <c r="V667" s="12"/>
      <c r="W667" s="12"/>
      <c r="X667" s="12"/>
      <c r="Y667" s="12"/>
      <c r="Z667" s="12"/>
    </row>
    <row r="668">
      <c r="A668" s="18"/>
      <c r="B668" s="12"/>
      <c r="C668" s="12"/>
      <c r="D668" s="12"/>
      <c r="E668" s="12"/>
      <c r="F668" s="12"/>
      <c r="G668" s="12"/>
      <c r="H668" s="12"/>
      <c r="I668" s="12"/>
      <c r="J668" s="12"/>
      <c r="K668" s="12"/>
      <c r="L668" s="19"/>
      <c r="M668" s="19"/>
      <c r="N668" s="19"/>
      <c r="O668" s="19"/>
      <c r="P668" s="19"/>
      <c r="Q668" s="12"/>
      <c r="R668" s="12"/>
      <c r="S668" s="12"/>
      <c r="T668" s="12"/>
      <c r="U668" s="19"/>
      <c r="V668" s="12"/>
      <c r="W668" s="12"/>
      <c r="X668" s="12"/>
      <c r="Y668" s="12"/>
      <c r="Z668" s="12"/>
    </row>
    <row r="669">
      <c r="A669" s="18"/>
      <c r="B669" s="12"/>
      <c r="C669" s="12"/>
      <c r="D669" s="12"/>
      <c r="E669" s="12"/>
      <c r="F669" s="12"/>
      <c r="G669" s="12"/>
      <c r="H669" s="12"/>
      <c r="I669" s="12"/>
      <c r="J669" s="12"/>
      <c r="K669" s="12"/>
      <c r="L669" s="19"/>
      <c r="M669" s="19"/>
      <c r="N669" s="19"/>
      <c r="O669" s="19"/>
      <c r="P669" s="19"/>
      <c r="Q669" s="12"/>
      <c r="R669" s="12"/>
      <c r="S669" s="12"/>
      <c r="T669" s="12"/>
      <c r="U669" s="19"/>
      <c r="V669" s="12"/>
      <c r="W669" s="12"/>
      <c r="X669" s="12"/>
      <c r="Y669" s="12"/>
      <c r="Z669" s="12"/>
    </row>
    <row r="670">
      <c r="A670" s="18"/>
      <c r="B670" s="12"/>
      <c r="C670" s="12"/>
      <c r="D670" s="12"/>
      <c r="E670" s="12"/>
      <c r="F670" s="12"/>
      <c r="G670" s="12"/>
      <c r="H670" s="12"/>
      <c r="I670" s="12"/>
      <c r="J670" s="12"/>
      <c r="K670" s="12"/>
      <c r="L670" s="19"/>
      <c r="M670" s="19"/>
      <c r="N670" s="19"/>
      <c r="O670" s="19"/>
      <c r="P670" s="19"/>
      <c r="Q670" s="12"/>
      <c r="R670" s="12"/>
      <c r="S670" s="12"/>
      <c r="T670" s="12"/>
      <c r="U670" s="19"/>
      <c r="V670" s="12"/>
      <c r="W670" s="12"/>
      <c r="X670" s="12"/>
      <c r="Y670" s="12"/>
      <c r="Z670" s="12"/>
    </row>
    <row r="671">
      <c r="A671" s="18"/>
      <c r="B671" s="12"/>
      <c r="C671" s="12"/>
      <c r="D671" s="12"/>
      <c r="E671" s="12"/>
      <c r="F671" s="12"/>
      <c r="G671" s="12"/>
      <c r="H671" s="12"/>
      <c r="I671" s="12"/>
      <c r="J671" s="12"/>
      <c r="K671" s="12"/>
      <c r="L671" s="19"/>
      <c r="M671" s="19"/>
      <c r="N671" s="19"/>
      <c r="O671" s="19"/>
      <c r="P671" s="19"/>
      <c r="Q671" s="12"/>
      <c r="R671" s="12"/>
      <c r="S671" s="12"/>
      <c r="T671" s="12"/>
      <c r="U671" s="19"/>
      <c r="V671" s="12"/>
      <c r="W671" s="12"/>
      <c r="X671" s="12"/>
      <c r="Y671" s="12"/>
      <c r="Z671" s="12"/>
    </row>
    <row r="672">
      <c r="A672" s="18"/>
      <c r="B672" s="12"/>
      <c r="C672" s="12"/>
      <c r="D672" s="12"/>
      <c r="E672" s="12"/>
      <c r="F672" s="12"/>
      <c r="G672" s="12"/>
      <c r="H672" s="12"/>
      <c r="I672" s="12"/>
      <c r="J672" s="12"/>
      <c r="K672" s="12"/>
      <c r="L672" s="19"/>
      <c r="M672" s="19"/>
      <c r="N672" s="19"/>
      <c r="O672" s="19"/>
      <c r="P672" s="19"/>
      <c r="Q672" s="12"/>
      <c r="R672" s="12"/>
      <c r="S672" s="12"/>
      <c r="T672" s="12"/>
      <c r="U672" s="19"/>
      <c r="V672" s="12"/>
      <c r="W672" s="12"/>
      <c r="X672" s="12"/>
      <c r="Y672" s="12"/>
      <c r="Z672" s="12"/>
    </row>
    <row r="673">
      <c r="A673" s="18"/>
      <c r="B673" s="12"/>
      <c r="C673" s="12"/>
      <c r="D673" s="12"/>
      <c r="E673" s="12"/>
      <c r="F673" s="12"/>
      <c r="G673" s="12"/>
      <c r="H673" s="12"/>
      <c r="I673" s="12"/>
      <c r="J673" s="12"/>
      <c r="K673" s="12"/>
      <c r="L673" s="19"/>
      <c r="M673" s="19"/>
      <c r="N673" s="19"/>
      <c r="O673" s="19"/>
      <c r="P673" s="19"/>
      <c r="Q673" s="12"/>
      <c r="R673" s="12"/>
      <c r="S673" s="12"/>
      <c r="T673" s="12"/>
      <c r="U673" s="19"/>
      <c r="V673" s="12"/>
      <c r="W673" s="12"/>
      <c r="X673" s="12"/>
      <c r="Y673" s="12"/>
      <c r="Z673" s="12"/>
    </row>
    <row r="674">
      <c r="A674" s="18"/>
      <c r="B674" s="12"/>
      <c r="C674" s="12"/>
      <c r="D674" s="12"/>
      <c r="E674" s="12"/>
      <c r="F674" s="12"/>
      <c r="G674" s="12"/>
      <c r="H674" s="12"/>
      <c r="I674" s="12"/>
      <c r="J674" s="12"/>
      <c r="K674" s="12"/>
      <c r="L674" s="19"/>
      <c r="M674" s="19"/>
      <c r="N674" s="19"/>
      <c r="O674" s="19"/>
      <c r="P674" s="19"/>
      <c r="Q674" s="12"/>
      <c r="R674" s="12"/>
      <c r="S674" s="12"/>
      <c r="T674" s="12"/>
      <c r="U674" s="19"/>
      <c r="V674" s="12"/>
      <c r="W674" s="12"/>
      <c r="X674" s="12"/>
      <c r="Y674" s="12"/>
      <c r="Z674" s="12"/>
    </row>
    <row r="675">
      <c r="A675" s="18"/>
      <c r="B675" s="12"/>
      <c r="C675" s="12"/>
      <c r="D675" s="12"/>
      <c r="E675" s="12"/>
      <c r="F675" s="12"/>
      <c r="G675" s="12"/>
      <c r="H675" s="12"/>
      <c r="I675" s="12"/>
      <c r="J675" s="12"/>
      <c r="K675" s="12"/>
      <c r="L675" s="19"/>
      <c r="M675" s="19"/>
      <c r="N675" s="19"/>
      <c r="O675" s="19"/>
      <c r="P675" s="19"/>
      <c r="Q675" s="12"/>
      <c r="R675" s="12"/>
      <c r="S675" s="12"/>
      <c r="T675" s="12"/>
      <c r="U675" s="19"/>
      <c r="V675" s="12"/>
      <c r="W675" s="12"/>
      <c r="X675" s="12"/>
      <c r="Y675" s="12"/>
      <c r="Z675" s="12"/>
    </row>
    <row r="676">
      <c r="A676" s="18"/>
      <c r="B676" s="12"/>
      <c r="C676" s="12"/>
      <c r="D676" s="12"/>
      <c r="E676" s="12"/>
      <c r="F676" s="12"/>
      <c r="G676" s="12"/>
      <c r="H676" s="12"/>
      <c r="I676" s="12"/>
      <c r="J676" s="12"/>
      <c r="K676" s="12"/>
      <c r="L676" s="19"/>
      <c r="M676" s="19"/>
      <c r="N676" s="19"/>
      <c r="O676" s="19"/>
      <c r="P676" s="19"/>
      <c r="Q676" s="12"/>
      <c r="R676" s="12"/>
      <c r="S676" s="12"/>
      <c r="T676" s="12"/>
      <c r="U676" s="19"/>
      <c r="V676" s="12"/>
      <c r="W676" s="12"/>
      <c r="X676" s="12"/>
      <c r="Y676" s="12"/>
      <c r="Z676" s="12"/>
    </row>
    <row r="677">
      <c r="A677" s="18"/>
      <c r="B677" s="12"/>
      <c r="C677" s="12"/>
      <c r="D677" s="12"/>
      <c r="E677" s="12"/>
      <c r="F677" s="12"/>
      <c r="G677" s="12"/>
      <c r="H677" s="12"/>
      <c r="I677" s="12"/>
      <c r="J677" s="12"/>
      <c r="K677" s="12"/>
      <c r="L677" s="19"/>
      <c r="M677" s="19"/>
      <c r="N677" s="19"/>
      <c r="O677" s="19"/>
      <c r="P677" s="19"/>
      <c r="Q677" s="12"/>
      <c r="R677" s="12"/>
      <c r="S677" s="12"/>
      <c r="T677" s="12"/>
      <c r="U677" s="19"/>
      <c r="V677" s="12"/>
      <c r="W677" s="12"/>
      <c r="X677" s="12"/>
      <c r="Y677" s="12"/>
      <c r="Z677" s="12"/>
    </row>
    <row r="678">
      <c r="A678" s="18"/>
      <c r="B678" s="12"/>
      <c r="C678" s="12"/>
      <c r="D678" s="12"/>
      <c r="E678" s="12"/>
      <c r="F678" s="12"/>
      <c r="G678" s="12"/>
      <c r="H678" s="12"/>
      <c r="I678" s="12"/>
      <c r="J678" s="12"/>
      <c r="K678" s="12"/>
      <c r="L678" s="19"/>
      <c r="M678" s="19"/>
      <c r="N678" s="19"/>
      <c r="O678" s="19"/>
      <c r="P678" s="19"/>
      <c r="Q678" s="12"/>
      <c r="R678" s="12"/>
      <c r="S678" s="12"/>
      <c r="T678" s="12"/>
      <c r="U678" s="19"/>
      <c r="V678" s="12"/>
      <c r="W678" s="12"/>
      <c r="X678" s="12"/>
      <c r="Y678" s="12"/>
      <c r="Z678" s="12"/>
    </row>
    <row r="679">
      <c r="A679" s="18"/>
      <c r="B679" s="12"/>
      <c r="C679" s="12"/>
      <c r="D679" s="12"/>
      <c r="E679" s="12"/>
      <c r="F679" s="12"/>
      <c r="G679" s="12"/>
      <c r="H679" s="12"/>
      <c r="I679" s="12"/>
      <c r="J679" s="12"/>
      <c r="K679" s="12"/>
      <c r="L679" s="19"/>
      <c r="M679" s="19"/>
      <c r="N679" s="19"/>
      <c r="O679" s="19"/>
      <c r="P679" s="19"/>
      <c r="Q679" s="12"/>
      <c r="R679" s="12"/>
      <c r="S679" s="12"/>
      <c r="T679" s="12"/>
      <c r="U679" s="19"/>
      <c r="V679" s="12"/>
      <c r="W679" s="12"/>
      <c r="X679" s="12"/>
      <c r="Y679" s="12"/>
      <c r="Z679" s="12"/>
    </row>
    <row r="680">
      <c r="A680" s="18"/>
      <c r="B680" s="12"/>
      <c r="C680" s="12"/>
      <c r="D680" s="12"/>
      <c r="E680" s="12"/>
      <c r="F680" s="12"/>
      <c r="G680" s="12"/>
      <c r="H680" s="12"/>
      <c r="I680" s="12"/>
      <c r="J680" s="12"/>
      <c r="K680" s="12"/>
      <c r="L680" s="19"/>
      <c r="M680" s="19"/>
      <c r="N680" s="19"/>
      <c r="O680" s="19"/>
      <c r="P680" s="19"/>
      <c r="Q680" s="12"/>
      <c r="R680" s="12"/>
      <c r="S680" s="12"/>
      <c r="T680" s="12"/>
      <c r="U680" s="19"/>
      <c r="V680" s="12"/>
      <c r="W680" s="12"/>
      <c r="X680" s="12"/>
      <c r="Y680" s="12"/>
      <c r="Z680" s="12"/>
    </row>
    <row r="681">
      <c r="A681" s="18"/>
      <c r="B681" s="12"/>
      <c r="C681" s="12"/>
      <c r="D681" s="12"/>
      <c r="E681" s="12"/>
      <c r="F681" s="12"/>
      <c r="G681" s="12"/>
      <c r="H681" s="12"/>
      <c r="I681" s="12"/>
      <c r="J681" s="12"/>
      <c r="K681" s="12"/>
      <c r="L681" s="19"/>
      <c r="M681" s="19"/>
      <c r="N681" s="19"/>
      <c r="O681" s="19"/>
      <c r="P681" s="19"/>
      <c r="Q681" s="12"/>
      <c r="R681" s="12"/>
      <c r="S681" s="12"/>
      <c r="T681" s="12"/>
      <c r="U681" s="19"/>
      <c r="V681" s="12"/>
      <c r="W681" s="12"/>
      <c r="X681" s="12"/>
      <c r="Y681" s="12"/>
      <c r="Z681" s="12"/>
    </row>
    <row r="682">
      <c r="A682" s="18"/>
      <c r="B682" s="12"/>
      <c r="C682" s="12"/>
      <c r="D682" s="12"/>
      <c r="E682" s="12"/>
      <c r="F682" s="12"/>
      <c r="G682" s="12"/>
      <c r="H682" s="12"/>
      <c r="I682" s="12"/>
      <c r="J682" s="12"/>
      <c r="K682" s="12"/>
      <c r="L682" s="19"/>
      <c r="M682" s="19"/>
      <c r="N682" s="19"/>
      <c r="O682" s="19"/>
      <c r="P682" s="19"/>
      <c r="Q682" s="12"/>
      <c r="R682" s="12"/>
      <c r="S682" s="12"/>
      <c r="T682" s="12"/>
      <c r="U682" s="19"/>
      <c r="V682" s="12"/>
      <c r="W682" s="12"/>
      <c r="X682" s="12"/>
      <c r="Y682" s="12"/>
      <c r="Z682" s="12"/>
    </row>
    <row r="683">
      <c r="A683" s="18"/>
      <c r="B683" s="12"/>
      <c r="C683" s="12"/>
      <c r="D683" s="12"/>
      <c r="E683" s="12"/>
      <c r="F683" s="12"/>
      <c r="G683" s="12"/>
      <c r="H683" s="12"/>
      <c r="I683" s="12"/>
      <c r="J683" s="12"/>
      <c r="K683" s="12"/>
      <c r="L683" s="19"/>
      <c r="M683" s="19"/>
      <c r="N683" s="19"/>
      <c r="O683" s="19"/>
      <c r="P683" s="19"/>
      <c r="Q683" s="12"/>
      <c r="R683" s="12"/>
      <c r="S683" s="12"/>
      <c r="T683" s="12"/>
      <c r="U683" s="19"/>
      <c r="V683" s="12"/>
      <c r="W683" s="12"/>
      <c r="X683" s="12"/>
      <c r="Y683" s="12"/>
      <c r="Z683" s="12"/>
    </row>
    <row r="684">
      <c r="A684" s="18"/>
      <c r="B684" s="12"/>
      <c r="C684" s="12"/>
      <c r="D684" s="12"/>
      <c r="E684" s="12"/>
      <c r="F684" s="12"/>
      <c r="G684" s="12"/>
      <c r="H684" s="12"/>
      <c r="I684" s="12"/>
      <c r="J684" s="12"/>
      <c r="K684" s="12"/>
      <c r="L684" s="19"/>
      <c r="M684" s="19"/>
      <c r="N684" s="19"/>
      <c r="O684" s="19"/>
      <c r="P684" s="19"/>
      <c r="Q684" s="12"/>
      <c r="R684" s="12"/>
      <c r="S684" s="12"/>
      <c r="T684" s="12"/>
      <c r="U684" s="19"/>
      <c r="V684" s="12"/>
      <c r="W684" s="12"/>
      <c r="X684" s="12"/>
      <c r="Y684" s="12"/>
      <c r="Z684" s="12"/>
    </row>
    <row r="685">
      <c r="A685" s="18"/>
      <c r="B685" s="12"/>
      <c r="C685" s="12"/>
      <c r="D685" s="12"/>
      <c r="E685" s="12"/>
      <c r="F685" s="12"/>
      <c r="G685" s="12"/>
      <c r="H685" s="12"/>
      <c r="I685" s="12"/>
      <c r="J685" s="12"/>
      <c r="K685" s="12"/>
      <c r="L685" s="19"/>
      <c r="M685" s="19"/>
      <c r="N685" s="19"/>
      <c r="O685" s="19"/>
      <c r="P685" s="19"/>
      <c r="Q685" s="12"/>
      <c r="R685" s="12"/>
      <c r="S685" s="12"/>
      <c r="T685" s="12"/>
      <c r="U685" s="19"/>
      <c r="V685" s="12"/>
      <c r="W685" s="12"/>
      <c r="X685" s="12"/>
      <c r="Y685" s="12"/>
      <c r="Z685" s="12"/>
    </row>
    <row r="686">
      <c r="A686" s="18"/>
      <c r="B686" s="12"/>
      <c r="C686" s="12"/>
      <c r="D686" s="12"/>
      <c r="E686" s="12"/>
      <c r="F686" s="12"/>
      <c r="G686" s="12"/>
      <c r="H686" s="12"/>
      <c r="I686" s="12"/>
      <c r="J686" s="12"/>
      <c r="K686" s="12"/>
      <c r="L686" s="19"/>
      <c r="M686" s="19"/>
      <c r="N686" s="19"/>
      <c r="O686" s="19"/>
      <c r="P686" s="19"/>
      <c r="Q686" s="12"/>
      <c r="R686" s="12"/>
      <c r="S686" s="12"/>
      <c r="T686" s="12"/>
      <c r="U686" s="19"/>
      <c r="V686" s="12"/>
      <c r="W686" s="12"/>
      <c r="X686" s="12"/>
      <c r="Y686" s="12"/>
      <c r="Z686" s="12"/>
    </row>
    <row r="687">
      <c r="A687" s="18"/>
      <c r="B687" s="12"/>
      <c r="C687" s="12"/>
      <c r="D687" s="12"/>
      <c r="E687" s="12"/>
      <c r="F687" s="12"/>
      <c r="G687" s="12"/>
      <c r="H687" s="12"/>
      <c r="I687" s="12"/>
      <c r="J687" s="12"/>
      <c r="K687" s="12"/>
      <c r="L687" s="19"/>
      <c r="M687" s="19"/>
      <c r="N687" s="19"/>
      <c r="O687" s="19"/>
      <c r="P687" s="19"/>
      <c r="Q687" s="12"/>
      <c r="R687" s="12"/>
      <c r="S687" s="12"/>
      <c r="T687" s="12"/>
      <c r="U687" s="19"/>
      <c r="V687" s="12"/>
      <c r="W687" s="12"/>
      <c r="X687" s="12"/>
      <c r="Y687" s="12"/>
      <c r="Z687" s="12"/>
    </row>
    <row r="688">
      <c r="A688" s="18"/>
      <c r="B688" s="12"/>
      <c r="C688" s="12"/>
      <c r="D688" s="12"/>
      <c r="E688" s="12"/>
      <c r="F688" s="12"/>
      <c r="G688" s="12"/>
      <c r="H688" s="12"/>
      <c r="I688" s="12"/>
      <c r="J688" s="12"/>
      <c r="K688" s="12"/>
      <c r="L688" s="19"/>
      <c r="M688" s="19"/>
      <c r="N688" s="19"/>
      <c r="O688" s="19"/>
      <c r="P688" s="19"/>
      <c r="Q688" s="12"/>
      <c r="R688" s="12"/>
      <c r="S688" s="12"/>
      <c r="T688" s="12"/>
      <c r="U688" s="19"/>
      <c r="V688" s="12"/>
      <c r="W688" s="12"/>
      <c r="X688" s="12"/>
      <c r="Y688" s="12"/>
      <c r="Z688" s="12"/>
    </row>
    <row r="689">
      <c r="A689" s="18"/>
      <c r="B689" s="12"/>
      <c r="C689" s="12"/>
      <c r="D689" s="12"/>
      <c r="E689" s="12"/>
      <c r="F689" s="12"/>
      <c r="G689" s="12"/>
      <c r="H689" s="12"/>
      <c r="I689" s="12"/>
      <c r="J689" s="12"/>
      <c r="K689" s="12"/>
      <c r="L689" s="19"/>
      <c r="M689" s="19"/>
      <c r="N689" s="19"/>
      <c r="O689" s="19"/>
      <c r="P689" s="19"/>
      <c r="Q689" s="12"/>
      <c r="R689" s="12"/>
      <c r="S689" s="12"/>
      <c r="T689" s="12"/>
      <c r="U689" s="19"/>
      <c r="V689" s="12"/>
      <c r="W689" s="12"/>
      <c r="X689" s="12"/>
      <c r="Y689" s="12"/>
      <c r="Z689" s="12"/>
    </row>
    <row r="690">
      <c r="A690" s="18"/>
      <c r="B690" s="12"/>
      <c r="C690" s="12"/>
      <c r="D690" s="12"/>
      <c r="E690" s="12"/>
      <c r="F690" s="12"/>
      <c r="G690" s="12"/>
      <c r="H690" s="12"/>
      <c r="I690" s="12"/>
      <c r="J690" s="12"/>
      <c r="K690" s="12"/>
      <c r="L690" s="19"/>
      <c r="M690" s="19"/>
      <c r="N690" s="19"/>
      <c r="O690" s="19"/>
      <c r="P690" s="19"/>
      <c r="Q690" s="12"/>
      <c r="R690" s="12"/>
      <c r="S690" s="12"/>
      <c r="T690" s="12"/>
      <c r="U690" s="19"/>
      <c r="V690" s="12"/>
      <c r="W690" s="12"/>
      <c r="X690" s="12"/>
      <c r="Y690" s="12"/>
      <c r="Z690" s="12"/>
    </row>
    <row r="691">
      <c r="A691" s="18"/>
      <c r="B691" s="12"/>
      <c r="C691" s="12"/>
      <c r="D691" s="12"/>
      <c r="E691" s="12"/>
      <c r="F691" s="12"/>
      <c r="G691" s="12"/>
      <c r="H691" s="12"/>
      <c r="I691" s="12"/>
      <c r="J691" s="12"/>
      <c r="K691" s="12"/>
      <c r="L691" s="19"/>
      <c r="M691" s="19"/>
      <c r="N691" s="19"/>
      <c r="O691" s="19"/>
      <c r="P691" s="19"/>
      <c r="Q691" s="12"/>
      <c r="R691" s="12"/>
      <c r="S691" s="12"/>
      <c r="T691" s="12"/>
      <c r="U691" s="19"/>
      <c r="V691" s="12"/>
      <c r="W691" s="12"/>
      <c r="X691" s="12"/>
      <c r="Y691" s="12"/>
      <c r="Z691" s="12"/>
    </row>
    <row r="692">
      <c r="A692" s="18"/>
      <c r="B692" s="12"/>
      <c r="C692" s="12"/>
      <c r="D692" s="12"/>
      <c r="E692" s="12"/>
      <c r="F692" s="12"/>
      <c r="G692" s="12"/>
      <c r="H692" s="12"/>
      <c r="I692" s="12"/>
      <c r="J692" s="12"/>
      <c r="K692" s="12"/>
      <c r="L692" s="19"/>
      <c r="M692" s="19"/>
      <c r="N692" s="19"/>
      <c r="O692" s="19"/>
      <c r="P692" s="19"/>
      <c r="Q692" s="12"/>
      <c r="R692" s="12"/>
      <c r="S692" s="12"/>
      <c r="T692" s="12"/>
      <c r="U692" s="19"/>
      <c r="V692" s="12"/>
      <c r="W692" s="12"/>
      <c r="X692" s="12"/>
      <c r="Y692" s="12"/>
      <c r="Z692" s="12"/>
    </row>
    <row r="693">
      <c r="A693" s="18"/>
      <c r="B693" s="12"/>
      <c r="C693" s="12"/>
      <c r="D693" s="12"/>
      <c r="E693" s="12"/>
      <c r="F693" s="12"/>
      <c r="G693" s="12"/>
      <c r="H693" s="12"/>
      <c r="I693" s="12"/>
      <c r="J693" s="12"/>
      <c r="K693" s="12"/>
      <c r="L693" s="19"/>
      <c r="M693" s="19"/>
      <c r="N693" s="19"/>
      <c r="O693" s="19"/>
      <c r="P693" s="19"/>
      <c r="Q693" s="12"/>
      <c r="R693" s="12"/>
      <c r="S693" s="12"/>
      <c r="T693" s="12"/>
      <c r="U693" s="19"/>
      <c r="V693" s="12"/>
      <c r="W693" s="12"/>
      <c r="X693" s="12"/>
      <c r="Y693" s="12"/>
      <c r="Z693" s="12"/>
    </row>
    <row r="694">
      <c r="A694" s="18"/>
      <c r="B694" s="12"/>
      <c r="C694" s="12"/>
      <c r="D694" s="12"/>
      <c r="E694" s="12"/>
      <c r="F694" s="12"/>
      <c r="G694" s="12"/>
      <c r="H694" s="12"/>
      <c r="I694" s="12"/>
      <c r="J694" s="12"/>
      <c r="K694" s="12"/>
      <c r="L694" s="19"/>
      <c r="M694" s="19"/>
      <c r="N694" s="19"/>
      <c r="O694" s="19"/>
      <c r="P694" s="19"/>
      <c r="Q694" s="12"/>
      <c r="R694" s="12"/>
      <c r="S694" s="12"/>
      <c r="T694" s="12"/>
      <c r="U694" s="19"/>
      <c r="V694" s="12"/>
      <c r="W694" s="12"/>
      <c r="X694" s="12"/>
      <c r="Y694" s="12"/>
      <c r="Z694" s="12"/>
    </row>
    <row r="695">
      <c r="A695" s="18"/>
      <c r="B695" s="12"/>
      <c r="C695" s="12"/>
      <c r="D695" s="12"/>
      <c r="E695" s="12"/>
      <c r="F695" s="12"/>
      <c r="G695" s="12"/>
      <c r="H695" s="12"/>
      <c r="I695" s="12"/>
      <c r="J695" s="12"/>
      <c r="K695" s="12"/>
      <c r="L695" s="19"/>
      <c r="M695" s="19"/>
      <c r="N695" s="19"/>
      <c r="O695" s="19"/>
      <c r="P695" s="19"/>
      <c r="Q695" s="12"/>
      <c r="R695" s="12"/>
      <c r="S695" s="12"/>
      <c r="T695" s="12"/>
      <c r="U695" s="19"/>
      <c r="V695" s="12"/>
      <c r="W695" s="12"/>
      <c r="X695" s="12"/>
      <c r="Y695" s="12"/>
      <c r="Z695" s="12"/>
    </row>
    <row r="696">
      <c r="A696" s="18"/>
      <c r="B696" s="12"/>
      <c r="C696" s="12"/>
      <c r="D696" s="12"/>
      <c r="E696" s="12"/>
      <c r="F696" s="12"/>
      <c r="G696" s="12"/>
      <c r="H696" s="12"/>
      <c r="I696" s="12"/>
      <c r="J696" s="12"/>
      <c r="K696" s="12"/>
      <c r="L696" s="19"/>
      <c r="M696" s="19"/>
      <c r="N696" s="19"/>
      <c r="O696" s="19"/>
      <c r="P696" s="19"/>
      <c r="Q696" s="12"/>
      <c r="R696" s="12"/>
      <c r="S696" s="12"/>
      <c r="T696" s="12"/>
      <c r="U696" s="19"/>
      <c r="V696" s="12"/>
      <c r="W696" s="12"/>
      <c r="X696" s="12"/>
      <c r="Y696" s="12"/>
      <c r="Z696" s="12"/>
    </row>
    <row r="697">
      <c r="A697" s="18"/>
      <c r="B697" s="12"/>
      <c r="C697" s="12"/>
      <c r="D697" s="12"/>
      <c r="E697" s="12"/>
      <c r="F697" s="12"/>
      <c r="G697" s="12"/>
      <c r="H697" s="12"/>
      <c r="I697" s="12"/>
      <c r="J697" s="12"/>
      <c r="K697" s="12"/>
      <c r="L697" s="19"/>
      <c r="M697" s="19"/>
      <c r="N697" s="19"/>
      <c r="O697" s="19"/>
      <c r="P697" s="19"/>
      <c r="Q697" s="12"/>
      <c r="R697" s="12"/>
      <c r="S697" s="12"/>
      <c r="T697" s="12"/>
      <c r="U697" s="19"/>
      <c r="V697" s="12"/>
      <c r="W697" s="12"/>
      <c r="X697" s="12"/>
      <c r="Y697" s="12"/>
      <c r="Z697" s="12"/>
    </row>
    <row r="698">
      <c r="A698" s="18"/>
      <c r="B698" s="12"/>
      <c r="C698" s="12"/>
      <c r="D698" s="12"/>
      <c r="E698" s="12"/>
      <c r="F698" s="12"/>
      <c r="G698" s="12"/>
      <c r="H698" s="12"/>
      <c r="I698" s="12"/>
      <c r="J698" s="12"/>
      <c r="K698" s="12"/>
      <c r="L698" s="19"/>
      <c r="M698" s="19"/>
      <c r="N698" s="19"/>
      <c r="O698" s="19"/>
      <c r="P698" s="19"/>
      <c r="Q698" s="12"/>
      <c r="R698" s="12"/>
      <c r="S698" s="12"/>
      <c r="T698" s="12"/>
      <c r="U698" s="19"/>
      <c r="V698" s="12"/>
      <c r="W698" s="12"/>
      <c r="X698" s="12"/>
      <c r="Y698" s="12"/>
      <c r="Z698" s="12"/>
    </row>
    <row r="699">
      <c r="A699" s="18"/>
      <c r="B699" s="12"/>
      <c r="C699" s="12"/>
      <c r="D699" s="12"/>
      <c r="E699" s="12"/>
      <c r="F699" s="12"/>
      <c r="G699" s="12"/>
      <c r="H699" s="12"/>
      <c r="I699" s="12"/>
      <c r="J699" s="12"/>
      <c r="K699" s="12"/>
      <c r="L699" s="19"/>
      <c r="M699" s="19"/>
      <c r="N699" s="19"/>
      <c r="O699" s="19"/>
      <c r="P699" s="19"/>
      <c r="Q699" s="12"/>
      <c r="R699" s="12"/>
      <c r="S699" s="12"/>
      <c r="T699" s="12"/>
      <c r="U699" s="19"/>
      <c r="V699" s="12"/>
      <c r="W699" s="12"/>
      <c r="X699" s="12"/>
      <c r="Y699" s="12"/>
      <c r="Z699" s="12"/>
    </row>
    <row r="700">
      <c r="A700" s="18"/>
      <c r="B700" s="12"/>
      <c r="C700" s="12"/>
      <c r="D700" s="12"/>
      <c r="E700" s="12"/>
      <c r="F700" s="12"/>
      <c r="G700" s="12"/>
      <c r="H700" s="12"/>
      <c r="I700" s="12"/>
      <c r="J700" s="12"/>
      <c r="K700" s="12"/>
      <c r="L700" s="19"/>
      <c r="M700" s="19"/>
      <c r="N700" s="19"/>
      <c r="O700" s="19"/>
      <c r="P700" s="19"/>
      <c r="Q700" s="12"/>
      <c r="R700" s="12"/>
      <c r="S700" s="12"/>
      <c r="T700" s="12"/>
      <c r="U700" s="19"/>
      <c r="V700" s="12"/>
      <c r="W700" s="12"/>
      <c r="X700" s="12"/>
      <c r="Y700" s="12"/>
      <c r="Z700" s="12"/>
    </row>
    <row r="701">
      <c r="A701" s="18"/>
      <c r="B701" s="12"/>
      <c r="C701" s="12"/>
      <c r="D701" s="12"/>
      <c r="E701" s="12"/>
      <c r="F701" s="12"/>
      <c r="G701" s="12"/>
      <c r="H701" s="12"/>
      <c r="I701" s="12"/>
      <c r="J701" s="12"/>
      <c r="K701" s="12"/>
      <c r="L701" s="19"/>
      <c r="M701" s="19"/>
      <c r="N701" s="19"/>
      <c r="O701" s="19"/>
      <c r="P701" s="19"/>
      <c r="Q701" s="12"/>
      <c r="R701" s="12"/>
      <c r="S701" s="12"/>
      <c r="T701" s="12"/>
      <c r="U701" s="19"/>
      <c r="V701" s="12"/>
      <c r="W701" s="12"/>
      <c r="X701" s="12"/>
      <c r="Y701" s="12"/>
      <c r="Z701" s="12"/>
    </row>
    <row r="702">
      <c r="A702" s="18"/>
      <c r="B702" s="12"/>
      <c r="C702" s="12"/>
      <c r="D702" s="12"/>
      <c r="E702" s="12"/>
      <c r="F702" s="12"/>
      <c r="G702" s="12"/>
      <c r="H702" s="12"/>
      <c r="I702" s="12"/>
      <c r="J702" s="12"/>
      <c r="K702" s="12"/>
      <c r="L702" s="19"/>
      <c r="M702" s="19"/>
      <c r="N702" s="19"/>
      <c r="O702" s="19"/>
      <c r="P702" s="19"/>
      <c r="Q702" s="12"/>
      <c r="R702" s="12"/>
      <c r="S702" s="12"/>
      <c r="T702" s="12"/>
      <c r="U702" s="19"/>
      <c r="V702" s="12"/>
      <c r="W702" s="12"/>
      <c r="X702" s="12"/>
      <c r="Y702" s="12"/>
      <c r="Z702" s="12"/>
    </row>
    <row r="703">
      <c r="A703" s="18"/>
      <c r="B703" s="12"/>
      <c r="C703" s="12"/>
      <c r="D703" s="12"/>
      <c r="E703" s="12"/>
      <c r="F703" s="12"/>
      <c r="G703" s="12"/>
      <c r="H703" s="12"/>
      <c r="I703" s="12"/>
      <c r="J703" s="12"/>
      <c r="K703" s="12"/>
      <c r="L703" s="19"/>
      <c r="M703" s="19"/>
      <c r="N703" s="19"/>
      <c r="O703" s="19"/>
      <c r="P703" s="19"/>
      <c r="Q703" s="12"/>
      <c r="R703" s="12"/>
      <c r="S703" s="12"/>
      <c r="T703" s="12"/>
      <c r="U703" s="19"/>
      <c r="V703" s="12"/>
      <c r="W703" s="12"/>
      <c r="X703" s="12"/>
      <c r="Y703" s="12"/>
      <c r="Z703" s="12"/>
    </row>
    <row r="704">
      <c r="A704" s="18"/>
      <c r="B704" s="12"/>
      <c r="C704" s="12"/>
      <c r="D704" s="12"/>
      <c r="E704" s="12"/>
      <c r="F704" s="12"/>
      <c r="G704" s="12"/>
      <c r="H704" s="12"/>
      <c r="I704" s="12"/>
      <c r="J704" s="12"/>
      <c r="K704" s="12"/>
      <c r="L704" s="19"/>
      <c r="M704" s="19"/>
      <c r="N704" s="19"/>
      <c r="O704" s="19"/>
      <c r="P704" s="19"/>
      <c r="Q704" s="12"/>
      <c r="R704" s="12"/>
      <c r="S704" s="12"/>
      <c r="T704" s="12"/>
      <c r="U704" s="19"/>
      <c r="V704" s="12"/>
      <c r="W704" s="12"/>
      <c r="X704" s="12"/>
      <c r="Y704" s="12"/>
      <c r="Z704" s="12"/>
    </row>
    <row r="705">
      <c r="A705" s="18"/>
      <c r="B705" s="12"/>
      <c r="C705" s="12"/>
      <c r="D705" s="12"/>
      <c r="E705" s="12"/>
      <c r="F705" s="12"/>
      <c r="G705" s="12"/>
      <c r="H705" s="12"/>
      <c r="I705" s="12"/>
      <c r="J705" s="12"/>
      <c r="K705" s="12"/>
      <c r="L705" s="19"/>
      <c r="M705" s="19"/>
      <c r="N705" s="19"/>
      <c r="O705" s="19"/>
      <c r="P705" s="19"/>
      <c r="Q705" s="12"/>
      <c r="R705" s="12"/>
      <c r="S705" s="12"/>
      <c r="T705" s="12"/>
      <c r="U705" s="19"/>
      <c r="V705" s="12"/>
      <c r="W705" s="12"/>
      <c r="X705" s="12"/>
      <c r="Y705" s="12"/>
      <c r="Z705" s="12"/>
    </row>
    <row r="706">
      <c r="A706" s="18"/>
      <c r="B706" s="12"/>
      <c r="C706" s="12"/>
      <c r="D706" s="12"/>
      <c r="E706" s="12"/>
      <c r="F706" s="12"/>
      <c r="G706" s="12"/>
      <c r="H706" s="12"/>
      <c r="I706" s="12"/>
      <c r="J706" s="12"/>
      <c r="K706" s="12"/>
      <c r="L706" s="19"/>
      <c r="M706" s="19"/>
      <c r="N706" s="19"/>
      <c r="O706" s="19"/>
      <c r="P706" s="19"/>
      <c r="Q706" s="12"/>
      <c r="R706" s="12"/>
      <c r="S706" s="12"/>
      <c r="T706" s="12"/>
      <c r="U706" s="19"/>
      <c r="V706" s="12"/>
      <c r="W706" s="12"/>
      <c r="X706" s="12"/>
      <c r="Y706" s="12"/>
      <c r="Z706" s="12"/>
    </row>
    <row r="707">
      <c r="A707" s="18"/>
      <c r="B707" s="12"/>
      <c r="C707" s="12"/>
      <c r="D707" s="12"/>
      <c r="E707" s="12"/>
      <c r="F707" s="12"/>
      <c r="G707" s="12"/>
      <c r="H707" s="12"/>
      <c r="I707" s="12"/>
      <c r="J707" s="12"/>
      <c r="K707" s="12"/>
      <c r="L707" s="19"/>
      <c r="M707" s="19"/>
      <c r="N707" s="19"/>
      <c r="O707" s="19"/>
      <c r="P707" s="19"/>
      <c r="Q707" s="12"/>
      <c r="R707" s="12"/>
      <c r="S707" s="12"/>
      <c r="T707" s="12"/>
      <c r="U707" s="19"/>
      <c r="V707" s="12"/>
      <c r="W707" s="12"/>
      <c r="X707" s="12"/>
      <c r="Y707" s="12"/>
      <c r="Z707" s="12"/>
    </row>
    <row r="708">
      <c r="A708" s="18"/>
      <c r="B708" s="12"/>
      <c r="C708" s="12"/>
      <c r="D708" s="12"/>
      <c r="E708" s="12"/>
      <c r="F708" s="12"/>
      <c r="G708" s="12"/>
      <c r="H708" s="12"/>
      <c r="I708" s="12"/>
      <c r="J708" s="12"/>
      <c r="K708" s="12"/>
      <c r="L708" s="19"/>
      <c r="M708" s="19"/>
      <c r="N708" s="19"/>
      <c r="O708" s="19"/>
      <c r="P708" s="19"/>
      <c r="Q708" s="12"/>
      <c r="R708" s="12"/>
      <c r="S708" s="12"/>
      <c r="T708" s="12"/>
      <c r="U708" s="19"/>
      <c r="V708" s="12"/>
      <c r="W708" s="12"/>
      <c r="X708" s="12"/>
      <c r="Y708" s="12"/>
      <c r="Z708" s="12"/>
    </row>
    <row r="709">
      <c r="A709" s="18"/>
      <c r="B709" s="12"/>
      <c r="C709" s="12"/>
      <c r="D709" s="12"/>
      <c r="E709" s="12"/>
      <c r="F709" s="12"/>
      <c r="G709" s="12"/>
      <c r="H709" s="12"/>
      <c r="I709" s="12"/>
      <c r="J709" s="12"/>
      <c r="K709" s="12"/>
      <c r="L709" s="19"/>
      <c r="M709" s="19"/>
      <c r="N709" s="19"/>
      <c r="O709" s="19"/>
      <c r="P709" s="19"/>
      <c r="Q709" s="12"/>
      <c r="R709" s="12"/>
      <c r="S709" s="12"/>
      <c r="T709" s="12"/>
      <c r="U709" s="19"/>
      <c r="V709" s="12"/>
      <c r="W709" s="12"/>
      <c r="X709" s="12"/>
      <c r="Y709" s="12"/>
      <c r="Z709" s="12"/>
    </row>
    <row r="710">
      <c r="A710" s="18"/>
      <c r="B710" s="12"/>
      <c r="C710" s="12"/>
      <c r="D710" s="12"/>
      <c r="E710" s="12"/>
      <c r="F710" s="12"/>
      <c r="G710" s="12"/>
      <c r="H710" s="12"/>
      <c r="I710" s="12"/>
      <c r="J710" s="12"/>
      <c r="K710" s="12"/>
      <c r="L710" s="19"/>
      <c r="M710" s="19"/>
      <c r="N710" s="19"/>
      <c r="O710" s="19"/>
      <c r="P710" s="19"/>
      <c r="Q710" s="12"/>
      <c r="R710" s="12"/>
      <c r="S710" s="12"/>
      <c r="T710" s="12"/>
      <c r="U710" s="19"/>
      <c r="V710" s="12"/>
      <c r="W710" s="12"/>
      <c r="X710" s="12"/>
      <c r="Y710" s="12"/>
      <c r="Z710" s="12"/>
    </row>
    <row r="711">
      <c r="A711" s="18"/>
      <c r="B711" s="12"/>
      <c r="C711" s="12"/>
      <c r="D711" s="12"/>
      <c r="E711" s="12"/>
      <c r="F711" s="12"/>
      <c r="G711" s="12"/>
      <c r="H711" s="12"/>
      <c r="I711" s="12"/>
      <c r="J711" s="12"/>
      <c r="K711" s="12"/>
      <c r="L711" s="19"/>
      <c r="M711" s="19"/>
      <c r="N711" s="19"/>
      <c r="O711" s="19"/>
      <c r="P711" s="19"/>
      <c r="Q711" s="12"/>
      <c r="R711" s="12"/>
      <c r="S711" s="12"/>
      <c r="T711" s="12"/>
      <c r="U711" s="19"/>
      <c r="V711" s="12"/>
      <c r="W711" s="12"/>
      <c r="X711" s="12"/>
      <c r="Y711" s="12"/>
      <c r="Z711" s="12"/>
    </row>
    <row r="712">
      <c r="A712" s="18"/>
      <c r="B712" s="12"/>
      <c r="C712" s="12"/>
      <c r="D712" s="12"/>
      <c r="E712" s="12"/>
      <c r="F712" s="12"/>
      <c r="G712" s="12"/>
      <c r="H712" s="12"/>
      <c r="I712" s="12"/>
      <c r="J712" s="12"/>
      <c r="K712" s="12"/>
      <c r="L712" s="19"/>
      <c r="M712" s="19"/>
      <c r="N712" s="19"/>
      <c r="O712" s="19"/>
      <c r="P712" s="19"/>
      <c r="Q712" s="12"/>
      <c r="R712" s="12"/>
      <c r="S712" s="12"/>
      <c r="T712" s="12"/>
      <c r="U712" s="19"/>
      <c r="V712" s="12"/>
      <c r="W712" s="12"/>
      <c r="X712" s="12"/>
      <c r="Y712" s="12"/>
      <c r="Z712" s="12"/>
    </row>
    <row r="713">
      <c r="A713" s="18"/>
      <c r="B713" s="12"/>
      <c r="C713" s="12"/>
      <c r="D713" s="12"/>
      <c r="E713" s="12"/>
      <c r="F713" s="12"/>
      <c r="G713" s="12"/>
      <c r="H713" s="12"/>
      <c r="I713" s="12"/>
      <c r="J713" s="12"/>
      <c r="K713" s="12"/>
      <c r="L713" s="19"/>
      <c r="M713" s="19"/>
      <c r="N713" s="19"/>
      <c r="O713" s="19"/>
      <c r="P713" s="19"/>
      <c r="Q713" s="12"/>
      <c r="R713" s="12"/>
      <c r="S713" s="12"/>
      <c r="T713" s="12"/>
      <c r="U713" s="19"/>
      <c r="V713" s="12"/>
      <c r="W713" s="12"/>
      <c r="X713" s="12"/>
      <c r="Y713" s="12"/>
      <c r="Z713" s="12"/>
    </row>
    <row r="714">
      <c r="A714" s="18"/>
      <c r="B714" s="12"/>
      <c r="C714" s="12"/>
      <c r="D714" s="12"/>
      <c r="E714" s="12"/>
      <c r="F714" s="12"/>
      <c r="G714" s="12"/>
      <c r="H714" s="12"/>
      <c r="I714" s="12"/>
      <c r="J714" s="12"/>
      <c r="K714" s="12"/>
      <c r="L714" s="19"/>
      <c r="M714" s="19"/>
      <c r="N714" s="19"/>
      <c r="O714" s="19"/>
      <c r="P714" s="19"/>
      <c r="Q714" s="12"/>
      <c r="R714" s="12"/>
      <c r="S714" s="12"/>
      <c r="T714" s="12"/>
      <c r="U714" s="19"/>
      <c r="V714" s="12"/>
      <c r="W714" s="12"/>
      <c r="X714" s="12"/>
      <c r="Y714" s="12"/>
      <c r="Z714" s="12"/>
    </row>
    <row r="715">
      <c r="A715" s="18"/>
      <c r="B715" s="12"/>
      <c r="C715" s="12"/>
      <c r="D715" s="12"/>
      <c r="E715" s="12"/>
      <c r="F715" s="12"/>
      <c r="G715" s="12"/>
      <c r="H715" s="12"/>
      <c r="I715" s="12"/>
      <c r="J715" s="12"/>
      <c r="K715" s="12"/>
      <c r="L715" s="19"/>
      <c r="M715" s="19"/>
      <c r="N715" s="19"/>
      <c r="O715" s="19"/>
      <c r="P715" s="19"/>
      <c r="Q715" s="12"/>
      <c r="R715" s="12"/>
      <c r="S715" s="12"/>
      <c r="T715" s="12"/>
      <c r="U715" s="19"/>
      <c r="V715" s="12"/>
      <c r="W715" s="12"/>
      <c r="X715" s="12"/>
      <c r="Y715" s="12"/>
      <c r="Z715" s="12"/>
    </row>
    <row r="716">
      <c r="A716" s="18"/>
      <c r="B716" s="12"/>
      <c r="C716" s="12"/>
      <c r="D716" s="12"/>
      <c r="E716" s="12"/>
      <c r="F716" s="12"/>
      <c r="G716" s="12"/>
      <c r="H716" s="12"/>
      <c r="I716" s="12"/>
      <c r="J716" s="12"/>
      <c r="K716" s="12"/>
      <c r="L716" s="19"/>
      <c r="M716" s="19"/>
      <c r="N716" s="19"/>
      <c r="O716" s="19"/>
      <c r="P716" s="19"/>
      <c r="Q716" s="12"/>
      <c r="R716" s="12"/>
      <c r="S716" s="12"/>
      <c r="T716" s="12"/>
      <c r="U716" s="19"/>
      <c r="V716" s="12"/>
      <c r="W716" s="12"/>
      <c r="X716" s="12"/>
      <c r="Y716" s="12"/>
      <c r="Z716" s="12"/>
    </row>
    <row r="717">
      <c r="A717" s="18"/>
      <c r="B717" s="12"/>
      <c r="C717" s="12"/>
      <c r="D717" s="12"/>
      <c r="E717" s="12"/>
      <c r="F717" s="12"/>
      <c r="G717" s="12"/>
      <c r="H717" s="12"/>
      <c r="I717" s="12"/>
      <c r="J717" s="12"/>
      <c r="K717" s="12"/>
      <c r="L717" s="19"/>
      <c r="M717" s="19"/>
      <c r="N717" s="19"/>
      <c r="O717" s="19"/>
      <c r="P717" s="19"/>
      <c r="Q717" s="12"/>
      <c r="R717" s="12"/>
      <c r="S717" s="12"/>
      <c r="T717" s="12"/>
      <c r="U717" s="19"/>
      <c r="V717" s="12"/>
      <c r="W717" s="12"/>
      <c r="X717" s="12"/>
      <c r="Y717" s="12"/>
      <c r="Z717" s="12"/>
    </row>
    <row r="718">
      <c r="A718" s="18"/>
      <c r="B718" s="12"/>
      <c r="C718" s="12"/>
      <c r="D718" s="12"/>
      <c r="E718" s="12"/>
      <c r="F718" s="12"/>
      <c r="G718" s="12"/>
      <c r="H718" s="12"/>
      <c r="I718" s="12"/>
      <c r="J718" s="12"/>
      <c r="K718" s="12"/>
      <c r="L718" s="19"/>
      <c r="M718" s="19"/>
      <c r="N718" s="19"/>
      <c r="O718" s="19"/>
      <c r="P718" s="19"/>
      <c r="Q718" s="12"/>
      <c r="R718" s="12"/>
      <c r="S718" s="12"/>
      <c r="T718" s="12"/>
      <c r="U718" s="19"/>
      <c r="V718" s="12"/>
      <c r="W718" s="12"/>
      <c r="X718" s="12"/>
      <c r="Y718" s="12"/>
      <c r="Z718" s="12"/>
    </row>
    <row r="719">
      <c r="A719" s="18"/>
      <c r="B719" s="12"/>
      <c r="C719" s="12"/>
      <c r="D719" s="12"/>
      <c r="E719" s="12"/>
      <c r="F719" s="12"/>
      <c r="G719" s="12"/>
      <c r="H719" s="12"/>
      <c r="I719" s="12"/>
      <c r="J719" s="12"/>
      <c r="K719" s="12"/>
      <c r="L719" s="19"/>
      <c r="M719" s="19"/>
      <c r="N719" s="19"/>
      <c r="O719" s="19"/>
      <c r="P719" s="19"/>
      <c r="Q719" s="12"/>
      <c r="R719" s="12"/>
      <c r="S719" s="12"/>
      <c r="T719" s="12"/>
      <c r="U719" s="19"/>
      <c r="V719" s="12"/>
      <c r="W719" s="12"/>
      <c r="X719" s="12"/>
      <c r="Y719" s="12"/>
      <c r="Z719" s="12"/>
    </row>
    <row r="720">
      <c r="A720" s="18"/>
      <c r="B720" s="12"/>
      <c r="C720" s="12"/>
      <c r="D720" s="12"/>
      <c r="E720" s="12"/>
      <c r="F720" s="12"/>
      <c r="G720" s="12"/>
      <c r="H720" s="12"/>
      <c r="I720" s="12"/>
      <c r="J720" s="12"/>
      <c r="K720" s="12"/>
      <c r="L720" s="19"/>
      <c r="M720" s="19"/>
      <c r="N720" s="19"/>
      <c r="O720" s="19"/>
      <c r="P720" s="19"/>
      <c r="Q720" s="12"/>
      <c r="R720" s="12"/>
      <c r="S720" s="12"/>
      <c r="T720" s="12"/>
      <c r="U720" s="19"/>
      <c r="V720" s="12"/>
      <c r="W720" s="12"/>
      <c r="X720" s="12"/>
      <c r="Y720" s="12"/>
      <c r="Z720" s="12"/>
    </row>
    <row r="721">
      <c r="A721" s="18"/>
      <c r="B721" s="12"/>
      <c r="C721" s="12"/>
      <c r="D721" s="12"/>
      <c r="E721" s="12"/>
      <c r="F721" s="12"/>
      <c r="G721" s="12"/>
      <c r="H721" s="12"/>
      <c r="I721" s="12"/>
      <c r="J721" s="12"/>
      <c r="K721" s="12"/>
      <c r="L721" s="19"/>
      <c r="M721" s="19"/>
      <c r="N721" s="19"/>
      <c r="O721" s="19"/>
      <c r="P721" s="19"/>
      <c r="Q721" s="12"/>
      <c r="R721" s="12"/>
      <c r="S721" s="12"/>
      <c r="T721" s="12"/>
      <c r="U721" s="19"/>
      <c r="V721" s="12"/>
      <c r="W721" s="12"/>
      <c r="X721" s="12"/>
      <c r="Y721" s="12"/>
      <c r="Z721" s="12"/>
    </row>
    <row r="722">
      <c r="A722" s="18"/>
      <c r="B722" s="12"/>
      <c r="C722" s="12"/>
      <c r="D722" s="12"/>
      <c r="E722" s="12"/>
      <c r="F722" s="12"/>
      <c r="G722" s="12"/>
      <c r="H722" s="12"/>
      <c r="I722" s="12"/>
      <c r="J722" s="12"/>
      <c r="K722" s="12"/>
      <c r="L722" s="19"/>
      <c r="M722" s="19"/>
      <c r="N722" s="19"/>
      <c r="O722" s="19"/>
      <c r="P722" s="19"/>
      <c r="Q722" s="12"/>
      <c r="R722" s="12"/>
      <c r="S722" s="12"/>
      <c r="T722" s="12"/>
      <c r="U722" s="19"/>
      <c r="V722" s="12"/>
      <c r="W722" s="12"/>
      <c r="X722" s="12"/>
      <c r="Y722" s="12"/>
      <c r="Z722" s="12"/>
    </row>
    <row r="723">
      <c r="A723" s="18"/>
      <c r="B723" s="12"/>
      <c r="C723" s="12"/>
      <c r="D723" s="12"/>
      <c r="E723" s="12"/>
      <c r="F723" s="12"/>
      <c r="G723" s="12"/>
      <c r="H723" s="12"/>
      <c r="I723" s="12"/>
      <c r="J723" s="12"/>
      <c r="K723" s="12"/>
      <c r="L723" s="19"/>
      <c r="M723" s="19"/>
      <c r="N723" s="19"/>
      <c r="O723" s="19"/>
      <c r="P723" s="19"/>
      <c r="Q723" s="12"/>
      <c r="R723" s="12"/>
      <c r="S723" s="12"/>
      <c r="T723" s="12"/>
      <c r="U723" s="19"/>
      <c r="V723" s="12"/>
      <c r="W723" s="12"/>
      <c r="X723" s="12"/>
      <c r="Y723" s="12"/>
      <c r="Z723" s="12"/>
    </row>
    <row r="724">
      <c r="A724" s="18"/>
      <c r="B724" s="12"/>
      <c r="C724" s="12"/>
      <c r="D724" s="12"/>
      <c r="E724" s="12"/>
      <c r="F724" s="12"/>
      <c r="G724" s="12"/>
      <c r="H724" s="12"/>
      <c r="I724" s="12"/>
      <c r="J724" s="12"/>
      <c r="K724" s="12"/>
      <c r="L724" s="19"/>
      <c r="M724" s="19"/>
      <c r="N724" s="19"/>
      <c r="O724" s="19"/>
      <c r="P724" s="19"/>
      <c r="Q724" s="12"/>
      <c r="R724" s="12"/>
      <c r="S724" s="12"/>
      <c r="T724" s="12"/>
      <c r="U724" s="19"/>
      <c r="V724" s="12"/>
      <c r="W724" s="12"/>
      <c r="X724" s="12"/>
      <c r="Y724" s="12"/>
      <c r="Z724" s="12"/>
    </row>
    <row r="725">
      <c r="A725" s="18"/>
      <c r="B725" s="12"/>
      <c r="C725" s="12"/>
      <c r="D725" s="12"/>
      <c r="E725" s="12"/>
      <c r="F725" s="12"/>
      <c r="G725" s="12"/>
      <c r="H725" s="12"/>
      <c r="I725" s="12"/>
      <c r="J725" s="12"/>
      <c r="K725" s="12"/>
      <c r="L725" s="19"/>
      <c r="M725" s="19"/>
      <c r="N725" s="19"/>
      <c r="O725" s="19"/>
      <c r="P725" s="19"/>
      <c r="Q725" s="12"/>
      <c r="R725" s="12"/>
      <c r="S725" s="12"/>
      <c r="T725" s="12"/>
      <c r="U725" s="19"/>
      <c r="V725" s="12"/>
      <c r="W725" s="12"/>
      <c r="X725" s="12"/>
      <c r="Y725" s="12"/>
      <c r="Z725" s="12"/>
    </row>
    <row r="726">
      <c r="A726" s="18"/>
      <c r="B726" s="12"/>
      <c r="C726" s="12"/>
      <c r="D726" s="12"/>
      <c r="E726" s="12"/>
      <c r="F726" s="12"/>
      <c r="G726" s="12"/>
      <c r="H726" s="12"/>
      <c r="I726" s="12"/>
      <c r="J726" s="12"/>
      <c r="K726" s="12"/>
      <c r="L726" s="19"/>
      <c r="M726" s="19"/>
      <c r="N726" s="19"/>
      <c r="O726" s="19"/>
      <c r="P726" s="19"/>
      <c r="Q726" s="12"/>
      <c r="R726" s="12"/>
      <c r="S726" s="12"/>
      <c r="T726" s="12"/>
      <c r="U726" s="19"/>
      <c r="V726" s="12"/>
      <c r="W726" s="12"/>
      <c r="X726" s="12"/>
      <c r="Y726" s="12"/>
      <c r="Z726" s="12"/>
    </row>
    <row r="727">
      <c r="A727" s="18"/>
      <c r="B727" s="12"/>
      <c r="C727" s="12"/>
      <c r="D727" s="12"/>
      <c r="E727" s="12"/>
      <c r="F727" s="12"/>
      <c r="G727" s="12"/>
      <c r="H727" s="12"/>
      <c r="I727" s="12"/>
      <c r="J727" s="12"/>
      <c r="K727" s="12"/>
      <c r="L727" s="19"/>
      <c r="M727" s="19"/>
      <c r="N727" s="19"/>
      <c r="O727" s="19"/>
      <c r="P727" s="19"/>
      <c r="Q727" s="12"/>
      <c r="R727" s="12"/>
      <c r="S727" s="12"/>
      <c r="T727" s="12"/>
      <c r="U727" s="19"/>
      <c r="V727" s="12"/>
      <c r="W727" s="12"/>
      <c r="X727" s="12"/>
      <c r="Y727" s="12"/>
      <c r="Z727" s="12"/>
    </row>
    <row r="728">
      <c r="A728" s="18"/>
      <c r="B728" s="12"/>
      <c r="C728" s="12"/>
      <c r="D728" s="12"/>
      <c r="E728" s="12"/>
      <c r="F728" s="12"/>
      <c r="G728" s="12"/>
      <c r="H728" s="12"/>
      <c r="I728" s="12"/>
      <c r="J728" s="12"/>
      <c r="K728" s="12"/>
      <c r="L728" s="19"/>
      <c r="M728" s="19"/>
      <c r="N728" s="19"/>
      <c r="O728" s="19"/>
      <c r="P728" s="19"/>
      <c r="Q728" s="12"/>
      <c r="R728" s="12"/>
      <c r="S728" s="12"/>
      <c r="T728" s="12"/>
      <c r="U728" s="19"/>
      <c r="V728" s="12"/>
      <c r="W728" s="12"/>
      <c r="X728" s="12"/>
      <c r="Y728" s="12"/>
      <c r="Z728" s="12"/>
    </row>
    <row r="729">
      <c r="A729" s="18"/>
      <c r="B729" s="12"/>
      <c r="C729" s="12"/>
      <c r="D729" s="12"/>
      <c r="E729" s="12"/>
      <c r="F729" s="12"/>
      <c r="G729" s="12"/>
      <c r="H729" s="12"/>
      <c r="I729" s="12"/>
      <c r="J729" s="12"/>
      <c r="K729" s="12"/>
      <c r="L729" s="19"/>
      <c r="M729" s="19"/>
      <c r="N729" s="19"/>
      <c r="O729" s="19"/>
      <c r="P729" s="19"/>
      <c r="Q729" s="12"/>
      <c r="R729" s="12"/>
      <c r="S729" s="12"/>
      <c r="T729" s="12"/>
      <c r="U729" s="19"/>
      <c r="V729" s="12"/>
      <c r="W729" s="12"/>
      <c r="X729" s="12"/>
      <c r="Y729" s="12"/>
      <c r="Z729" s="12"/>
    </row>
    <row r="730">
      <c r="A730" s="18"/>
      <c r="B730" s="12"/>
      <c r="C730" s="12"/>
      <c r="D730" s="12"/>
      <c r="E730" s="12"/>
      <c r="F730" s="12"/>
      <c r="G730" s="12"/>
      <c r="H730" s="12"/>
      <c r="I730" s="12"/>
      <c r="J730" s="12"/>
      <c r="K730" s="12"/>
      <c r="L730" s="19"/>
      <c r="M730" s="19"/>
      <c r="N730" s="19"/>
      <c r="O730" s="19"/>
      <c r="P730" s="19"/>
      <c r="Q730" s="12"/>
      <c r="R730" s="12"/>
      <c r="S730" s="12"/>
      <c r="T730" s="12"/>
      <c r="U730" s="19"/>
      <c r="V730" s="12"/>
      <c r="W730" s="12"/>
      <c r="X730" s="12"/>
      <c r="Y730" s="12"/>
      <c r="Z730" s="12"/>
    </row>
    <row r="731">
      <c r="A731" s="18"/>
      <c r="B731" s="12"/>
      <c r="C731" s="12"/>
      <c r="D731" s="12"/>
      <c r="E731" s="12"/>
      <c r="F731" s="12"/>
      <c r="G731" s="12"/>
      <c r="H731" s="12"/>
      <c r="I731" s="12"/>
      <c r="J731" s="12"/>
      <c r="K731" s="12"/>
      <c r="L731" s="19"/>
      <c r="M731" s="19"/>
      <c r="N731" s="19"/>
      <c r="O731" s="19"/>
      <c r="P731" s="19"/>
      <c r="Q731" s="12"/>
      <c r="R731" s="12"/>
      <c r="S731" s="12"/>
      <c r="T731" s="12"/>
      <c r="U731" s="19"/>
      <c r="V731" s="12"/>
      <c r="W731" s="12"/>
      <c r="X731" s="12"/>
      <c r="Y731" s="12"/>
      <c r="Z731" s="12"/>
    </row>
    <row r="732">
      <c r="A732" s="18"/>
      <c r="B732" s="12"/>
      <c r="C732" s="12"/>
      <c r="D732" s="12"/>
      <c r="E732" s="12"/>
      <c r="F732" s="12"/>
      <c r="G732" s="12"/>
      <c r="H732" s="12"/>
      <c r="I732" s="12"/>
      <c r="J732" s="12"/>
      <c r="K732" s="12"/>
      <c r="L732" s="19"/>
      <c r="M732" s="19"/>
      <c r="N732" s="19"/>
      <c r="O732" s="19"/>
      <c r="P732" s="19"/>
      <c r="Q732" s="12"/>
      <c r="R732" s="12"/>
      <c r="S732" s="12"/>
      <c r="T732" s="12"/>
      <c r="U732" s="19"/>
      <c r="V732" s="12"/>
      <c r="W732" s="12"/>
      <c r="X732" s="12"/>
      <c r="Y732" s="12"/>
      <c r="Z732" s="12"/>
    </row>
    <row r="733">
      <c r="A733" s="18"/>
      <c r="B733" s="12"/>
      <c r="C733" s="12"/>
      <c r="D733" s="12"/>
      <c r="E733" s="12"/>
      <c r="F733" s="12"/>
      <c r="G733" s="12"/>
      <c r="H733" s="12"/>
      <c r="I733" s="12"/>
      <c r="J733" s="12"/>
      <c r="K733" s="12"/>
      <c r="L733" s="19"/>
      <c r="M733" s="19"/>
      <c r="N733" s="19"/>
      <c r="O733" s="19"/>
      <c r="P733" s="19"/>
      <c r="Q733" s="12"/>
      <c r="R733" s="12"/>
      <c r="S733" s="12"/>
      <c r="T733" s="12"/>
      <c r="U733" s="19"/>
      <c r="V733" s="12"/>
      <c r="W733" s="12"/>
      <c r="X733" s="12"/>
      <c r="Y733" s="12"/>
      <c r="Z733" s="12"/>
    </row>
    <row r="734">
      <c r="A734" s="18"/>
      <c r="B734" s="12"/>
      <c r="C734" s="12"/>
      <c r="D734" s="12"/>
      <c r="E734" s="12"/>
      <c r="F734" s="12"/>
      <c r="G734" s="12"/>
      <c r="H734" s="12"/>
      <c r="I734" s="12"/>
      <c r="J734" s="12"/>
      <c r="K734" s="12"/>
      <c r="L734" s="19"/>
      <c r="M734" s="19"/>
      <c r="N734" s="19"/>
      <c r="O734" s="19"/>
      <c r="P734" s="19"/>
      <c r="Q734" s="12"/>
      <c r="R734" s="12"/>
      <c r="S734" s="12"/>
      <c r="T734" s="12"/>
      <c r="U734" s="19"/>
      <c r="V734" s="12"/>
      <c r="W734" s="12"/>
      <c r="X734" s="12"/>
      <c r="Y734" s="12"/>
      <c r="Z734" s="12"/>
    </row>
    <row r="735">
      <c r="A735" s="18"/>
      <c r="B735" s="12"/>
      <c r="C735" s="12"/>
      <c r="D735" s="12"/>
      <c r="E735" s="12"/>
      <c r="F735" s="12"/>
      <c r="G735" s="12"/>
      <c r="H735" s="12"/>
      <c r="I735" s="12"/>
      <c r="J735" s="12"/>
      <c r="K735" s="12"/>
      <c r="L735" s="19"/>
      <c r="M735" s="19"/>
      <c r="N735" s="19"/>
      <c r="O735" s="19"/>
      <c r="P735" s="19"/>
      <c r="Q735" s="12"/>
      <c r="R735" s="12"/>
      <c r="S735" s="12"/>
      <c r="T735" s="12"/>
      <c r="U735" s="19"/>
      <c r="V735" s="12"/>
      <c r="W735" s="12"/>
      <c r="X735" s="12"/>
      <c r="Y735" s="12"/>
      <c r="Z735" s="12"/>
    </row>
    <row r="736">
      <c r="A736" s="18"/>
      <c r="B736" s="12"/>
      <c r="C736" s="12"/>
      <c r="D736" s="12"/>
      <c r="E736" s="12"/>
      <c r="F736" s="12"/>
      <c r="G736" s="12"/>
      <c r="H736" s="12"/>
      <c r="I736" s="12"/>
      <c r="J736" s="12"/>
      <c r="K736" s="12"/>
      <c r="L736" s="19"/>
      <c r="M736" s="19"/>
      <c r="N736" s="19"/>
      <c r="O736" s="19"/>
      <c r="P736" s="19"/>
      <c r="Q736" s="12"/>
      <c r="R736" s="12"/>
      <c r="S736" s="12"/>
      <c r="T736" s="12"/>
      <c r="U736" s="19"/>
      <c r="V736" s="12"/>
      <c r="W736" s="12"/>
      <c r="X736" s="12"/>
      <c r="Y736" s="12"/>
      <c r="Z736" s="12"/>
    </row>
    <row r="737">
      <c r="A737" s="18"/>
      <c r="B737" s="12"/>
      <c r="C737" s="12"/>
      <c r="D737" s="12"/>
      <c r="E737" s="12"/>
      <c r="F737" s="12"/>
      <c r="G737" s="12"/>
      <c r="H737" s="12"/>
      <c r="I737" s="12"/>
      <c r="J737" s="12"/>
      <c r="K737" s="12"/>
      <c r="L737" s="19"/>
      <c r="M737" s="19"/>
      <c r="N737" s="19"/>
      <c r="O737" s="19"/>
      <c r="P737" s="19"/>
      <c r="Q737" s="12"/>
      <c r="R737" s="12"/>
      <c r="S737" s="12"/>
      <c r="T737" s="12"/>
      <c r="U737" s="19"/>
      <c r="V737" s="12"/>
      <c r="W737" s="12"/>
      <c r="X737" s="12"/>
      <c r="Y737" s="12"/>
      <c r="Z737" s="12"/>
    </row>
    <row r="738">
      <c r="A738" s="18"/>
      <c r="B738" s="12"/>
      <c r="C738" s="12"/>
      <c r="D738" s="12"/>
      <c r="E738" s="12"/>
      <c r="F738" s="12"/>
      <c r="G738" s="12"/>
      <c r="H738" s="12"/>
      <c r="I738" s="12"/>
      <c r="J738" s="12"/>
      <c r="K738" s="12"/>
      <c r="L738" s="19"/>
      <c r="M738" s="19"/>
      <c r="N738" s="19"/>
      <c r="O738" s="19"/>
      <c r="P738" s="19"/>
      <c r="Q738" s="12"/>
      <c r="R738" s="12"/>
      <c r="S738" s="12"/>
      <c r="T738" s="12"/>
      <c r="U738" s="19"/>
      <c r="V738" s="12"/>
      <c r="W738" s="12"/>
      <c r="X738" s="12"/>
      <c r="Y738" s="12"/>
      <c r="Z738" s="12"/>
    </row>
    <row r="739">
      <c r="A739" s="18"/>
      <c r="B739" s="12"/>
      <c r="C739" s="12"/>
      <c r="D739" s="12"/>
      <c r="E739" s="12"/>
      <c r="F739" s="12"/>
      <c r="G739" s="12"/>
      <c r="H739" s="12"/>
      <c r="I739" s="12"/>
      <c r="J739" s="12"/>
      <c r="K739" s="12"/>
      <c r="L739" s="19"/>
      <c r="M739" s="19"/>
      <c r="N739" s="19"/>
      <c r="O739" s="19"/>
      <c r="P739" s="19"/>
      <c r="Q739" s="12"/>
      <c r="R739" s="12"/>
      <c r="S739" s="12"/>
      <c r="T739" s="12"/>
      <c r="U739" s="19"/>
      <c r="V739" s="12"/>
      <c r="W739" s="12"/>
      <c r="X739" s="12"/>
      <c r="Y739" s="12"/>
      <c r="Z739" s="12"/>
    </row>
    <row r="740">
      <c r="A740" s="18"/>
      <c r="B740" s="12"/>
      <c r="C740" s="12"/>
      <c r="D740" s="12"/>
      <c r="E740" s="12"/>
      <c r="F740" s="12"/>
      <c r="G740" s="12"/>
      <c r="H740" s="12"/>
      <c r="I740" s="12"/>
      <c r="J740" s="12"/>
      <c r="K740" s="12"/>
      <c r="L740" s="19"/>
      <c r="M740" s="19"/>
      <c r="N740" s="19"/>
      <c r="O740" s="19"/>
      <c r="P740" s="19"/>
      <c r="Q740" s="12"/>
      <c r="R740" s="12"/>
      <c r="S740" s="12"/>
      <c r="T740" s="12"/>
      <c r="U740" s="19"/>
      <c r="V740" s="12"/>
      <c r="W740" s="12"/>
      <c r="X740" s="12"/>
      <c r="Y740" s="12"/>
      <c r="Z740" s="12"/>
    </row>
    <row r="741">
      <c r="A741" s="18"/>
      <c r="B741" s="12"/>
      <c r="C741" s="12"/>
      <c r="D741" s="12"/>
      <c r="E741" s="12"/>
      <c r="F741" s="12"/>
      <c r="G741" s="12"/>
      <c r="H741" s="12"/>
      <c r="I741" s="12"/>
      <c r="J741" s="12"/>
      <c r="K741" s="12"/>
      <c r="L741" s="19"/>
      <c r="M741" s="19"/>
      <c r="N741" s="19"/>
      <c r="O741" s="19"/>
      <c r="P741" s="19"/>
      <c r="Q741" s="12"/>
      <c r="R741" s="12"/>
      <c r="S741" s="12"/>
      <c r="T741" s="12"/>
      <c r="U741" s="19"/>
      <c r="V741" s="12"/>
      <c r="W741" s="12"/>
      <c r="X741" s="12"/>
      <c r="Y741" s="12"/>
      <c r="Z741" s="12"/>
    </row>
    <row r="742">
      <c r="A742" s="18"/>
      <c r="B742" s="12"/>
      <c r="C742" s="12"/>
      <c r="D742" s="12"/>
      <c r="E742" s="12"/>
      <c r="F742" s="12"/>
      <c r="G742" s="12"/>
      <c r="H742" s="12"/>
      <c r="I742" s="12"/>
      <c r="J742" s="12"/>
      <c r="K742" s="12"/>
      <c r="L742" s="19"/>
      <c r="M742" s="19"/>
      <c r="N742" s="19"/>
      <c r="O742" s="19"/>
      <c r="P742" s="19"/>
      <c r="Q742" s="12"/>
      <c r="R742" s="12"/>
      <c r="S742" s="12"/>
      <c r="T742" s="12"/>
      <c r="U742" s="19"/>
      <c r="V742" s="12"/>
      <c r="W742" s="12"/>
      <c r="X742" s="12"/>
      <c r="Y742" s="12"/>
      <c r="Z742" s="12"/>
    </row>
    <row r="743">
      <c r="A743" s="18"/>
      <c r="B743" s="12"/>
      <c r="C743" s="12"/>
      <c r="D743" s="12"/>
      <c r="E743" s="12"/>
      <c r="F743" s="12"/>
      <c r="G743" s="12"/>
      <c r="H743" s="12"/>
      <c r="I743" s="12"/>
      <c r="J743" s="12"/>
      <c r="K743" s="12"/>
      <c r="L743" s="19"/>
      <c r="M743" s="19"/>
      <c r="N743" s="19"/>
      <c r="O743" s="19"/>
      <c r="P743" s="19"/>
      <c r="Q743" s="12"/>
      <c r="R743" s="12"/>
      <c r="S743" s="12"/>
      <c r="T743" s="12"/>
      <c r="U743" s="19"/>
      <c r="V743" s="12"/>
      <c r="W743" s="12"/>
      <c r="X743" s="12"/>
      <c r="Y743" s="12"/>
      <c r="Z743" s="12"/>
    </row>
    <row r="744">
      <c r="A744" s="18"/>
      <c r="B744" s="12"/>
      <c r="C744" s="12"/>
      <c r="D744" s="12"/>
      <c r="E744" s="12"/>
      <c r="F744" s="12"/>
      <c r="G744" s="12"/>
      <c r="H744" s="12"/>
      <c r="I744" s="12"/>
      <c r="J744" s="12"/>
      <c r="K744" s="12"/>
      <c r="L744" s="19"/>
      <c r="M744" s="19"/>
      <c r="N744" s="19"/>
      <c r="O744" s="19"/>
      <c r="P744" s="19"/>
      <c r="Q744" s="12"/>
      <c r="R744" s="12"/>
      <c r="S744" s="12"/>
      <c r="T744" s="12"/>
      <c r="U744" s="19"/>
      <c r="V744" s="12"/>
      <c r="W744" s="12"/>
      <c r="X744" s="12"/>
      <c r="Y744" s="12"/>
      <c r="Z744" s="12"/>
    </row>
    <row r="745">
      <c r="A745" s="18"/>
      <c r="B745" s="12"/>
      <c r="C745" s="12"/>
      <c r="D745" s="12"/>
      <c r="E745" s="12"/>
      <c r="F745" s="12"/>
      <c r="G745" s="12"/>
      <c r="H745" s="12"/>
      <c r="I745" s="12"/>
      <c r="J745" s="12"/>
      <c r="K745" s="12"/>
      <c r="L745" s="19"/>
      <c r="M745" s="19"/>
      <c r="N745" s="19"/>
      <c r="O745" s="19"/>
      <c r="P745" s="19"/>
      <c r="Q745" s="12"/>
      <c r="R745" s="12"/>
      <c r="S745" s="12"/>
      <c r="T745" s="12"/>
      <c r="U745" s="19"/>
      <c r="V745" s="12"/>
      <c r="W745" s="12"/>
      <c r="X745" s="12"/>
      <c r="Y745" s="12"/>
      <c r="Z745" s="12"/>
    </row>
    <row r="746">
      <c r="A746" s="18"/>
      <c r="B746" s="12"/>
      <c r="C746" s="12"/>
      <c r="D746" s="12"/>
      <c r="E746" s="12"/>
      <c r="F746" s="12"/>
      <c r="G746" s="12"/>
      <c r="H746" s="12"/>
      <c r="I746" s="12"/>
      <c r="J746" s="12"/>
      <c r="K746" s="12"/>
      <c r="L746" s="19"/>
      <c r="M746" s="19"/>
      <c r="N746" s="19"/>
      <c r="O746" s="19"/>
      <c r="P746" s="19"/>
      <c r="Q746" s="12"/>
      <c r="R746" s="12"/>
      <c r="S746" s="12"/>
      <c r="T746" s="12"/>
      <c r="U746" s="19"/>
      <c r="V746" s="12"/>
      <c r="W746" s="12"/>
      <c r="X746" s="12"/>
      <c r="Y746" s="12"/>
      <c r="Z746" s="12"/>
    </row>
    <row r="747">
      <c r="A747" s="18"/>
      <c r="B747" s="12"/>
      <c r="C747" s="12"/>
      <c r="D747" s="12"/>
      <c r="E747" s="12"/>
      <c r="F747" s="12"/>
      <c r="G747" s="12"/>
      <c r="H747" s="12"/>
      <c r="I747" s="12"/>
      <c r="J747" s="12"/>
      <c r="K747" s="12"/>
      <c r="L747" s="19"/>
      <c r="M747" s="19"/>
      <c r="N747" s="19"/>
      <c r="O747" s="19"/>
      <c r="P747" s="19"/>
      <c r="Q747" s="12"/>
      <c r="R747" s="12"/>
      <c r="S747" s="12"/>
      <c r="T747" s="12"/>
      <c r="U747" s="19"/>
      <c r="V747" s="12"/>
      <c r="W747" s="12"/>
      <c r="X747" s="12"/>
      <c r="Y747" s="12"/>
      <c r="Z747" s="12"/>
    </row>
    <row r="748">
      <c r="A748" s="18"/>
      <c r="B748" s="12"/>
      <c r="C748" s="12"/>
      <c r="D748" s="12"/>
      <c r="E748" s="12"/>
      <c r="F748" s="12"/>
      <c r="G748" s="12"/>
      <c r="H748" s="12"/>
      <c r="I748" s="12"/>
      <c r="J748" s="12"/>
      <c r="K748" s="12"/>
      <c r="L748" s="19"/>
      <c r="M748" s="19"/>
      <c r="N748" s="19"/>
      <c r="O748" s="19"/>
      <c r="P748" s="19"/>
      <c r="Q748" s="12"/>
      <c r="R748" s="12"/>
      <c r="S748" s="12"/>
      <c r="T748" s="12"/>
      <c r="U748" s="19"/>
      <c r="V748" s="12"/>
      <c r="W748" s="12"/>
      <c r="X748" s="12"/>
      <c r="Y748" s="12"/>
      <c r="Z748" s="12"/>
    </row>
    <row r="749">
      <c r="A749" s="18"/>
      <c r="B749" s="12"/>
      <c r="C749" s="12"/>
      <c r="D749" s="12"/>
      <c r="E749" s="12"/>
      <c r="F749" s="12"/>
      <c r="G749" s="12"/>
      <c r="H749" s="12"/>
      <c r="I749" s="12"/>
      <c r="J749" s="12"/>
      <c r="K749" s="12"/>
      <c r="L749" s="19"/>
      <c r="M749" s="19"/>
      <c r="N749" s="19"/>
      <c r="O749" s="19"/>
      <c r="P749" s="19"/>
      <c r="Q749" s="12"/>
      <c r="R749" s="12"/>
      <c r="S749" s="12"/>
      <c r="T749" s="12"/>
      <c r="U749" s="19"/>
      <c r="V749" s="12"/>
      <c r="W749" s="12"/>
      <c r="X749" s="12"/>
      <c r="Y749" s="12"/>
      <c r="Z749" s="12"/>
    </row>
    <row r="750">
      <c r="A750" s="18"/>
      <c r="B750" s="12"/>
      <c r="C750" s="12"/>
      <c r="D750" s="12"/>
      <c r="E750" s="12"/>
      <c r="F750" s="12"/>
      <c r="G750" s="12"/>
      <c r="H750" s="12"/>
      <c r="I750" s="12"/>
      <c r="J750" s="12"/>
      <c r="K750" s="12"/>
      <c r="L750" s="19"/>
      <c r="M750" s="19"/>
      <c r="N750" s="19"/>
      <c r="O750" s="19"/>
      <c r="P750" s="19"/>
      <c r="Q750" s="12"/>
      <c r="R750" s="12"/>
      <c r="S750" s="12"/>
      <c r="T750" s="12"/>
      <c r="U750" s="19"/>
      <c r="V750" s="12"/>
      <c r="W750" s="12"/>
      <c r="X750" s="12"/>
      <c r="Y750" s="12"/>
      <c r="Z750" s="12"/>
    </row>
    <row r="751">
      <c r="A751" s="18"/>
      <c r="B751" s="12"/>
      <c r="C751" s="12"/>
      <c r="D751" s="12"/>
      <c r="E751" s="12"/>
      <c r="F751" s="12"/>
      <c r="G751" s="12"/>
      <c r="H751" s="12"/>
      <c r="I751" s="12"/>
      <c r="J751" s="12"/>
      <c r="K751" s="12"/>
      <c r="L751" s="19"/>
      <c r="M751" s="19"/>
      <c r="N751" s="19"/>
      <c r="O751" s="19"/>
      <c r="P751" s="19"/>
      <c r="Q751" s="12"/>
      <c r="R751" s="12"/>
      <c r="S751" s="12"/>
      <c r="T751" s="12"/>
      <c r="U751" s="19"/>
      <c r="V751" s="12"/>
      <c r="W751" s="12"/>
      <c r="X751" s="12"/>
      <c r="Y751" s="12"/>
      <c r="Z751" s="12"/>
    </row>
    <row r="752">
      <c r="A752" s="18"/>
      <c r="B752" s="12"/>
      <c r="C752" s="12"/>
      <c r="D752" s="12"/>
      <c r="E752" s="12"/>
      <c r="F752" s="12"/>
      <c r="G752" s="12"/>
      <c r="H752" s="12"/>
      <c r="I752" s="12"/>
      <c r="J752" s="12"/>
      <c r="K752" s="12"/>
      <c r="L752" s="19"/>
      <c r="M752" s="19"/>
      <c r="N752" s="19"/>
      <c r="O752" s="19"/>
      <c r="P752" s="19"/>
      <c r="Q752" s="12"/>
      <c r="R752" s="12"/>
      <c r="S752" s="12"/>
      <c r="T752" s="12"/>
      <c r="U752" s="19"/>
      <c r="V752" s="12"/>
      <c r="W752" s="12"/>
      <c r="X752" s="12"/>
      <c r="Y752" s="12"/>
      <c r="Z752" s="12"/>
    </row>
    <row r="753">
      <c r="A753" s="18"/>
      <c r="B753" s="12"/>
      <c r="C753" s="12"/>
      <c r="D753" s="12"/>
      <c r="E753" s="12"/>
      <c r="F753" s="12"/>
      <c r="G753" s="12"/>
      <c r="H753" s="12"/>
      <c r="I753" s="12"/>
      <c r="J753" s="12"/>
      <c r="K753" s="12"/>
      <c r="L753" s="19"/>
      <c r="M753" s="19"/>
      <c r="N753" s="19"/>
      <c r="O753" s="19"/>
      <c r="P753" s="19"/>
      <c r="Q753" s="12"/>
      <c r="R753" s="12"/>
      <c r="S753" s="12"/>
      <c r="T753" s="12"/>
      <c r="U753" s="19"/>
      <c r="V753" s="12"/>
      <c r="W753" s="12"/>
      <c r="X753" s="12"/>
      <c r="Y753" s="12"/>
      <c r="Z753" s="12"/>
    </row>
    <row r="754">
      <c r="A754" s="18"/>
      <c r="B754" s="12"/>
      <c r="C754" s="12"/>
      <c r="D754" s="12"/>
      <c r="E754" s="12"/>
      <c r="F754" s="12"/>
      <c r="G754" s="12"/>
      <c r="H754" s="12"/>
      <c r="I754" s="12"/>
      <c r="J754" s="12"/>
      <c r="K754" s="12"/>
      <c r="L754" s="19"/>
      <c r="M754" s="19"/>
      <c r="N754" s="19"/>
      <c r="O754" s="19"/>
      <c r="P754" s="19"/>
      <c r="Q754" s="12"/>
      <c r="R754" s="12"/>
      <c r="S754" s="12"/>
      <c r="T754" s="12"/>
      <c r="U754" s="19"/>
      <c r="V754" s="12"/>
      <c r="W754" s="12"/>
      <c r="X754" s="12"/>
      <c r="Y754" s="12"/>
      <c r="Z754" s="12"/>
    </row>
    <row r="755">
      <c r="A755" s="18"/>
      <c r="B755" s="12"/>
      <c r="C755" s="12"/>
      <c r="D755" s="12"/>
      <c r="E755" s="12"/>
      <c r="F755" s="12"/>
      <c r="G755" s="12"/>
      <c r="H755" s="12"/>
      <c r="I755" s="12"/>
      <c r="J755" s="12"/>
      <c r="K755" s="12"/>
      <c r="L755" s="19"/>
      <c r="M755" s="19"/>
      <c r="N755" s="19"/>
      <c r="O755" s="19"/>
      <c r="P755" s="19"/>
      <c r="Q755" s="12"/>
      <c r="R755" s="12"/>
      <c r="S755" s="12"/>
      <c r="T755" s="12"/>
      <c r="U755" s="19"/>
      <c r="V755" s="12"/>
      <c r="W755" s="12"/>
      <c r="X755" s="12"/>
      <c r="Y755" s="12"/>
      <c r="Z755" s="12"/>
    </row>
    <row r="756">
      <c r="A756" s="18"/>
      <c r="B756" s="12"/>
      <c r="C756" s="12"/>
      <c r="D756" s="12"/>
      <c r="E756" s="12"/>
      <c r="F756" s="12"/>
      <c r="G756" s="12"/>
      <c r="H756" s="12"/>
      <c r="I756" s="12"/>
      <c r="J756" s="12"/>
      <c r="K756" s="12"/>
      <c r="L756" s="19"/>
      <c r="M756" s="19"/>
      <c r="N756" s="19"/>
      <c r="O756" s="19"/>
      <c r="P756" s="19"/>
      <c r="Q756" s="12"/>
      <c r="R756" s="12"/>
      <c r="S756" s="12"/>
      <c r="T756" s="12"/>
      <c r="U756" s="19"/>
      <c r="V756" s="12"/>
      <c r="W756" s="12"/>
      <c r="X756" s="12"/>
      <c r="Y756" s="12"/>
      <c r="Z756" s="12"/>
    </row>
    <row r="757">
      <c r="A757" s="18"/>
      <c r="B757" s="12"/>
      <c r="C757" s="12"/>
      <c r="D757" s="12"/>
      <c r="E757" s="12"/>
      <c r="F757" s="12"/>
      <c r="G757" s="12"/>
      <c r="H757" s="12"/>
      <c r="I757" s="12"/>
      <c r="J757" s="12"/>
      <c r="K757" s="12"/>
      <c r="L757" s="19"/>
      <c r="M757" s="19"/>
      <c r="N757" s="19"/>
      <c r="O757" s="19"/>
      <c r="P757" s="19"/>
      <c r="Q757" s="12"/>
      <c r="R757" s="12"/>
      <c r="S757" s="12"/>
      <c r="T757" s="12"/>
      <c r="U757" s="19"/>
      <c r="V757" s="12"/>
      <c r="W757" s="12"/>
      <c r="X757" s="12"/>
      <c r="Y757" s="12"/>
      <c r="Z757" s="12"/>
    </row>
    <row r="758">
      <c r="A758" s="18"/>
      <c r="B758" s="12"/>
      <c r="C758" s="12"/>
      <c r="D758" s="12"/>
      <c r="E758" s="12"/>
      <c r="F758" s="12"/>
      <c r="G758" s="12"/>
      <c r="H758" s="12"/>
      <c r="I758" s="12"/>
      <c r="J758" s="12"/>
      <c r="K758" s="12"/>
      <c r="L758" s="19"/>
      <c r="M758" s="19"/>
      <c r="N758" s="19"/>
      <c r="O758" s="19"/>
      <c r="P758" s="19"/>
      <c r="Q758" s="12"/>
      <c r="R758" s="12"/>
      <c r="S758" s="12"/>
      <c r="T758" s="12"/>
      <c r="U758" s="19"/>
      <c r="V758" s="12"/>
      <c r="W758" s="12"/>
      <c r="X758" s="12"/>
      <c r="Y758" s="12"/>
      <c r="Z758" s="12"/>
    </row>
    <row r="759">
      <c r="A759" s="18"/>
      <c r="B759" s="12"/>
      <c r="C759" s="12"/>
      <c r="D759" s="12"/>
      <c r="E759" s="12"/>
      <c r="F759" s="12"/>
      <c r="G759" s="12"/>
      <c r="H759" s="12"/>
      <c r="I759" s="12"/>
      <c r="J759" s="12"/>
      <c r="K759" s="12"/>
      <c r="L759" s="19"/>
      <c r="M759" s="19"/>
      <c r="N759" s="19"/>
      <c r="O759" s="19"/>
      <c r="P759" s="19"/>
      <c r="Q759" s="12"/>
      <c r="R759" s="12"/>
      <c r="S759" s="12"/>
      <c r="T759" s="12"/>
      <c r="U759" s="19"/>
      <c r="V759" s="12"/>
      <c r="W759" s="12"/>
      <c r="X759" s="12"/>
      <c r="Y759" s="12"/>
      <c r="Z759" s="12"/>
    </row>
    <row r="760">
      <c r="A760" s="18"/>
      <c r="B760" s="12"/>
      <c r="C760" s="12"/>
      <c r="D760" s="12"/>
      <c r="E760" s="12"/>
      <c r="F760" s="12"/>
      <c r="G760" s="12"/>
      <c r="H760" s="12"/>
      <c r="I760" s="12"/>
      <c r="J760" s="12"/>
      <c r="K760" s="12"/>
      <c r="L760" s="19"/>
      <c r="M760" s="19"/>
      <c r="N760" s="19"/>
      <c r="O760" s="19"/>
      <c r="P760" s="19"/>
      <c r="Q760" s="12"/>
      <c r="R760" s="12"/>
      <c r="S760" s="12"/>
      <c r="T760" s="12"/>
      <c r="U760" s="19"/>
      <c r="V760" s="12"/>
      <c r="W760" s="12"/>
      <c r="X760" s="12"/>
      <c r="Y760" s="12"/>
      <c r="Z760" s="12"/>
    </row>
    <row r="761">
      <c r="A761" s="18"/>
      <c r="B761" s="12"/>
      <c r="C761" s="12"/>
      <c r="D761" s="12"/>
      <c r="E761" s="12"/>
      <c r="F761" s="12"/>
      <c r="G761" s="12"/>
      <c r="H761" s="12"/>
      <c r="I761" s="12"/>
      <c r="J761" s="12"/>
      <c r="K761" s="12"/>
      <c r="L761" s="19"/>
      <c r="M761" s="19"/>
      <c r="N761" s="19"/>
      <c r="O761" s="19"/>
      <c r="P761" s="19"/>
      <c r="Q761" s="12"/>
      <c r="R761" s="12"/>
      <c r="S761" s="12"/>
      <c r="T761" s="12"/>
      <c r="U761" s="19"/>
      <c r="V761" s="12"/>
      <c r="W761" s="12"/>
      <c r="X761" s="12"/>
      <c r="Y761" s="12"/>
      <c r="Z761" s="12"/>
    </row>
    <row r="762">
      <c r="A762" s="18"/>
      <c r="B762" s="12"/>
      <c r="C762" s="12"/>
      <c r="D762" s="12"/>
      <c r="E762" s="12"/>
      <c r="F762" s="12"/>
      <c r="G762" s="12"/>
      <c r="H762" s="12"/>
      <c r="I762" s="12"/>
      <c r="J762" s="12"/>
      <c r="K762" s="12"/>
      <c r="L762" s="19"/>
      <c r="M762" s="19"/>
      <c r="N762" s="19"/>
      <c r="O762" s="19"/>
      <c r="P762" s="19"/>
      <c r="Q762" s="12"/>
      <c r="R762" s="12"/>
      <c r="S762" s="12"/>
      <c r="T762" s="12"/>
      <c r="U762" s="19"/>
      <c r="V762" s="12"/>
      <c r="W762" s="12"/>
      <c r="X762" s="12"/>
      <c r="Y762" s="12"/>
      <c r="Z762" s="12"/>
    </row>
    <row r="763">
      <c r="A763" s="18"/>
      <c r="B763" s="12"/>
      <c r="C763" s="12"/>
      <c r="D763" s="12"/>
      <c r="E763" s="12"/>
      <c r="F763" s="12"/>
      <c r="G763" s="12"/>
      <c r="H763" s="12"/>
      <c r="I763" s="12"/>
      <c r="J763" s="12"/>
      <c r="K763" s="12"/>
      <c r="L763" s="19"/>
      <c r="M763" s="19"/>
      <c r="N763" s="19"/>
      <c r="O763" s="19"/>
      <c r="P763" s="19"/>
      <c r="Q763" s="12"/>
      <c r="R763" s="12"/>
      <c r="S763" s="12"/>
      <c r="T763" s="12"/>
      <c r="U763" s="19"/>
      <c r="V763" s="12"/>
      <c r="W763" s="12"/>
      <c r="X763" s="12"/>
      <c r="Y763" s="12"/>
      <c r="Z763" s="12"/>
    </row>
    <row r="764">
      <c r="A764" s="18"/>
      <c r="B764" s="12"/>
      <c r="C764" s="12"/>
      <c r="D764" s="12"/>
      <c r="E764" s="12"/>
      <c r="F764" s="12"/>
      <c r="G764" s="12"/>
      <c r="H764" s="12"/>
      <c r="I764" s="12"/>
      <c r="J764" s="12"/>
      <c r="K764" s="12"/>
      <c r="L764" s="19"/>
      <c r="M764" s="19"/>
      <c r="N764" s="19"/>
      <c r="O764" s="19"/>
      <c r="P764" s="19"/>
      <c r="Q764" s="12"/>
      <c r="R764" s="12"/>
      <c r="S764" s="12"/>
      <c r="T764" s="12"/>
      <c r="U764" s="19"/>
      <c r="V764" s="12"/>
      <c r="W764" s="12"/>
      <c r="X764" s="12"/>
      <c r="Y764" s="12"/>
      <c r="Z764" s="12"/>
    </row>
    <row r="765">
      <c r="A765" s="18"/>
      <c r="B765" s="12"/>
      <c r="C765" s="12"/>
      <c r="D765" s="12"/>
      <c r="E765" s="12"/>
      <c r="F765" s="12"/>
      <c r="G765" s="12"/>
      <c r="H765" s="12"/>
      <c r="I765" s="12"/>
      <c r="J765" s="12"/>
      <c r="K765" s="12"/>
      <c r="L765" s="19"/>
      <c r="M765" s="19"/>
      <c r="N765" s="19"/>
      <c r="O765" s="19"/>
      <c r="P765" s="19"/>
      <c r="Q765" s="12"/>
      <c r="R765" s="12"/>
      <c r="S765" s="12"/>
      <c r="T765" s="12"/>
      <c r="U765" s="19"/>
      <c r="V765" s="12"/>
      <c r="W765" s="12"/>
      <c r="X765" s="12"/>
      <c r="Y765" s="12"/>
      <c r="Z765" s="12"/>
    </row>
    <row r="766">
      <c r="A766" s="18"/>
      <c r="B766" s="12"/>
      <c r="C766" s="12"/>
      <c r="D766" s="12"/>
      <c r="E766" s="12"/>
      <c r="F766" s="12"/>
      <c r="G766" s="12"/>
      <c r="H766" s="12"/>
      <c r="I766" s="12"/>
      <c r="J766" s="12"/>
      <c r="K766" s="12"/>
      <c r="L766" s="19"/>
      <c r="M766" s="19"/>
      <c r="N766" s="19"/>
      <c r="O766" s="19"/>
      <c r="P766" s="19"/>
      <c r="Q766" s="12"/>
      <c r="R766" s="12"/>
      <c r="S766" s="12"/>
      <c r="T766" s="12"/>
      <c r="U766" s="19"/>
      <c r="V766" s="12"/>
      <c r="W766" s="12"/>
      <c r="X766" s="12"/>
      <c r="Y766" s="12"/>
      <c r="Z766" s="12"/>
    </row>
    <row r="767">
      <c r="A767" s="18"/>
      <c r="B767" s="12"/>
      <c r="C767" s="12"/>
      <c r="D767" s="12"/>
      <c r="E767" s="12"/>
      <c r="F767" s="12"/>
      <c r="G767" s="12"/>
      <c r="H767" s="12"/>
      <c r="I767" s="12"/>
      <c r="J767" s="12"/>
      <c r="K767" s="12"/>
      <c r="L767" s="19"/>
      <c r="M767" s="19"/>
      <c r="N767" s="19"/>
      <c r="O767" s="19"/>
      <c r="P767" s="19"/>
      <c r="Q767" s="12"/>
      <c r="R767" s="12"/>
      <c r="S767" s="12"/>
      <c r="T767" s="12"/>
      <c r="U767" s="19"/>
      <c r="V767" s="12"/>
      <c r="W767" s="12"/>
      <c r="X767" s="12"/>
      <c r="Y767" s="12"/>
      <c r="Z767" s="12"/>
    </row>
    <row r="768">
      <c r="A768" s="18"/>
      <c r="B768" s="12"/>
      <c r="C768" s="12"/>
      <c r="D768" s="12"/>
      <c r="E768" s="12"/>
      <c r="F768" s="12"/>
      <c r="G768" s="12"/>
      <c r="H768" s="12"/>
      <c r="I768" s="12"/>
      <c r="J768" s="12"/>
      <c r="K768" s="12"/>
      <c r="L768" s="19"/>
      <c r="M768" s="19"/>
      <c r="N768" s="19"/>
      <c r="O768" s="19"/>
      <c r="P768" s="19"/>
      <c r="Q768" s="12"/>
      <c r="R768" s="12"/>
      <c r="S768" s="12"/>
      <c r="T768" s="12"/>
      <c r="U768" s="19"/>
      <c r="V768" s="12"/>
      <c r="W768" s="12"/>
      <c r="X768" s="12"/>
      <c r="Y768" s="12"/>
      <c r="Z768" s="12"/>
    </row>
    <row r="769">
      <c r="A769" s="18"/>
      <c r="B769" s="12"/>
      <c r="C769" s="12"/>
      <c r="D769" s="12"/>
      <c r="E769" s="12"/>
      <c r="F769" s="12"/>
      <c r="G769" s="12"/>
      <c r="H769" s="12"/>
      <c r="I769" s="12"/>
      <c r="J769" s="12"/>
      <c r="K769" s="12"/>
      <c r="L769" s="19"/>
      <c r="M769" s="19"/>
      <c r="N769" s="19"/>
      <c r="O769" s="19"/>
      <c r="P769" s="19"/>
      <c r="Q769" s="12"/>
      <c r="R769" s="12"/>
      <c r="S769" s="12"/>
      <c r="T769" s="12"/>
      <c r="U769" s="19"/>
      <c r="V769" s="12"/>
      <c r="W769" s="12"/>
      <c r="X769" s="12"/>
      <c r="Y769" s="12"/>
      <c r="Z769" s="12"/>
    </row>
    <row r="770">
      <c r="A770" s="18"/>
      <c r="B770" s="12"/>
      <c r="C770" s="12"/>
      <c r="D770" s="12"/>
      <c r="E770" s="12"/>
      <c r="F770" s="12"/>
      <c r="G770" s="12"/>
      <c r="H770" s="12"/>
      <c r="I770" s="12"/>
      <c r="J770" s="12"/>
      <c r="K770" s="12"/>
      <c r="L770" s="19"/>
      <c r="M770" s="19"/>
      <c r="N770" s="19"/>
      <c r="O770" s="19"/>
      <c r="P770" s="19"/>
      <c r="Q770" s="12"/>
      <c r="R770" s="12"/>
      <c r="S770" s="12"/>
      <c r="T770" s="12"/>
      <c r="U770" s="19"/>
      <c r="V770" s="12"/>
      <c r="W770" s="12"/>
      <c r="X770" s="12"/>
      <c r="Y770" s="12"/>
      <c r="Z770" s="12"/>
    </row>
    <row r="771">
      <c r="A771" s="18"/>
      <c r="B771" s="12"/>
      <c r="C771" s="12"/>
      <c r="D771" s="12"/>
      <c r="E771" s="12"/>
      <c r="F771" s="12"/>
      <c r="G771" s="12"/>
      <c r="H771" s="12"/>
      <c r="I771" s="12"/>
      <c r="J771" s="12"/>
      <c r="K771" s="12"/>
      <c r="L771" s="19"/>
      <c r="M771" s="19"/>
      <c r="N771" s="19"/>
      <c r="O771" s="19"/>
      <c r="P771" s="19"/>
      <c r="Q771" s="12"/>
      <c r="R771" s="12"/>
      <c r="S771" s="12"/>
      <c r="T771" s="12"/>
      <c r="U771" s="19"/>
      <c r="V771" s="12"/>
      <c r="W771" s="12"/>
      <c r="X771" s="12"/>
      <c r="Y771" s="12"/>
      <c r="Z771" s="12"/>
    </row>
    <row r="772">
      <c r="A772" s="18"/>
      <c r="B772" s="12"/>
      <c r="C772" s="12"/>
      <c r="D772" s="12"/>
      <c r="E772" s="12"/>
      <c r="F772" s="12"/>
      <c r="G772" s="12"/>
      <c r="H772" s="12"/>
      <c r="I772" s="12"/>
      <c r="J772" s="12"/>
      <c r="K772" s="12"/>
      <c r="L772" s="19"/>
      <c r="M772" s="19"/>
      <c r="N772" s="19"/>
      <c r="O772" s="19"/>
      <c r="P772" s="19"/>
      <c r="Q772" s="12"/>
      <c r="R772" s="12"/>
      <c r="S772" s="12"/>
      <c r="T772" s="12"/>
      <c r="U772" s="19"/>
      <c r="V772" s="12"/>
      <c r="W772" s="12"/>
      <c r="X772" s="12"/>
      <c r="Y772" s="12"/>
      <c r="Z772" s="12"/>
    </row>
    <row r="773">
      <c r="A773" s="18"/>
      <c r="B773" s="12"/>
      <c r="C773" s="12"/>
      <c r="D773" s="12"/>
      <c r="E773" s="12"/>
      <c r="F773" s="12"/>
      <c r="G773" s="12"/>
      <c r="H773" s="12"/>
      <c r="I773" s="12"/>
      <c r="J773" s="12"/>
      <c r="K773" s="12"/>
      <c r="L773" s="19"/>
      <c r="M773" s="19"/>
      <c r="N773" s="19"/>
      <c r="O773" s="19"/>
      <c r="P773" s="19"/>
      <c r="Q773" s="12"/>
      <c r="R773" s="12"/>
      <c r="S773" s="12"/>
      <c r="T773" s="12"/>
      <c r="U773" s="19"/>
      <c r="V773" s="12"/>
      <c r="W773" s="12"/>
      <c r="X773" s="12"/>
      <c r="Y773" s="12"/>
      <c r="Z773" s="12"/>
    </row>
    <row r="774">
      <c r="A774" s="18"/>
      <c r="B774" s="12"/>
      <c r="C774" s="12"/>
      <c r="D774" s="12"/>
      <c r="E774" s="12"/>
      <c r="F774" s="12"/>
      <c r="G774" s="12"/>
      <c r="H774" s="12"/>
      <c r="I774" s="12"/>
      <c r="J774" s="12"/>
      <c r="K774" s="12"/>
      <c r="L774" s="19"/>
      <c r="M774" s="19"/>
      <c r="N774" s="19"/>
      <c r="O774" s="19"/>
      <c r="P774" s="19"/>
      <c r="Q774" s="12"/>
      <c r="R774" s="12"/>
      <c r="S774" s="12"/>
      <c r="T774" s="12"/>
      <c r="U774" s="19"/>
      <c r="V774" s="12"/>
      <c r="W774" s="12"/>
      <c r="X774" s="12"/>
      <c r="Y774" s="12"/>
      <c r="Z774" s="12"/>
    </row>
    <row r="775">
      <c r="A775" s="18"/>
      <c r="B775" s="12"/>
      <c r="C775" s="12"/>
      <c r="D775" s="12"/>
      <c r="E775" s="12"/>
      <c r="F775" s="12"/>
      <c r="G775" s="12"/>
      <c r="H775" s="12"/>
      <c r="I775" s="12"/>
      <c r="J775" s="12"/>
      <c r="K775" s="12"/>
      <c r="L775" s="19"/>
      <c r="M775" s="19"/>
      <c r="N775" s="19"/>
      <c r="O775" s="19"/>
      <c r="P775" s="19"/>
      <c r="Q775" s="12"/>
      <c r="R775" s="12"/>
      <c r="S775" s="12"/>
      <c r="T775" s="12"/>
      <c r="U775" s="19"/>
      <c r="V775" s="12"/>
      <c r="W775" s="12"/>
      <c r="X775" s="12"/>
      <c r="Y775" s="12"/>
      <c r="Z775" s="12"/>
    </row>
    <row r="776">
      <c r="A776" s="18"/>
      <c r="B776" s="12"/>
      <c r="C776" s="12"/>
      <c r="D776" s="12"/>
      <c r="E776" s="12"/>
      <c r="F776" s="12"/>
      <c r="G776" s="12"/>
      <c r="H776" s="12"/>
      <c r="I776" s="12"/>
      <c r="J776" s="12"/>
      <c r="K776" s="12"/>
      <c r="L776" s="19"/>
      <c r="M776" s="19"/>
      <c r="N776" s="19"/>
      <c r="O776" s="19"/>
      <c r="P776" s="19"/>
      <c r="Q776" s="12"/>
      <c r="R776" s="12"/>
      <c r="S776" s="12"/>
      <c r="T776" s="12"/>
      <c r="U776" s="19"/>
      <c r="V776" s="12"/>
      <c r="W776" s="12"/>
      <c r="X776" s="12"/>
      <c r="Y776" s="12"/>
      <c r="Z776" s="12"/>
    </row>
    <row r="777">
      <c r="A777" s="18"/>
      <c r="B777" s="12"/>
      <c r="C777" s="12"/>
      <c r="D777" s="12"/>
      <c r="E777" s="12"/>
      <c r="F777" s="12"/>
      <c r="G777" s="12"/>
      <c r="H777" s="12"/>
      <c r="I777" s="12"/>
      <c r="J777" s="12"/>
      <c r="K777" s="12"/>
      <c r="L777" s="19"/>
      <c r="M777" s="19"/>
      <c r="N777" s="19"/>
      <c r="O777" s="19"/>
      <c r="P777" s="19"/>
      <c r="Q777" s="12"/>
      <c r="R777" s="12"/>
      <c r="S777" s="12"/>
      <c r="T777" s="12"/>
      <c r="U777" s="19"/>
      <c r="V777" s="12"/>
      <c r="W777" s="12"/>
      <c r="X777" s="12"/>
      <c r="Y777" s="12"/>
      <c r="Z777" s="12"/>
    </row>
    <row r="778">
      <c r="A778" s="18"/>
      <c r="B778" s="12"/>
      <c r="C778" s="12"/>
      <c r="D778" s="12"/>
      <c r="E778" s="12"/>
      <c r="F778" s="12"/>
      <c r="G778" s="12"/>
      <c r="H778" s="12"/>
      <c r="I778" s="12"/>
      <c r="J778" s="12"/>
      <c r="K778" s="12"/>
      <c r="L778" s="19"/>
      <c r="M778" s="19"/>
      <c r="N778" s="19"/>
      <c r="O778" s="19"/>
      <c r="P778" s="19"/>
      <c r="Q778" s="12"/>
      <c r="R778" s="12"/>
      <c r="S778" s="12"/>
      <c r="T778" s="12"/>
      <c r="U778" s="19"/>
      <c r="V778" s="12"/>
      <c r="W778" s="12"/>
      <c r="X778" s="12"/>
      <c r="Y778" s="12"/>
      <c r="Z778" s="12"/>
    </row>
    <row r="779">
      <c r="A779" s="18"/>
      <c r="B779" s="12"/>
      <c r="C779" s="12"/>
      <c r="D779" s="12"/>
      <c r="E779" s="12"/>
      <c r="F779" s="12"/>
      <c r="G779" s="12"/>
      <c r="H779" s="12"/>
      <c r="I779" s="12"/>
      <c r="J779" s="12"/>
      <c r="K779" s="12"/>
      <c r="L779" s="19"/>
      <c r="M779" s="19"/>
      <c r="N779" s="19"/>
      <c r="O779" s="19"/>
      <c r="P779" s="19"/>
      <c r="Q779" s="12"/>
      <c r="R779" s="12"/>
      <c r="S779" s="12"/>
      <c r="T779" s="12"/>
      <c r="U779" s="19"/>
      <c r="V779" s="12"/>
      <c r="W779" s="12"/>
      <c r="X779" s="12"/>
      <c r="Y779" s="12"/>
      <c r="Z779" s="12"/>
    </row>
    <row r="780">
      <c r="A780" s="18"/>
      <c r="B780" s="12"/>
      <c r="C780" s="12"/>
      <c r="D780" s="12"/>
      <c r="E780" s="12"/>
      <c r="F780" s="12"/>
      <c r="G780" s="12"/>
      <c r="H780" s="12"/>
      <c r="I780" s="12"/>
      <c r="J780" s="12"/>
      <c r="K780" s="12"/>
      <c r="L780" s="19"/>
      <c r="M780" s="19"/>
      <c r="N780" s="19"/>
      <c r="O780" s="19"/>
      <c r="P780" s="19"/>
      <c r="Q780" s="12"/>
      <c r="R780" s="12"/>
      <c r="S780" s="12"/>
      <c r="T780" s="12"/>
      <c r="U780" s="19"/>
      <c r="V780" s="12"/>
      <c r="W780" s="12"/>
      <c r="X780" s="12"/>
      <c r="Y780" s="12"/>
      <c r="Z780" s="12"/>
    </row>
    <row r="781">
      <c r="A781" s="18"/>
      <c r="B781" s="12"/>
      <c r="C781" s="12"/>
      <c r="D781" s="12"/>
      <c r="E781" s="12"/>
      <c r="F781" s="12"/>
      <c r="G781" s="12"/>
      <c r="H781" s="12"/>
      <c r="I781" s="12"/>
      <c r="J781" s="12"/>
      <c r="K781" s="12"/>
      <c r="L781" s="19"/>
      <c r="M781" s="19"/>
      <c r="N781" s="19"/>
      <c r="O781" s="19"/>
      <c r="P781" s="19"/>
      <c r="Q781" s="12"/>
      <c r="R781" s="12"/>
      <c r="S781" s="12"/>
      <c r="T781" s="12"/>
      <c r="U781" s="19"/>
      <c r="V781" s="12"/>
      <c r="W781" s="12"/>
      <c r="X781" s="12"/>
      <c r="Y781" s="12"/>
      <c r="Z781" s="12"/>
    </row>
    <row r="782">
      <c r="A782" s="18"/>
      <c r="B782" s="12"/>
      <c r="C782" s="12"/>
      <c r="D782" s="12"/>
      <c r="E782" s="12"/>
      <c r="F782" s="12"/>
      <c r="G782" s="12"/>
      <c r="H782" s="12"/>
      <c r="I782" s="12"/>
      <c r="J782" s="12"/>
      <c r="K782" s="12"/>
      <c r="L782" s="19"/>
      <c r="M782" s="19"/>
      <c r="N782" s="19"/>
      <c r="O782" s="19"/>
      <c r="P782" s="19"/>
      <c r="Q782" s="12"/>
      <c r="R782" s="12"/>
      <c r="S782" s="12"/>
      <c r="T782" s="12"/>
      <c r="U782" s="19"/>
      <c r="V782" s="12"/>
      <c r="W782" s="12"/>
      <c r="X782" s="12"/>
      <c r="Y782" s="12"/>
      <c r="Z782" s="12"/>
    </row>
    <row r="783">
      <c r="A783" s="18"/>
      <c r="B783" s="12"/>
      <c r="C783" s="12"/>
      <c r="D783" s="12"/>
      <c r="E783" s="12"/>
      <c r="F783" s="12"/>
      <c r="G783" s="12"/>
      <c r="H783" s="12"/>
      <c r="I783" s="12"/>
      <c r="J783" s="12"/>
      <c r="K783" s="12"/>
      <c r="L783" s="19"/>
      <c r="M783" s="19"/>
      <c r="N783" s="19"/>
      <c r="O783" s="19"/>
      <c r="P783" s="19"/>
      <c r="Q783" s="12"/>
      <c r="R783" s="12"/>
      <c r="S783" s="12"/>
      <c r="T783" s="12"/>
      <c r="U783" s="19"/>
      <c r="V783" s="12"/>
      <c r="W783" s="12"/>
      <c r="X783" s="12"/>
      <c r="Y783" s="12"/>
      <c r="Z783" s="12"/>
    </row>
    <row r="784">
      <c r="A784" s="18"/>
      <c r="B784" s="12"/>
      <c r="C784" s="12"/>
      <c r="D784" s="12"/>
      <c r="E784" s="12"/>
      <c r="F784" s="12"/>
      <c r="G784" s="12"/>
      <c r="H784" s="12"/>
      <c r="I784" s="12"/>
      <c r="J784" s="12"/>
      <c r="K784" s="12"/>
      <c r="L784" s="19"/>
      <c r="M784" s="19"/>
      <c r="N784" s="19"/>
      <c r="O784" s="19"/>
      <c r="P784" s="19"/>
      <c r="Q784" s="12"/>
      <c r="R784" s="12"/>
      <c r="S784" s="12"/>
      <c r="T784" s="12"/>
      <c r="U784" s="19"/>
      <c r="V784" s="12"/>
      <c r="W784" s="12"/>
      <c r="X784" s="12"/>
      <c r="Y784" s="12"/>
      <c r="Z784" s="12"/>
    </row>
    <row r="785">
      <c r="A785" s="18"/>
      <c r="B785" s="12"/>
      <c r="C785" s="12"/>
      <c r="D785" s="12"/>
      <c r="E785" s="12"/>
      <c r="F785" s="12"/>
      <c r="G785" s="12"/>
      <c r="H785" s="12"/>
      <c r="I785" s="12"/>
      <c r="J785" s="12"/>
      <c r="K785" s="12"/>
      <c r="L785" s="19"/>
      <c r="M785" s="19"/>
      <c r="N785" s="19"/>
      <c r="O785" s="19"/>
      <c r="P785" s="19"/>
      <c r="Q785" s="12"/>
      <c r="R785" s="12"/>
      <c r="S785" s="12"/>
      <c r="T785" s="12"/>
      <c r="U785" s="19"/>
      <c r="V785" s="12"/>
      <c r="W785" s="12"/>
      <c r="X785" s="12"/>
      <c r="Y785" s="12"/>
      <c r="Z785" s="12"/>
    </row>
    <row r="786">
      <c r="A786" s="18"/>
      <c r="B786" s="12"/>
      <c r="C786" s="12"/>
      <c r="D786" s="12"/>
      <c r="E786" s="12"/>
      <c r="F786" s="12"/>
      <c r="G786" s="12"/>
      <c r="H786" s="12"/>
      <c r="I786" s="12"/>
      <c r="J786" s="12"/>
      <c r="K786" s="12"/>
      <c r="L786" s="19"/>
      <c r="M786" s="19"/>
      <c r="N786" s="19"/>
      <c r="O786" s="19"/>
      <c r="P786" s="19"/>
      <c r="Q786" s="12"/>
      <c r="R786" s="12"/>
      <c r="S786" s="12"/>
      <c r="T786" s="12"/>
      <c r="U786" s="19"/>
      <c r="V786" s="12"/>
      <c r="W786" s="12"/>
      <c r="X786" s="12"/>
      <c r="Y786" s="12"/>
      <c r="Z786" s="12"/>
    </row>
    <row r="787">
      <c r="A787" s="18"/>
      <c r="B787" s="12"/>
      <c r="C787" s="12"/>
      <c r="D787" s="12"/>
      <c r="E787" s="12"/>
      <c r="F787" s="12"/>
      <c r="G787" s="12"/>
      <c r="H787" s="12"/>
      <c r="I787" s="12"/>
      <c r="J787" s="12"/>
      <c r="K787" s="12"/>
      <c r="L787" s="19"/>
      <c r="M787" s="19"/>
      <c r="N787" s="19"/>
      <c r="O787" s="19"/>
      <c r="P787" s="19"/>
      <c r="Q787" s="12"/>
      <c r="R787" s="12"/>
      <c r="S787" s="12"/>
      <c r="T787" s="12"/>
      <c r="U787" s="19"/>
      <c r="V787" s="12"/>
      <c r="W787" s="12"/>
      <c r="X787" s="12"/>
      <c r="Y787" s="12"/>
      <c r="Z787" s="12"/>
    </row>
    <row r="788">
      <c r="A788" s="18"/>
      <c r="B788" s="12"/>
      <c r="C788" s="12"/>
      <c r="D788" s="12"/>
      <c r="E788" s="12"/>
      <c r="F788" s="12"/>
      <c r="G788" s="12"/>
      <c r="H788" s="12"/>
      <c r="I788" s="12"/>
      <c r="J788" s="12"/>
      <c r="K788" s="12"/>
      <c r="L788" s="19"/>
      <c r="M788" s="19"/>
      <c r="N788" s="19"/>
      <c r="O788" s="19"/>
      <c r="P788" s="19"/>
      <c r="Q788" s="12"/>
      <c r="R788" s="12"/>
      <c r="S788" s="12"/>
      <c r="T788" s="12"/>
      <c r="U788" s="19"/>
      <c r="V788" s="12"/>
      <c r="W788" s="12"/>
      <c r="X788" s="12"/>
      <c r="Y788" s="12"/>
      <c r="Z788" s="12"/>
    </row>
    <row r="789">
      <c r="A789" s="18"/>
      <c r="B789" s="12"/>
      <c r="C789" s="12"/>
      <c r="D789" s="12"/>
      <c r="E789" s="12"/>
      <c r="F789" s="12"/>
      <c r="G789" s="12"/>
      <c r="H789" s="12"/>
      <c r="I789" s="12"/>
      <c r="J789" s="12"/>
      <c r="K789" s="12"/>
      <c r="L789" s="19"/>
      <c r="M789" s="19"/>
      <c r="N789" s="19"/>
      <c r="O789" s="19"/>
      <c r="P789" s="19"/>
      <c r="Q789" s="12"/>
      <c r="R789" s="12"/>
      <c r="S789" s="12"/>
      <c r="T789" s="12"/>
      <c r="U789" s="19"/>
      <c r="V789" s="12"/>
      <c r="W789" s="12"/>
      <c r="X789" s="12"/>
      <c r="Y789" s="12"/>
      <c r="Z789" s="12"/>
    </row>
    <row r="790">
      <c r="A790" s="18"/>
      <c r="B790" s="12"/>
      <c r="C790" s="12"/>
      <c r="D790" s="12"/>
      <c r="E790" s="12"/>
      <c r="F790" s="12"/>
      <c r="G790" s="12"/>
      <c r="H790" s="12"/>
      <c r="I790" s="12"/>
      <c r="J790" s="12"/>
      <c r="K790" s="12"/>
      <c r="L790" s="19"/>
      <c r="M790" s="19"/>
      <c r="N790" s="19"/>
      <c r="O790" s="19"/>
      <c r="P790" s="19"/>
      <c r="Q790" s="12"/>
      <c r="R790" s="12"/>
      <c r="S790" s="12"/>
      <c r="T790" s="12"/>
      <c r="U790" s="19"/>
      <c r="V790" s="12"/>
      <c r="W790" s="12"/>
      <c r="X790" s="12"/>
      <c r="Y790" s="12"/>
      <c r="Z790" s="12"/>
    </row>
    <row r="791">
      <c r="A791" s="18"/>
      <c r="B791" s="12"/>
      <c r="C791" s="12"/>
      <c r="D791" s="12"/>
      <c r="E791" s="12"/>
      <c r="F791" s="12"/>
      <c r="G791" s="12"/>
      <c r="H791" s="12"/>
      <c r="I791" s="12"/>
      <c r="J791" s="12"/>
      <c r="K791" s="12"/>
      <c r="L791" s="19"/>
      <c r="M791" s="19"/>
      <c r="N791" s="19"/>
      <c r="O791" s="19"/>
      <c r="P791" s="19"/>
      <c r="Q791" s="12"/>
      <c r="R791" s="12"/>
      <c r="S791" s="12"/>
      <c r="T791" s="12"/>
      <c r="U791" s="19"/>
      <c r="V791" s="12"/>
      <c r="W791" s="12"/>
      <c r="X791" s="12"/>
      <c r="Y791" s="12"/>
      <c r="Z791" s="12"/>
    </row>
    <row r="792">
      <c r="A792" s="18"/>
      <c r="B792" s="12"/>
      <c r="C792" s="12"/>
      <c r="D792" s="12"/>
      <c r="E792" s="12"/>
      <c r="F792" s="12"/>
      <c r="G792" s="12"/>
      <c r="H792" s="12"/>
      <c r="I792" s="12"/>
      <c r="J792" s="12"/>
      <c r="K792" s="12"/>
      <c r="L792" s="19"/>
      <c r="M792" s="19"/>
      <c r="N792" s="19"/>
      <c r="O792" s="19"/>
      <c r="P792" s="19"/>
      <c r="Q792" s="12"/>
      <c r="R792" s="12"/>
      <c r="S792" s="12"/>
      <c r="T792" s="12"/>
      <c r="U792" s="19"/>
      <c r="V792" s="12"/>
      <c r="W792" s="12"/>
      <c r="X792" s="12"/>
      <c r="Y792" s="12"/>
      <c r="Z792" s="12"/>
    </row>
    <row r="793">
      <c r="A793" s="18"/>
      <c r="B793" s="12"/>
      <c r="C793" s="12"/>
      <c r="D793" s="12"/>
      <c r="E793" s="12"/>
      <c r="F793" s="12"/>
      <c r="G793" s="12"/>
      <c r="H793" s="12"/>
      <c r="I793" s="12"/>
      <c r="J793" s="12"/>
      <c r="K793" s="12"/>
      <c r="L793" s="19"/>
      <c r="M793" s="19"/>
      <c r="N793" s="19"/>
      <c r="O793" s="19"/>
      <c r="P793" s="19"/>
      <c r="Q793" s="12"/>
      <c r="R793" s="12"/>
      <c r="S793" s="12"/>
      <c r="T793" s="12"/>
      <c r="U793" s="19"/>
      <c r="V793" s="12"/>
      <c r="W793" s="12"/>
      <c r="X793" s="12"/>
      <c r="Y793" s="12"/>
      <c r="Z793" s="12"/>
    </row>
    <row r="794">
      <c r="A794" s="18"/>
      <c r="B794" s="12"/>
      <c r="C794" s="12"/>
      <c r="D794" s="12"/>
      <c r="E794" s="12"/>
      <c r="F794" s="12"/>
      <c r="G794" s="12"/>
      <c r="H794" s="12"/>
      <c r="I794" s="12"/>
      <c r="J794" s="12"/>
      <c r="K794" s="12"/>
      <c r="L794" s="19"/>
      <c r="M794" s="19"/>
      <c r="N794" s="19"/>
      <c r="O794" s="19"/>
      <c r="P794" s="19"/>
      <c r="Q794" s="12"/>
      <c r="R794" s="12"/>
      <c r="S794" s="12"/>
      <c r="T794" s="12"/>
      <c r="U794" s="19"/>
      <c r="V794" s="12"/>
      <c r="W794" s="12"/>
      <c r="X794" s="12"/>
      <c r="Y794" s="12"/>
      <c r="Z794" s="12"/>
    </row>
    <row r="795">
      <c r="A795" s="18"/>
      <c r="B795" s="12"/>
      <c r="C795" s="12"/>
      <c r="D795" s="12"/>
      <c r="E795" s="12"/>
      <c r="F795" s="12"/>
      <c r="G795" s="12"/>
      <c r="H795" s="12"/>
      <c r="I795" s="12"/>
      <c r="J795" s="12"/>
      <c r="K795" s="12"/>
      <c r="L795" s="19"/>
      <c r="M795" s="19"/>
      <c r="N795" s="19"/>
      <c r="O795" s="19"/>
      <c r="P795" s="19"/>
      <c r="Q795" s="12"/>
      <c r="R795" s="12"/>
      <c r="S795" s="12"/>
      <c r="T795" s="12"/>
      <c r="U795" s="19"/>
      <c r="V795" s="12"/>
      <c r="W795" s="12"/>
      <c r="X795" s="12"/>
      <c r="Y795" s="12"/>
      <c r="Z795" s="12"/>
    </row>
    <row r="796">
      <c r="A796" s="18"/>
      <c r="B796" s="12"/>
      <c r="C796" s="12"/>
      <c r="D796" s="12"/>
      <c r="E796" s="12"/>
      <c r="F796" s="12"/>
      <c r="G796" s="12"/>
      <c r="H796" s="12"/>
      <c r="I796" s="12"/>
      <c r="J796" s="12"/>
      <c r="K796" s="12"/>
      <c r="L796" s="19"/>
      <c r="M796" s="19"/>
      <c r="N796" s="19"/>
      <c r="O796" s="19"/>
      <c r="P796" s="19"/>
      <c r="Q796" s="12"/>
      <c r="R796" s="12"/>
      <c r="S796" s="12"/>
      <c r="T796" s="12"/>
      <c r="U796" s="19"/>
      <c r="V796" s="12"/>
      <c r="W796" s="12"/>
      <c r="X796" s="12"/>
      <c r="Y796" s="12"/>
      <c r="Z796" s="12"/>
    </row>
    <row r="797">
      <c r="A797" s="18"/>
      <c r="B797" s="12"/>
      <c r="C797" s="12"/>
      <c r="D797" s="12"/>
      <c r="E797" s="12"/>
      <c r="F797" s="12"/>
      <c r="G797" s="12"/>
      <c r="H797" s="12"/>
      <c r="I797" s="12"/>
      <c r="J797" s="12"/>
      <c r="K797" s="12"/>
      <c r="L797" s="19"/>
      <c r="M797" s="19"/>
      <c r="N797" s="19"/>
      <c r="O797" s="19"/>
      <c r="P797" s="19"/>
      <c r="Q797" s="12"/>
      <c r="R797" s="12"/>
      <c r="S797" s="12"/>
      <c r="T797" s="12"/>
      <c r="U797" s="19"/>
      <c r="V797" s="12"/>
      <c r="W797" s="12"/>
      <c r="X797" s="12"/>
      <c r="Y797" s="12"/>
      <c r="Z797" s="12"/>
    </row>
    <row r="798">
      <c r="A798" s="18"/>
      <c r="B798" s="12"/>
      <c r="C798" s="12"/>
      <c r="D798" s="12"/>
      <c r="E798" s="12"/>
      <c r="F798" s="12"/>
      <c r="G798" s="12"/>
      <c r="H798" s="12"/>
      <c r="I798" s="12"/>
      <c r="J798" s="12"/>
      <c r="K798" s="12"/>
      <c r="L798" s="19"/>
      <c r="M798" s="19"/>
      <c r="N798" s="19"/>
      <c r="O798" s="19"/>
      <c r="P798" s="19"/>
      <c r="Q798" s="12"/>
      <c r="R798" s="12"/>
      <c r="S798" s="12"/>
      <c r="T798" s="12"/>
      <c r="U798" s="19"/>
      <c r="V798" s="12"/>
      <c r="W798" s="12"/>
      <c r="X798" s="12"/>
      <c r="Y798" s="12"/>
      <c r="Z798" s="12"/>
    </row>
    <row r="799">
      <c r="A799" s="18"/>
      <c r="B799" s="12"/>
      <c r="C799" s="12"/>
      <c r="D799" s="12"/>
      <c r="E799" s="12"/>
      <c r="F799" s="12"/>
      <c r="G799" s="12"/>
      <c r="H799" s="12"/>
      <c r="I799" s="12"/>
      <c r="J799" s="12"/>
      <c r="K799" s="12"/>
      <c r="L799" s="19"/>
      <c r="M799" s="19"/>
      <c r="N799" s="19"/>
      <c r="O799" s="19"/>
      <c r="P799" s="19"/>
      <c r="Q799" s="12"/>
      <c r="R799" s="12"/>
      <c r="S799" s="12"/>
      <c r="T799" s="12"/>
      <c r="U799" s="19"/>
      <c r="V799" s="12"/>
      <c r="W799" s="12"/>
      <c r="X799" s="12"/>
      <c r="Y799" s="12"/>
      <c r="Z799" s="12"/>
    </row>
    <row r="800">
      <c r="A800" s="18"/>
      <c r="B800" s="12"/>
      <c r="C800" s="12"/>
      <c r="D800" s="12"/>
      <c r="E800" s="12"/>
      <c r="F800" s="12"/>
      <c r="G800" s="12"/>
      <c r="H800" s="12"/>
      <c r="I800" s="12"/>
      <c r="J800" s="12"/>
      <c r="K800" s="12"/>
      <c r="L800" s="19"/>
      <c r="M800" s="19"/>
      <c r="N800" s="19"/>
      <c r="O800" s="19"/>
      <c r="P800" s="19"/>
      <c r="Q800" s="12"/>
      <c r="R800" s="12"/>
      <c r="S800" s="12"/>
      <c r="T800" s="12"/>
      <c r="U800" s="19"/>
      <c r="V800" s="12"/>
      <c r="W800" s="12"/>
      <c r="X800" s="12"/>
      <c r="Y800" s="12"/>
      <c r="Z800" s="12"/>
    </row>
    <row r="801">
      <c r="A801" s="18"/>
      <c r="B801" s="12"/>
      <c r="C801" s="12"/>
      <c r="D801" s="12"/>
      <c r="E801" s="12"/>
      <c r="F801" s="12"/>
      <c r="G801" s="12"/>
      <c r="H801" s="12"/>
      <c r="I801" s="12"/>
      <c r="J801" s="12"/>
      <c r="K801" s="12"/>
      <c r="L801" s="19"/>
      <c r="M801" s="19"/>
      <c r="N801" s="19"/>
      <c r="O801" s="19"/>
      <c r="P801" s="19"/>
      <c r="Q801" s="12"/>
      <c r="R801" s="12"/>
      <c r="S801" s="12"/>
      <c r="T801" s="12"/>
      <c r="U801" s="19"/>
      <c r="V801" s="12"/>
      <c r="W801" s="12"/>
      <c r="X801" s="12"/>
      <c r="Y801" s="12"/>
      <c r="Z801" s="12"/>
    </row>
    <row r="802">
      <c r="A802" s="18"/>
      <c r="B802" s="12"/>
      <c r="C802" s="12"/>
      <c r="D802" s="12"/>
      <c r="E802" s="12"/>
      <c r="F802" s="12"/>
      <c r="G802" s="12"/>
      <c r="H802" s="12"/>
      <c r="I802" s="12"/>
      <c r="J802" s="12"/>
      <c r="K802" s="12"/>
      <c r="L802" s="19"/>
      <c r="M802" s="19"/>
      <c r="N802" s="19"/>
      <c r="O802" s="19"/>
      <c r="P802" s="19"/>
      <c r="Q802" s="12"/>
      <c r="R802" s="12"/>
      <c r="S802" s="12"/>
      <c r="T802" s="12"/>
      <c r="U802" s="19"/>
      <c r="V802" s="12"/>
      <c r="W802" s="12"/>
      <c r="X802" s="12"/>
      <c r="Y802" s="12"/>
      <c r="Z802" s="12"/>
    </row>
    <row r="803">
      <c r="A803" s="18"/>
      <c r="B803" s="12"/>
      <c r="C803" s="12"/>
      <c r="D803" s="12"/>
      <c r="E803" s="12"/>
      <c r="F803" s="12"/>
      <c r="G803" s="12"/>
      <c r="H803" s="12"/>
      <c r="I803" s="12"/>
      <c r="J803" s="12"/>
      <c r="K803" s="12"/>
      <c r="L803" s="19"/>
      <c r="M803" s="19"/>
      <c r="N803" s="19"/>
      <c r="O803" s="19"/>
      <c r="P803" s="19"/>
      <c r="Q803" s="12"/>
      <c r="R803" s="12"/>
      <c r="S803" s="12"/>
      <c r="T803" s="12"/>
      <c r="U803" s="19"/>
      <c r="V803" s="12"/>
      <c r="W803" s="12"/>
      <c r="X803" s="12"/>
      <c r="Y803" s="12"/>
      <c r="Z803" s="12"/>
    </row>
    <row r="804">
      <c r="A804" s="18"/>
      <c r="B804" s="12"/>
      <c r="C804" s="12"/>
      <c r="D804" s="12"/>
      <c r="E804" s="12"/>
      <c r="F804" s="12"/>
      <c r="G804" s="12"/>
      <c r="H804" s="12"/>
      <c r="I804" s="12"/>
      <c r="J804" s="12"/>
      <c r="K804" s="12"/>
      <c r="L804" s="19"/>
      <c r="M804" s="19"/>
      <c r="N804" s="19"/>
      <c r="O804" s="19"/>
      <c r="P804" s="19"/>
      <c r="Q804" s="12"/>
      <c r="R804" s="12"/>
      <c r="S804" s="12"/>
      <c r="T804" s="12"/>
      <c r="U804" s="19"/>
      <c r="V804" s="12"/>
      <c r="W804" s="12"/>
      <c r="X804" s="12"/>
      <c r="Y804" s="12"/>
      <c r="Z804" s="12"/>
    </row>
    <row r="805">
      <c r="A805" s="18"/>
      <c r="B805" s="12"/>
      <c r="C805" s="12"/>
      <c r="D805" s="12"/>
      <c r="E805" s="12"/>
      <c r="F805" s="12"/>
      <c r="G805" s="12"/>
      <c r="H805" s="12"/>
      <c r="I805" s="12"/>
      <c r="J805" s="12"/>
      <c r="K805" s="12"/>
      <c r="L805" s="19"/>
      <c r="M805" s="19"/>
      <c r="N805" s="19"/>
      <c r="O805" s="19"/>
      <c r="P805" s="19"/>
      <c r="Q805" s="12"/>
      <c r="R805" s="12"/>
      <c r="S805" s="12"/>
      <c r="T805" s="12"/>
      <c r="U805" s="19"/>
      <c r="V805" s="12"/>
      <c r="W805" s="12"/>
      <c r="X805" s="12"/>
      <c r="Y805" s="12"/>
      <c r="Z805" s="12"/>
    </row>
    <row r="806">
      <c r="A806" s="18"/>
      <c r="B806" s="12"/>
      <c r="C806" s="12"/>
      <c r="D806" s="12"/>
      <c r="E806" s="12"/>
      <c r="F806" s="12"/>
      <c r="G806" s="12"/>
      <c r="H806" s="12"/>
      <c r="I806" s="12"/>
      <c r="J806" s="12"/>
      <c r="K806" s="12"/>
      <c r="L806" s="19"/>
      <c r="M806" s="19"/>
      <c r="N806" s="19"/>
      <c r="O806" s="19"/>
      <c r="P806" s="19"/>
      <c r="Q806" s="12"/>
      <c r="R806" s="12"/>
      <c r="S806" s="12"/>
      <c r="T806" s="12"/>
      <c r="U806" s="19"/>
      <c r="V806" s="12"/>
      <c r="W806" s="12"/>
      <c r="X806" s="12"/>
      <c r="Y806" s="12"/>
      <c r="Z806" s="12"/>
    </row>
    <row r="807">
      <c r="A807" s="18"/>
      <c r="B807" s="12"/>
      <c r="C807" s="12"/>
      <c r="D807" s="12"/>
      <c r="E807" s="12"/>
      <c r="F807" s="12"/>
      <c r="G807" s="12"/>
      <c r="H807" s="12"/>
      <c r="I807" s="12"/>
      <c r="J807" s="12"/>
      <c r="K807" s="12"/>
      <c r="L807" s="19"/>
      <c r="M807" s="19"/>
      <c r="N807" s="19"/>
      <c r="O807" s="19"/>
      <c r="P807" s="19"/>
      <c r="Q807" s="12"/>
      <c r="R807" s="12"/>
      <c r="S807" s="12"/>
      <c r="T807" s="12"/>
      <c r="U807" s="19"/>
      <c r="V807" s="12"/>
      <c r="W807" s="12"/>
      <c r="X807" s="12"/>
      <c r="Y807" s="12"/>
      <c r="Z807" s="12"/>
    </row>
    <row r="808">
      <c r="A808" s="18"/>
      <c r="B808" s="12"/>
      <c r="C808" s="12"/>
      <c r="D808" s="12"/>
      <c r="E808" s="12"/>
      <c r="F808" s="12"/>
      <c r="G808" s="12"/>
      <c r="H808" s="12"/>
      <c r="I808" s="12"/>
      <c r="J808" s="12"/>
      <c r="K808" s="12"/>
      <c r="L808" s="19"/>
      <c r="M808" s="19"/>
      <c r="N808" s="19"/>
      <c r="O808" s="19"/>
      <c r="P808" s="19"/>
      <c r="Q808" s="12"/>
      <c r="R808" s="12"/>
      <c r="S808" s="12"/>
      <c r="T808" s="12"/>
      <c r="U808" s="19"/>
      <c r="V808" s="12"/>
      <c r="W808" s="12"/>
      <c r="X808" s="12"/>
      <c r="Y808" s="12"/>
      <c r="Z808" s="12"/>
    </row>
    <row r="809">
      <c r="A809" s="18"/>
      <c r="B809" s="12"/>
      <c r="C809" s="12"/>
      <c r="D809" s="12"/>
      <c r="E809" s="12"/>
      <c r="F809" s="12"/>
      <c r="G809" s="12"/>
      <c r="H809" s="12"/>
      <c r="I809" s="12"/>
      <c r="J809" s="12"/>
      <c r="K809" s="12"/>
      <c r="L809" s="19"/>
      <c r="M809" s="19"/>
      <c r="N809" s="19"/>
      <c r="O809" s="19"/>
      <c r="P809" s="19"/>
      <c r="Q809" s="12"/>
      <c r="R809" s="12"/>
      <c r="S809" s="12"/>
      <c r="T809" s="12"/>
      <c r="U809" s="19"/>
      <c r="V809" s="12"/>
      <c r="W809" s="12"/>
      <c r="X809" s="12"/>
      <c r="Y809" s="12"/>
      <c r="Z809" s="12"/>
    </row>
    <row r="810">
      <c r="A810" s="18"/>
      <c r="B810" s="12"/>
      <c r="C810" s="12"/>
      <c r="D810" s="12"/>
      <c r="E810" s="12"/>
      <c r="F810" s="12"/>
      <c r="G810" s="12"/>
      <c r="H810" s="12"/>
      <c r="I810" s="12"/>
      <c r="J810" s="12"/>
      <c r="K810" s="12"/>
      <c r="L810" s="19"/>
      <c r="M810" s="19"/>
      <c r="N810" s="19"/>
      <c r="O810" s="19"/>
      <c r="P810" s="19"/>
      <c r="Q810" s="12"/>
      <c r="R810" s="12"/>
      <c r="S810" s="12"/>
      <c r="T810" s="12"/>
      <c r="U810" s="19"/>
      <c r="V810" s="12"/>
      <c r="W810" s="12"/>
      <c r="X810" s="12"/>
      <c r="Y810" s="12"/>
      <c r="Z810" s="12"/>
    </row>
    <row r="811">
      <c r="A811" s="18"/>
      <c r="B811" s="12"/>
      <c r="C811" s="12"/>
      <c r="D811" s="12"/>
      <c r="E811" s="12"/>
      <c r="F811" s="12"/>
      <c r="G811" s="12"/>
      <c r="H811" s="12"/>
      <c r="I811" s="12"/>
      <c r="J811" s="12"/>
      <c r="K811" s="12"/>
      <c r="L811" s="19"/>
      <c r="M811" s="19"/>
      <c r="N811" s="19"/>
      <c r="O811" s="19"/>
      <c r="P811" s="19"/>
      <c r="Q811" s="12"/>
      <c r="R811" s="12"/>
      <c r="S811" s="12"/>
      <c r="T811" s="12"/>
      <c r="U811" s="19"/>
      <c r="V811" s="12"/>
      <c r="W811" s="12"/>
      <c r="X811" s="12"/>
      <c r="Y811" s="12"/>
      <c r="Z811" s="12"/>
    </row>
    <row r="812">
      <c r="A812" s="18"/>
      <c r="B812" s="12"/>
      <c r="C812" s="12"/>
      <c r="D812" s="12"/>
      <c r="E812" s="12"/>
      <c r="F812" s="12"/>
      <c r="G812" s="12"/>
      <c r="H812" s="12"/>
      <c r="I812" s="12"/>
      <c r="J812" s="12"/>
      <c r="K812" s="12"/>
      <c r="L812" s="19"/>
      <c r="M812" s="19"/>
      <c r="N812" s="19"/>
      <c r="O812" s="19"/>
      <c r="P812" s="19"/>
      <c r="Q812" s="12"/>
      <c r="R812" s="12"/>
      <c r="S812" s="12"/>
      <c r="T812" s="12"/>
      <c r="U812" s="19"/>
      <c r="V812" s="12"/>
      <c r="W812" s="12"/>
      <c r="X812" s="12"/>
      <c r="Y812" s="12"/>
      <c r="Z812" s="12"/>
    </row>
    <row r="813">
      <c r="A813" s="18"/>
      <c r="B813" s="12"/>
      <c r="C813" s="12"/>
      <c r="D813" s="12"/>
      <c r="E813" s="12"/>
      <c r="F813" s="12"/>
      <c r="G813" s="12"/>
      <c r="H813" s="12"/>
      <c r="I813" s="12"/>
      <c r="J813" s="12"/>
      <c r="K813" s="12"/>
      <c r="L813" s="19"/>
      <c r="M813" s="19"/>
      <c r="N813" s="19"/>
      <c r="O813" s="19"/>
      <c r="P813" s="19"/>
      <c r="Q813" s="12"/>
      <c r="R813" s="12"/>
      <c r="S813" s="12"/>
      <c r="T813" s="12"/>
      <c r="U813" s="19"/>
      <c r="V813" s="12"/>
      <c r="W813" s="12"/>
      <c r="X813" s="12"/>
      <c r="Y813" s="12"/>
      <c r="Z813" s="12"/>
    </row>
    <row r="814">
      <c r="A814" s="18"/>
      <c r="B814" s="12"/>
      <c r="C814" s="12"/>
      <c r="D814" s="12"/>
      <c r="E814" s="12"/>
      <c r="F814" s="12"/>
      <c r="G814" s="12"/>
      <c r="H814" s="12"/>
      <c r="I814" s="12"/>
      <c r="J814" s="12"/>
      <c r="K814" s="12"/>
      <c r="L814" s="19"/>
      <c r="M814" s="19"/>
      <c r="N814" s="19"/>
      <c r="O814" s="19"/>
      <c r="P814" s="19"/>
      <c r="Q814" s="12"/>
      <c r="R814" s="12"/>
      <c r="S814" s="12"/>
      <c r="T814" s="12"/>
      <c r="U814" s="19"/>
      <c r="V814" s="12"/>
      <c r="W814" s="12"/>
      <c r="X814" s="12"/>
      <c r="Y814" s="12"/>
      <c r="Z814" s="12"/>
    </row>
    <row r="815">
      <c r="A815" s="18"/>
      <c r="B815" s="12"/>
      <c r="C815" s="12"/>
      <c r="D815" s="12"/>
      <c r="E815" s="12"/>
      <c r="F815" s="12"/>
      <c r="G815" s="12"/>
      <c r="H815" s="12"/>
      <c r="I815" s="12"/>
      <c r="J815" s="12"/>
      <c r="K815" s="12"/>
      <c r="L815" s="19"/>
      <c r="M815" s="19"/>
      <c r="N815" s="19"/>
      <c r="O815" s="19"/>
      <c r="P815" s="19"/>
      <c r="Q815" s="12"/>
      <c r="R815" s="12"/>
      <c r="S815" s="12"/>
      <c r="T815" s="12"/>
      <c r="U815" s="19"/>
      <c r="V815" s="12"/>
      <c r="W815" s="12"/>
      <c r="X815" s="12"/>
      <c r="Y815" s="12"/>
      <c r="Z815" s="12"/>
    </row>
    <row r="816">
      <c r="A816" s="18"/>
      <c r="B816" s="12"/>
      <c r="C816" s="12"/>
      <c r="D816" s="12"/>
      <c r="E816" s="12"/>
      <c r="F816" s="12"/>
      <c r="G816" s="12"/>
      <c r="H816" s="12"/>
      <c r="I816" s="12"/>
      <c r="J816" s="12"/>
      <c r="K816" s="12"/>
      <c r="L816" s="19"/>
      <c r="M816" s="19"/>
      <c r="N816" s="19"/>
      <c r="O816" s="19"/>
      <c r="P816" s="19"/>
      <c r="Q816" s="12"/>
      <c r="R816" s="12"/>
      <c r="S816" s="12"/>
      <c r="T816" s="12"/>
      <c r="U816" s="19"/>
      <c r="V816" s="12"/>
      <c r="W816" s="12"/>
      <c r="X816" s="12"/>
      <c r="Y816" s="12"/>
      <c r="Z816" s="12"/>
    </row>
    <row r="817">
      <c r="A817" s="18"/>
      <c r="B817" s="12"/>
      <c r="C817" s="12"/>
      <c r="D817" s="12"/>
      <c r="E817" s="12"/>
      <c r="F817" s="12"/>
      <c r="G817" s="12"/>
      <c r="H817" s="12"/>
      <c r="I817" s="12"/>
      <c r="J817" s="12"/>
      <c r="K817" s="12"/>
      <c r="L817" s="19"/>
      <c r="M817" s="19"/>
      <c r="N817" s="19"/>
      <c r="O817" s="19"/>
      <c r="P817" s="19"/>
      <c r="Q817" s="12"/>
      <c r="R817" s="12"/>
      <c r="S817" s="12"/>
      <c r="T817" s="12"/>
      <c r="U817" s="19"/>
      <c r="V817" s="12"/>
      <c r="W817" s="12"/>
      <c r="X817" s="12"/>
      <c r="Y817" s="12"/>
      <c r="Z817" s="12"/>
    </row>
    <row r="818">
      <c r="A818" s="18"/>
      <c r="B818" s="12"/>
      <c r="C818" s="12"/>
      <c r="D818" s="12"/>
      <c r="E818" s="12"/>
      <c r="F818" s="12"/>
      <c r="G818" s="12"/>
      <c r="H818" s="12"/>
      <c r="I818" s="12"/>
      <c r="J818" s="12"/>
      <c r="K818" s="12"/>
      <c r="L818" s="19"/>
      <c r="M818" s="19"/>
      <c r="N818" s="19"/>
      <c r="O818" s="19"/>
      <c r="P818" s="19"/>
      <c r="Q818" s="12"/>
      <c r="R818" s="12"/>
      <c r="S818" s="12"/>
      <c r="T818" s="12"/>
      <c r="U818" s="19"/>
      <c r="V818" s="12"/>
      <c r="W818" s="12"/>
      <c r="X818" s="12"/>
      <c r="Y818" s="12"/>
      <c r="Z818" s="12"/>
    </row>
    <row r="819">
      <c r="A819" s="18"/>
      <c r="B819" s="12"/>
      <c r="C819" s="12"/>
      <c r="D819" s="12"/>
      <c r="E819" s="12"/>
      <c r="F819" s="12"/>
      <c r="G819" s="12"/>
      <c r="H819" s="12"/>
      <c r="I819" s="12"/>
      <c r="J819" s="12"/>
      <c r="K819" s="12"/>
      <c r="L819" s="19"/>
      <c r="M819" s="19"/>
      <c r="N819" s="19"/>
      <c r="O819" s="19"/>
      <c r="P819" s="19"/>
      <c r="Q819" s="12"/>
      <c r="R819" s="12"/>
      <c r="S819" s="12"/>
      <c r="T819" s="12"/>
      <c r="U819" s="19"/>
      <c r="V819" s="12"/>
      <c r="W819" s="12"/>
      <c r="X819" s="12"/>
      <c r="Y819" s="12"/>
      <c r="Z819" s="12"/>
    </row>
    <row r="820">
      <c r="A820" s="18"/>
      <c r="B820" s="12"/>
      <c r="C820" s="12"/>
      <c r="D820" s="12"/>
      <c r="E820" s="12"/>
      <c r="F820" s="12"/>
      <c r="G820" s="12"/>
      <c r="H820" s="12"/>
      <c r="I820" s="12"/>
      <c r="J820" s="12"/>
      <c r="K820" s="12"/>
      <c r="L820" s="19"/>
      <c r="M820" s="19"/>
      <c r="N820" s="19"/>
      <c r="O820" s="19"/>
      <c r="P820" s="19"/>
      <c r="Q820" s="12"/>
      <c r="R820" s="12"/>
      <c r="S820" s="12"/>
      <c r="T820" s="12"/>
      <c r="U820" s="19"/>
      <c r="V820" s="12"/>
      <c r="W820" s="12"/>
      <c r="X820" s="12"/>
      <c r="Y820" s="12"/>
      <c r="Z820" s="12"/>
    </row>
    <row r="821">
      <c r="A821" s="18"/>
      <c r="B821" s="12"/>
      <c r="C821" s="12"/>
      <c r="D821" s="12"/>
      <c r="E821" s="12"/>
      <c r="F821" s="12"/>
      <c r="G821" s="12"/>
      <c r="H821" s="12"/>
      <c r="I821" s="12"/>
      <c r="J821" s="12"/>
      <c r="K821" s="12"/>
      <c r="L821" s="19"/>
      <c r="M821" s="19"/>
      <c r="N821" s="19"/>
      <c r="O821" s="19"/>
      <c r="P821" s="19"/>
      <c r="Q821" s="12"/>
      <c r="R821" s="12"/>
      <c r="S821" s="12"/>
      <c r="T821" s="12"/>
      <c r="U821" s="19"/>
      <c r="V821" s="12"/>
      <c r="W821" s="12"/>
      <c r="X821" s="12"/>
      <c r="Y821" s="12"/>
      <c r="Z821" s="12"/>
    </row>
    <row r="822">
      <c r="A822" s="18"/>
      <c r="B822" s="12"/>
      <c r="C822" s="12"/>
      <c r="D822" s="12"/>
      <c r="E822" s="12"/>
      <c r="F822" s="12"/>
      <c r="G822" s="12"/>
      <c r="H822" s="12"/>
      <c r="I822" s="12"/>
      <c r="J822" s="12"/>
      <c r="K822" s="12"/>
      <c r="L822" s="19"/>
      <c r="M822" s="19"/>
      <c r="N822" s="19"/>
      <c r="O822" s="19"/>
      <c r="P822" s="19"/>
      <c r="Q822" s="12"/>
      <c r="R822" s="12"/>
      <c r="S822" s="12"/>
      <c r="T822" s="12"/>
      <c r="U822" s="19"/>
      <c r="V822" s="12"/>
      <c r="W822" s="12"/>
      <c r="X822" s="12"/>
      <c r="Y822" s="12"/>
      <c r="Z822" s="12"/>
    </row>
    <row r="823">
      <c r="A823" s="18"/>
      <c r="B823" s="12"/>
      <c r="C823" s="12"/>
      <c r="D823" s="12"/>
      <c r="E823" s="12"/>
      <c r="F823" s="12"/>
      <c r="G823" s="12"/>
      <c r="H823" s="12"/>
      <c r="I823" s="12"/>
      <c r="J823" s="12"/>
      <c r="K823" s="12"/>
      <c r="L823" s="19"/>
      <c r="M823" s="19"/>
      <c r="N823" s="19"/>
      <c r="O823" s="19"/>
      <c r="P823" s="19"/>
      <c r="Q823" s="12"/>
      <c r="R823" s="12"/>
      <c r="S823" s="12"/>
      <c r="T823" s="12"/>
      <c r="U823" s="19"/>
      <c r="V823" s="12"/>
      <c r="W823" s="12"/>
      <c r="X823" s="12"/>
      <c r="Y823" s="12"/>
      <c r="Z823" s="12"/>
    </row>
    <row r="824">
      <c r="A824" s="18"/>
      <c r="B824" s="12"/>
      <c r="C824" s="12"/>
      <c r="D824" s="12"/>
      <c r="E824" s="12"/>
      <c r="F824" s="12"/>
      <c r="G824" s="12"/>
      <c r="H824" s="12"/>
      <c r="I824" s="12"/>
      <c r="J824" s="12"/>
      <c r="K824" s="12"/>
      <c r="L824" s="19"/>
      <c r="M824" s="19"/>
      <c r="N824" s="19"/>
      <c r="O824" s="19"/>
      <c r="P824" s="19"/>
      <c r="Q824" s="12"/>
      <c r="R824" s="12"/>
      <c r="S824" s="12"/>
      <c r="T824" s="12"/>
      <c r="U824" s="19"/>
      <c r="V824" s="12"/>
      <c r="W824" s="12"/>
      <c r="X824" s="12"/>
      <c r="Y824" s="12"/>
      <c r="Z824" s="12"/>
    </row>
    <row r="825">
      <c r="A825" s="18"/>
      <c r="B825" s="12"/>
      <c r="C825" s="12"/>
      <c r="D825" s="12"/>
      <c r="E825" s="12"/>
      <c r="F825" s="12"/>
      <c r="G825" s="12"/>
      <c r="H825" s="12"/>
      <c r="I825" s="12"/>
      <c r="J825" s="12"/>
      <c r="K825" s="12"/>
      <c r="L825" s="19"/>
      <c r="M825" s="19"/>
      <c r="N825" s="19"/>
      <c r="O825" s="19"/>
      <c r="P825" s="19"/>
      <c r="Q825" s="12"/>
      <c r="R825" s="12"/>
      <c r="S825" s="12"/>
      <c r="T825" s="12"/>
      <c r="U825" s="19"/>
      <c r="V825" s="12"/>
      <c r="W825" s="12"/>
      <c r="X825" s="12"/>
      <c r="Y825" s="12"/>
      <c r="Z825" s="12"/>
    </row>
    <row r="826">
      <c r="A826" s="18"/>
      <c r="B826" s="12"/>
      <c r="C826" s="12"/>
      <c r="D826" s="12"/>
      <c r="E826" s="12"/>
      <c r="F826" s="12"/>
      <c r="G826" s="12"/>
      <c r="H826" s="12"/>
      <c r="I826" s="12"/>
      <c r="J826" s="12"/>
      <c r="K826" s="12"/>
      <c r="L826" s="19"/>
      <c r="M826" s="19"/>
      <c r="N826" s="19"/>
      <c r="O826" s="19"/>
      <c r="P826" s="19"/>
      <c r="Q826" s="12"/>
      <c r="R826" s="12"/>
      <c r="S826" s="12"/>
      <c r="T826" s="12"/>
      <c r="U826" s="19"/>
      <c r="V826" s="12"/>
      <c r="W826" s="12"/>
      <c r="X826" s="12"/>
      <c r="Y826" s="12"/>
      <c r="Z826" s="12"/>
    </row>
    <row r="827">
      <c r="A827" s="18"/>
      <c r="B827" s="12"/>
      <c r="C827" s="12"/>
      <c r="D827" s="12"/>
      <c r="E827" s="12"/>
      <c r="F827" s="12"/>
      <c r="G827" s="12"/>
      <c r="H827" s="12"/>
      <c r="I827" s="12"/>
      <c r="J827" s="12"/>
      <c r="K827" s="12"/>
      <c r="L827" s="19"/>
      <c r="M827" s="19"/>
      <c r="N827" s="19"/>
      <c r="O827" s="19"/>
      <c r="P827" s="19"/>
      <c r="Q827" s="12"/>
      <c r="R827" s="12"/>
      <c r="S827" s="12"/>
      <c r="T827" s="12"/>
      <c r="U827" s="19"/>
      <c r="V827" s="12"/>
      <c r="W827" s="12"/>
      <c r="X827" s="12"/>
      <c r="Y827" s="12"/>
      <c r="Z827" s="12"/>
    </row>
    <row r="828">
      <c r="A828" s="18"/>
      <c r="B828" s="12"/>
      <c r="C828" s="12"/>
      <c r="D828" s="12"/>
      <c r="E828" s="12"/>
      <c r="F828" s="12"/>
      <c r="G828" s="12"/>
      <c r="H828" s="12"/>
      <c r="I828" s="12"/>
      <c r="J828" s="12"/>
      <c r="K828" s="12"/>
      <c r="L828" s="19"/>
      <c r="M828" s="19"/>
      <c r="N828" s="19"/>
      <c r="O828" s="19"/>
      <c r="P828" s="19"/>
      <c r="Q828" s="12"/>
      <c r="R828" s="12"/>
      <c r="S828" s="12"/>
      <c r="T828" s="12"/>
      <c r="U828" s="19"/>
      <c r="V828" s="12"/>
      <c r="W828" s="12"/>
      <c r="X828" s="12"/>
      <c r="Y828" s="12"/>
      <c r="Z828" s="12"/>
    </row>
    <row r="829">
      <c r="A829" s="18"/>
      <c r="B829" s="12"/>
      <c r="C829" s="12"/>
      <c r="D829" s="12"/>
      <c r="E829" s="12"/>
      <c r="F829" s="12"/>
      <c r="G829" s="12"/>
      <c r="H829" s="12"/>
      <c r="I829" s="12"/>
      <c r="J829" s="12"/>
      <c r="K829" s="12"/>
      <c r="L829" s="19"/>
      <c r="M829" s="19"/>
      <c r="N829" s="19"/>
      <c r="O829" s="19"/>
      <c r="P829" s="19"/>
      <c r="Q829" s="12"/>
      <c r="R829" s="12"/>
      <c r="S829" s="12"/>
      <c r="T829" s="12"/>
      <c r="U829" s="19"/>
      <c r="V829" s="12"/>
      <c r="W829" s="12"/>
      <c r="X829" s="12"/>
      <c r="Y829" s="12"/>
      <c r="Z829" s="12"/>
    </row>
    <row r="830">
      <c r="A830" s="18"/>
      <c r="B830" s="12"/>
      <c r="C830" s="12"/>
      <c r="D830" s="12"/>
      <c r="E830" s="12"/>
      <c r="F830" s="12"/>
      <c r="G830" s="12"/>
      <c r="H830" s="12"/>
      <c r="I830" s="12"/>
      <c r="J830" s="12"/>
      <c r="K830" s="12"/>
      <c r="L830" s="19"/>
      <c r="M830" s="19"/>
      <c r="N830" s="19"/>
      <c r="O830" s="19"/>
      <c r="P830" s="19"/>
      <c r="Q830" s="12"/>
      <c r="R830" s="12"/>
      <c r="S830" s="12"/>
      <c r="T830" s="12"/>
      <c r="U830" s="19"/>
      <c r="V830" s="12"/>
      <c r="W830" s="12"/>
      <c r="X830" s="12"/>
      <c r="Y830" s="12"/>
      <c r="Z830" s="12"/>
    </row>
    <row r="831">
      <c r="A831" s="18"/>
      <c r="B831" s="12"/>
      <c r="C831" s="12"/>
      <c r="D831" s="12"/>
      <c r="E831" s="12"/>
      <c r="F831" s="12"/>
      <c r="G831" s="12"/>
      <c r="H831" s="12"/>
      <c r="I831" s="12"/>
      <c r="J831" s="12"/>
      <c r="K831" s="12"/>
      <c r="L831" s="19"/>
      <c r="M831" s="19"/>
      <c r="N831" s="19"/>
      <c r="O831" s="19"/>
      <c r="P831" s="19"/>
      <c r="Q831" s="12"/>
      <c r="R831" s="12"/>
      <c r="S831" s="12"/>
      <c r="T831" s="12"/>
      <c r="U831" s="19"/>
      <c r="V831" s="12"/>
      <c r="W831" s="12"/>
      <c r="X831" s="12"/>
      <c r="Y831" s="12"/>
      <c r="Z831" s="12"/>
    </row>
    <row r="832">
      <c r="A832" s="18"/>
      <c r="B832" s="12"/>
      <c r="C832" s="12"/>
      <c r="D832" s="12"/>
      <c r="E832" s="12"/>
      <c r="F832" s="12"/>
      <c r="G832" s="12"/>
      <c r="H832" s="12"/>
      <c r="I832" s="12"/>
      <c r="J832" s="12"/>
      <c r="K832" s="12"/>
      <c r="L832" s="19"/>
      <c r="M832" s="19"/>
      <c r="N832" s="19"/>
      <c r="O832" s="19"/>
      <c r="P832" s="19"/>
      <c r="Q832" s="12"/>
      <c r="R832" s="12"/>
      <c r="S832" s="12"/>
      <c r="T832" s="12"/>
      <c r="U832" s="19"/>
      <c r="V832" s="12"/>
      <c r="W832" s="12"/>
      <c r="X832" s="12"/>
      <c r="Y832" s="12"/>
      <c r="Z832" s="12"/>
    </row>
    <row r="833">
      <c r="A833" s="18"/>
      <c r="B833" s="12"/>
      <c r="C833" s="12"/>
      <c r="D833" s="12"/>
      <c r="E833" s="12"/>
      <c r="F833" s="12"/>
      <c r="G833" s="12"/>
      <c r="H833" s="12"/>
      <c r="I833" s="12"/>
      <c r="J833" s="12"/>
      <c r="K833" s="12"/>
      <c r="L833" s="19"/>
      <c r="M833" s="19"/>
      <c r="N833" s="19"/>
      <c r="O833" s="19"/>
      <c r="P833" s="19"/>
      <c r="Q833" s="12"/>
      <c r="R833" s="12"/>
      <c r="S833" s="12"/>
      <c r="T833" s="12"/>
      <c r="U833" s="19"/>
      <c r="V833" s="12"/>
      <c r="W833" s="12"/>
      <c r="X833" s="12"/>
      <c r="Y833" s="12"/>
      <c r="Z833" s="12"/>
    </row>
    <row r="834">
      <c r="A834" s="18"/>
      <c r="B834" s="12"/>
      <c r="C834" s="12"/>
      <c r="D834" s="12"/>
      <c r="E834" s="12"/>
      <c r="F834" s="12"/>
      <c r="G834" s="12"/>
      <c r="H834" s="12"/>
      <c r="I834" s="12"/>
      <c r="J834" s="12"/>
      <c r="K834" s="12"/>
      <c r="L834" s="19"/>
      <c r="M834" s="19"/>
      <c r="N834" s="19"/>
      <c r="O834" s="19"/>
      <c r="P834" s="19"/>
      <c r="Q834" s="12"/>
      <c r="R834" s="12"/>
      <c r="S834" s="12"/>
      <c r="T834" s="12"/>
      <c r="U834" s="19"/>
      <c r="V834" s="12"/>
      <c r="W834" s="12"/>
      <c r="X834" s="12"/>
      <c r="Y834" s="12"/>
      <c r="Z834" s="12"/>
    </row>
    <row r="835">
      <c r="A835" s="18"/>
      <c r="B835" s="12"/>
      <c r="C835" s="12"/>
      <c r="D835" s="12"/>
      <c r="E835" s="12"/>
      <c r="F835" s="12"/>
      <c r="G835" s="12"/>
      <c r="H835" s="12"/>
      <c r="I835" s="12"/>
      <c r="J835" s="12"/>
      <c r="K835" s="12"/>
      <c r="L835" s="19"/>
      <c r="M835" s="19"/>
      <c r="N835" s="19"/>
      <c r="O835" s="19"/>
      <c r="P835" s="19"/>
      <c r="Q835" s="12"/>
      <c r="R835" s="12"/>
      <c r="S835" s="12"/>
      <c r="T835" s="12"/>
      <c r="U835" s="19"/>
      <c r="V835" s="12"/>
      <c r="W835" s="12"/>
      <c r="X835" s="12"/>
      <c r="Y835" s="12"/>
      <c r="Z835" s="12"/>
    </row>
    <row r="836">
      <c r="A836" s="18"/>
      <c r="B836" s="12"/>
      <c r="C836" s="12"/>
      <c r="D836" s="12"/>
      <c r="E836" s="12"/>
      <c r="F836" s="12"/>
      <c r="G836" s="12"/>
      <c r="H836" s="12"/>
      <c r="I836" s="12"/>
      <c r="J836" s="12"/>
      <c r="K836" s="12"/>
      <c r="L836" s="19"/>
      <c r="M836" s="19"/>
      <c r="N836" s="19"/>
      <c r="O836" s="19"/>
      <c r="P836" s="19"/>
      <c r="Q836" s="12"/>
      <c r="R836" s="12"/>
      <c r="S836" s="12"/>
      <c r="T836" s="12"/>
      <c r="U836" s="19"/>
      <c r="V836" s="12"/>
      <c r="W836" s="12"/>
      <c r="X836" s="12"/>
      <c r="Y836" s="12"/>
      <c r="Z836" s="12"/>
    </row>
    <row r="837">
      <c r="A837" s="18"/>
      <c r="B837" s="12"/>
      <c r="C837" s="12"/>
      <c r="D837" s="12"/>
      <c r="E837" s="12"/>
      <c r="F837" s="12"/>
      <c r="G837" s="12"/>
      <c r="H837" s="12"/>
      <c r="I837" s="12"/>
      <c r="J837" s="12"/>
      <c r="K837" s="12"/>
      <c r="L837" s="19"/>
      <c r="M837" s="19"/>
      <c r="N837" s="19"/>
      <c r="O837" s="19"/>
      <c r="P837" s="19"/>
      <c r="Q837" s="12"/>
      <c r="R837" s="12"/>
      <c r="S837" s="12"/>
      <c r="T837" s="12"/>
      <c r="U837" s="19"/>
      <c r="V837" s="12"/>
      <c r="W837" s="12"/>
      <c r="X837" s="12"/>
      <c r="Y837" s="12"/>
      <c r="Z837" s="12"/>
    </row>
    <row r="838">
      <c r="A838" s="18"/>
      <c r="B838" s="12"/>
      <c r="C838" s="12"/>
      <c r="D838" s="12"/>
      <c r="E838" s="12"/>
      <c r="F838" s="12"/>
      <c r="G838" s="12"/>
      <c r="H838" s="12"/>
      <c r="I838" s="12"/>
      <c r="J838" s="12"/>
      <c r="K838" s="12"/>
      <c r="L838" s="19"/>
      <c r="M838" s="19"/>
      <c r="N838" s="19"/>
      <c r="O838" s="19"/>
      <c r="P838" s="19"/>
      <c r="Q838" s="12"/>
      <c r="R838" s="12"/>
      <c r="S838" s="12"/>
      <c r="T838" s="12"/>
      <c r="U838" s="19"/>
      <c r="V838" s="12"/>
      <c r="W838" s="12"/>
      <c r="X838" s="12"/>
      <c r="Y838" s="12"/>
      <c r="Z838" s="12"/>
    </row>
    <row r="839">
      <c r="A839" s="18"/>
      <c r="B839" s="12"/>
      <c r="C839" s="12"/>
      <c r="D839" s="12"/>
      <c r="E839" s="12"/>
      <c r="F839" s="12"/>
      <c r="G839" s="12"/>
      <c r="H839" s="12"/>
      <c r="I839" s="12"/>
      <c r="J839" s="12"/>
      <c r="K839" s="12"/>
      <c r="L839" s="19"/>
      <c r="M839" s="19"/>
      <c r="N839" s="19"/>
      <c r="O839" s="19"/>
      <c r="P839" s="19"/>
      <c r="Q839" s="12"/>
      <c r="R839" s="12"/>
      <c r="S839" s="12"/>
      <c r="T839" s="12"/>
      <c r="U839" s="19"/>
      <c r="V839" s="12"/>
      <c r="W839" s="12"/>
      <c r="X839" s="12"/>
      <c r="Y839" s="12"/>
      <c r="Z839" s="12"/>
    </row>
    <row r="840">
      <c r="A840" s="18"/>
      <c r="B840" s="12"/>
      <c r="C840" s="12"/>
      <c r="D840" s="12"/>
      <c r="E840" s="12"/>
      <c r="F840" s="12"/>
      <c r="G840" s="12"/>
      <c r="H840" s="12"/>
      <c r="I840" s="12"/>
      <c r="J840" s="12"/>
      <c r="K840" s="12"/>
      <c r="L840" s="19"/>
      <c r="M840" s="19"/>
      <c r="N840" s="19"/>
      <c r="O840" s="19"/>
      <c r="P840" s="19"/>
      <c r="Q840" s="12"/>
      <c r="R840" s="12"/>
      <c r="S840" s="12"/>
      <c r="T840" s="12"/>
      <c r="U840" s="19"/>
      <c r="V840" s="12"/>
      <c r="W840" s="12"/>
      <c r="X840" s="12"/>
      <c r="Y840" s="12"/>
      <c r="Z840" s="12"/>
    </row>
    <row r="841">
      <c r="A841" s="18"/>
      <c r="B841" s="12"/>
      <c r="C841" s="12"/>
      <c r="D841" s="12"/>
      <c r="E841" s="12"/>
      <c r="F841" s="12"/>
      <c r="G841" s="12"/>
      <c r="H841" s="12"/>
      <c r="I841" s="12"/>
      <c r="J841" s="12"/>
      <c r="K841" s="12"/>
      <c r="L841" s="19"/>
      <c r="M841" s="19"/>
      <c r="N841" s="19"/>
      <c r="O841" s="19"/>
      <c r="P841" s="19"/>
      <c r="Q841" s="12"/>
      <c r="R841" s="12"/>
      <c r="S841" s="12"/>
      <c r="T841" s="12"/>
      <c r="U841" s="19"/>
      <c r="V841" s="12"/>
      <c r="W841" s="12"/>
      <c r="X841" s="12"/>
      <c r="Y841" s="12"/>
      <c r="Z841" s="12"/>
    </row>
    <row r="842">
      <c r="A842" s="18"/>
      <c r="B842" s="12"/>
      <c r="C842" s="12"/>
      <c r="D842" s="12"/>
      <c r="E842" s="12"/>
      <c r="F842" s="12"/>
      <c r="G842" s="12"/>
      <c r="H842" s="12"/>
      <c r="I842" s="12"/>
      <c r="J842" s="12"/>
      <c r="K842" s="12"/>
      <c r="L842" s="19"/>
      <c r="M842" s="19"/>
      <c r="N842" s="19"/>
      <c r="O842" s="19"/>
      <c r="P842" s="19"/>
      <c r="Q842" s="12"/>
      <c r="R842" s="12"/>
      <c r="S842" s="12"/>
      <c r="T842" s="12"/>
      <c r="U842" s="19"/>
      <c r="V842" s="12"/>
      <c r="W842" s="12"/>
      <c r="X842" s="12"/>
      <c r="Y842" s="12"/>
      <c r="Z842" s="12"/>
    </row>
    <row r="843">
      <c r="A843" s="18"/>
      <c r="B843" s="12"/>
      <c r="C843" s="12"/>
      <c r="D843" s="12"/>
      <c r="E843" s="12"/>
      <c r="F843" s="12"/>
      <c r="G843" s="12"/>
      <c r="H843" s="12"/>
      <c r="I843" s="12"/>
      <c r="J843" s="12"/>
      <c r="K843" s="12"/>
      <c r="L843" s="19"/>
      <c r="M843" s="19"/>
      <c r="N843" s="19"/>
      <c r="O843" s="19"/>
      <c r="P843" s="19"/>
      <c r="Q843" s="12"/>
      <c r="R843" s="12"/>
      <c r="S843" s="12"/>
      <c r="T843" s="12"/>
      <c r="U843" s="19"/>
      <c r="V843" s="12"/>
      <c r="W843" s="12"/>
      <c r="X843" s="12"/>
      <c r="Y843" s="12"/>
      <c r="Z843" s="12"/>
    </row>
    <row r="844">
      <c r="A844" s="18"/>
      <c r="B844" s="12"/>
      <c r="C844" s="12"/>
      <c r="D844" s="12"/>
      <c r="E844" s="12"/>
      <c r="F844" s="12"/>
      <c r="G844" s="12"/>
      <c r="H844" s="12"/>
      <c r="I844" s="12"/>
      <c r="J844" s="12"/>
      <c r="K844" s="12"/>
      <c r="L844" s="19"/>
      <c r="M844" s="19"/>
      <c r="N844" s="19"/>
      <c r="O844" s="19"/>
      <c r="P844" s="19"/>
      <c r="Q844" s="12"/>
      <c r="R844" s="12"/>
      <c r="S844" s="12"/>
      <c r="T844" s="12"/>
      <c r="U844" s="19"/>
      <c r="V844" s="12"/>
      <c r="W844" s="12"/>
      <c r="X844" s="12"/>
      <c r="Y844" s="12"/>
      <c r="Z844" s="12"/>
    </row>
    <row r="845">
      <c r="A845" s="18"/>
      <c r="B845" s="12"/>
      <c r="C845" s="12"/>
      <c r="D845" s="12"/>
      <c r="E845" s="12"/>
      <c r="F845" s="12"/>
      <c r="G845" s="12"/>
      <c r="H845" s="12"/>
      <c r="I845" s="12"/>
      <c r="J845" s="12"/>
      <c r="K845" s="12"/>
      <c r="L845" s="19"/>
      <c r="M845" s="19"/>
      <c r="N845" s="19"/>
      <c r="O845" s="19"/>
      <c r="P845" s="19"/>
      <c r="Q845" s="12"/>
      <c r="R845" s="12"/>
      <c r="S845" s="12"/>
      <c r="T845" s="12"/>
      <c r="U845" s="19"/>
      <c r="V845" s="12"/>
      <c r="W845" s="12"/>
      <c r="X845" s="12"/>
      <c r="Y845" s="12"/>
      <c r="Z845" s="12"/>
    </row>
    <row r="846">
      <c r="A846" s="18"/>
      <c r="B846" s="12"/>
      <c r="C846" s="12"/>
      <c r="D846" s="12"/>
      <c r="E846" s="12"/>
      <c r="F846" s="12"/>
      <c r="G846" s="12"/>
      <c r="H846" s="12"/>
      <c r="I846" s="12"/>
      <c r="J846" s="12"/>
      <c r="K846" s="12"/>
      <c r="L846" s="19"/>
      <c r="M846" s="19"/>
      <c r="N846" s="19"/>
      <c r="O846" s="19"/>
      <c r="P846" s="19"/>
      <c r="Q846" s="12"/>
      <c r="R846" s="12"/>
      <c r="S846" s="12"/>
      <c r="T846" s="12"/>
      <c r="U846" s="19"/>
      <c r="V846" s="12"/>
      <c r="W846" s="12"/>
      <c r="X846" s="12"/>
      <c r="Y846" s="12"/>
      <c r="Z846" s="12"/>
    </row>
    <row r="847">
      <c r="A847" s="18"/>
      <c r="B847" s="12"/>
      <c r="C847" s="12"/>
      <c r="D847" s="12"/>
      <c r="E847" s="12"/>
      <c r="F847" s="12"/>
      <c r="G847" s="12"/>
      <c r="H847" s="12"/>
      <c r="I847" s="12"/>
      <c r="J847" s="12"/>
      <c r="K847" s="12"/>
      <c r="L847" s="19"/>
      <c r="M847" s="19"/>
      <c r="N847" s="19"/>
      <c r="O847" s="19"/>
      <c r="P847" s="19"/>
      <c r="Q847" s="12"/>
      <c r="R847" s="12"/>
      <c r="S847" s="12"/>
      <c r="T847" s="12"/>
      <c r="U847" s="19"/>
      <c r="V847" s="12"/>
      <c r="W847" s="12"/>
      <c r="X847" s="12"/>
      <c r="Y847" s="12"/>
      <c r="Z847" s="12"/>
    </row>
    <row r="848">
      <c r="A848" s="18"/>
      <c r="B848" s="12"/>
      <c r="C848" s="12"/>
      <c r="D848" s="12"/>
      <c r="E848" s="12"/>
      <c r="F848" s="12"/>
      <c r="G848" s="12"/>
      <c r="H848" s="12"/>
      <c r="I848" s="12"/>
      <c r="J848" s="12"/>
      <c r="K848" s="12"/>
      <c r="L848" s="19"/>
      <c r="M848" s="19"/>
      <c r="N848" s="19"/>
      <c r="O848" s="19"/>
      <c r="P848" s="19"/>
      <c r="Q848" s="12"/>
      <c r="R848" s="12"/>
      <c r="S848" s="12"/>
      <c r="T848" s="12"/>
      <c r="U848" s="19"/>
      <c r="V848" s="12"/>
      <c r="W848" s="12"/>
      <c r="X848" s="12"/>
      <c r="Y848" s="12"/>
      <c r="Z848" s="12"/>
    </row>
    <row r="849">
      <c r="A849" s="18"/>
      <c r="B849" s="12"/>
      <c r="C849" s="12"/>
      <c r="D849" s="12"/>
      <c r="E849" s="12"/>
      <c r="F849" s="12"/>
      <c r="G849" s="12"/>
      <c r="H849" s="12"/>
      <c r="I849" s="12"/>
      <c r="J849" s="12"/>
      <c r="K849" s="12"/>
      <c r="L849" s="19"/>
      <c r="M849" s="19"/>
      <c r="N849" s="19"/>
      <c r="O849" s="19"/>
      <c r="P849" s="19"/>
      <c r="Q849" s="12"/>
      <c r="R849" s="12"/>
      <c r="S849" s="12"/>
      <c r="T849" s="12"/>
      <c r="U849" s="19"/>
      <c r="V849" s="12"/>
      <c r="W849" s="12"/>
      <c r="X849" s="12"/>
      <c r="Y849" s="12"/>
      <c r="Z849" s="12"/>
    </row>
    <row r="850">
      <c r="A850" s="18"/>
      <c r="B850" s="12"/>
      <c r="C850" s="12"/>
      <c r="D850" s="12"/>
      <c r="E850" s="12"/>
      <c r="F850" s="12"/>
      <c r="G850" s="12"/>
      <c r="H850" s="12"/>
      <c r="I850" s="12"/>
      <c r="J850" s="12"/>
      <c r="K850" s="12"/>
      <c r="L850" s="19"/>
      <c r="M850" s="19"/>
      <c r="N850" s="19"/>
      <c r="O850" s="19"/>
      <c r="P850" s="19"/>
      <c r="Q850" s="12"/>
      <c r="R850" s="12"/>
      <c r="S850" s="12"/>
      <c r="T850" s="12"/>
      <c r="U850" s="19"/>
      <c r="V850" s="12"/>
      <c r="W850" s="12"/>
      <c r="X850" s="12"/>
      <c r="Y850" s="12"/>
      <c r="Z850" s="12"/>
    </row>
    <row r="851">
      <c r="A851" s="18"/>
      <c r="B851" s="12"/>
      <c r="C851" s="12"/>
      <c r="D851" s="12"/>
      <c r="E851" s="12"/>
      <c r="F851" s="12"/>
      <c r="G851" s="12"/>
      <c r="H851" s="12"/>
      <c r="I851" s="12"/>
      <c r="J851" s="12"/>
      <c r="K851" s="12"/>
      <c r="L851" s="19"/>
      <c r="M851" s="19"/>
      <c r="N851" s="19"/>
      <c r="O851" s="19"/>
      <c r="P851" s="19"/>
      <c r="Q851" s="12"/>
      <c r="R851" s="12"/>
      <c r="S851" s="12"/>
      <c r="T851" s="12"/>
      <c r="U851" s="19"/>
      <c r="V851" s="12"/>
      <c r="W851" s="12"/>
      <c r="X851" s="12"/>
      <c r="Y851" s="12"/>
      <c r="Z851" s="12"/>
    </row>
    <row r="852">
      <c r="A852" s="18"/>
      <c r="B852" s="12"/>
      <c r="C852" s="12"/>
      <c r="D852" s="12"/>
      <c r="E852" s="12"/>
      <c r="F852" s="12"/>
      <c r="G852" s="12"/>
      <c r="H852" s="12"/>
      <c r="I852" s="12"/>
      <c r="J852" s="12"/>
      <c r="K852" s="12"/>
      <c r="L852" s="19"/>
      <c r="M852" s="19"/>
      <c r="N852" s="19"/>
      <c r="O852" s="19"/>
      <c r="P852" s="19"/>
      <c r="Q852" s="12"/>
      <c r="R852" s="12"/>
      <c r="S852" s="12"/>
      <c r="T852" s="12"/>
      <c r="U852" s="19"/>
      <c r="V852" s="12"/>
      <c r="W852" s="12"/>
      <c r="X852" s="12"/>
      <c r="Y852" s="12"/>
      <c r="Z852" s="12"/>
    </row>
    <row r="853">
      <c r="A853" s="18"/>
      <c r="B853" s="12"/>
      <c r="C853" s="12"/>
      <c r="D853" s="12"/>
      <c r="E853" s="12"/>
      <c r="F853" s="12"/>
      <c r="G853" s="12"/>
      <c r="H853" s="12"/>
      <c r="I853" s="12"/>
      <c r="J853" s="12"/>
      <c r="K853" s="12"/>
      <c r="L853" s="19"/>
      <c r="M853" s="19"/>
      <c r="N853" s="19"/>
      <c r="O853" s="19"/>
      <c r="P853" s="19"/>
      <c r="Q853" s="12"/>
      <c r="R853" s="12"/>
      <c r="S853" s="12"/>
      <c r="T853" s="12"/>
      <c r="U853" s="19"/>
      <c r="V853" s="12"/>
      <c r="W853" s="12"/>
      <c r="X853" s="12"/>
      <c r="Y853" s="12"/>
      <c r="Z853" s="12"/>
    </row>
    <row r="854">
      <c r="A854" s="18"/>
      <c r="B854" s="12"/>
      <c r="C854" s="12"/>
      <c r="D854" s="12"/>
      <c r="E854" s="12"/>
      <c r="F854" s="12"/>
      <c r="G854" s="12"/>
      <c r="H854" s="12"/>
      <c r="I854" s="12"/>
      <c r="J854" s="12"/>
      <c r="K854" s="12"/>
      <c r="L854" s="19"/>
      <c r="M854" s="19"/>
      <c r="N854" s="19"/>
      <c r="O854" s="19"/>
      <c r="P854" s="19"/>
      <c r="Q854" s="12"/>
      <c r="R854" s="12"/>
      <c r="S854" s="12"/>
      <c r="T854" s="12"/>
      <c r="U854" s="19"/>
      <c r="V854" s="12"/>
      <c r="W854" s="12"/>
      <c r="X854" s="12"/>
      <c r="Y854" s="12"/>
      <c r="Z854" s="12"/>
    </row>
    <row r="855">
      <c r="A855" s="18"/>
      <c r="B855" s="12"/>
      <c r="C855" s="12"/>
      <c r="D855" s="12"/>
      <c r="E855" s="12"/>
      <c r="F855" s="12"/>
      <c r="G855" s="12"/>
      <c r="H855" s="12"/>
      <c r="I855" s="12"/>
      <c r="J855" s="12"/>
      <c r="K855" s="12"/>
      <c r="L855" s="19"/>
      <c r="M855" s="19"/>
      <c r="N855" s="19"/>
      <c r="O855" s="19"/>
      <c r="P855" s="19"/>
      <c r="Q855" s="12"/>
      <c r="R855" s="12"/>
      <c r="S855" s="12"/>
      <c r="T855" s="12"/>
      <c r="U855" s="19"/>
      <c r="V855" s="12"/>
      <c r="W855" s="12"/>
      <c r="X855" s="12"/>
      <c r="Y855" s="12"/>
      <c r="Z855" s="12"/>
    </row>
    <row r="856">
      <c r="A856" s="18"/>
      <c r="B856" s="12"/>
      <c r="C856" s="12"/>
      <c r="D856" s="12"/>
      <c r="E856" s="12"/>
      <c r="F856" s="12"/>
      <c r="G856" s="12"/>
      <c r="H856" s="12"/>
      <c r="I856" s="12"/>
      <c r="J856" s="12"/>
      <c r="K856" s="12"/>
      <c r="L856" s="19"/>
      <c r="M856" s="19"/>
      <c r="N856" s="19"/>
      <c r="O856" s="19"/>
      <c r="P856" s="19"/>
      <c r="Q856" s="12"/>
      <c r="R856" s="12"/>
      <c r="S856" s="12"/>
      <c r="T856" s="12"/>
      <c r="U856" s="19"/>
      <c r="V856" s="12"/>
      <c r="W856" s="12"/>
      <c r="X856" s="12"/>
      <c r="Y856" s="12"/>
      <c r="Z856" s="12"/>
    </row>
    <row r="857">
      <c r="A857" s="18"/>
      <c r="B857" s="12"/>
      <c r="C857" s="12"/>
      <c r="D857" s="12"/>
      <c r="E857" s="12"/>
      <c r="F857" s="12"/>
      <c r="G857" s="12"/>
      <c r="H857" s="12"/>
      <c r="I857" s="12"/>
      <c r="J857" s="12"/>
      <c r="K857" s="12"/>
      <c r="L857" s="19"/>
      <c r="M857" s="19"/>
      <c r="N857" s="19"/>
      <c r="O857" s="19"/>
      <c r="P857" s="19"/>
      <c r="Q857" s="12"/>
      <c r="R857" s="12"/>
      <c r="S857" s="12"/>
      <c r="T857" s="12"/>
      <c r="U857" s="19"/>
      <c r="V857" s="12"/>
      <c r="W857" s="12"/>
      <c r="X857" s="12"/>
      <c r="Y857" s="12"/>
      <c r="Z857" s="12"/>
    </row>
    <row r="858">
      <c r="A858" s="18"/>
      <c r="B858" s="12"/>
      <c r="C858" s="12"/>
      <c r="D858" s="12"/>
      <c r="E858" s="12"/>
      <c r="F858" s="12"/>
      <c r="G858" s="12"/>
      <c r="H858" s="12"/>
      <c r="I858" s="12"/>
      <c r="J858" s="12"/>
      <c r="K858" s="12"/>
      <c r="L858" s="19"/>
      <c r="M858" s="19"/>
      <c r="N858" s="19"/>
      <c r="O858" s="19"/>
      <c r="P858" s="19"/>
      <c r="Q858" s="12"/>
      <c r="R858" s="12"/>
      <c r="S858" s="12"/>
      <c r="T858" s="12"/>
      <c r="U858" s="19"/>
      <c r="V858" s="12"/>
      <c r="W858" s="12"/>
      <c r="X858" s="12"/>
      <c r="Y858" s="12"/>
      <c r="Z858" s="12"/>
    </row>
    <row r="859">
      <c r="A859" s="18"/>
      <c r="B859" s="12"/>
      <c r="C859" s="12"/>
      <c r="D859" s="12"/>
      <c r="E859" s="12"/>
      <c r="F859" s="12"/>
      <c r="G859" s="12"/>
      <c r="H859" s="12"/>
      <c r="I859" s="12"/>
      <c r="J859" s="12"/>
      <c r="K859" s="12"/>
      <c r="L859" s="19"/>
      <c r="M859" s="19"/>
      <c r="N859" s="19"/>
      <c r="O859" s="19"/>
      <c r="P859" s="19"/>
      <c r="Q859" s="12"/>
      <c r="R859" s="12"/>
      <c r="S859" s="12"/>
      <c r="T859" s="12"/>
      <c r="U859" s="19"/>
      <c r="V859" s="12"/>
      <c r="W859" s="12"/>
      <c r="X859" s="12"/>
      <c r="Y859" s="12"/>
      <c r="Z859" s="12"/>
    </row>
    <row r="860">
      <c r="A860" s="18"/>
      <c r="B860" s="12"/>
      <c r="C860" s="12"/>
      <c r="D860" s="12"/>
      <c r="E860" s="12"/>
      <c r="F860" s="12"/>
      <c r="G860" s="12"/>
      <c r="H860" s="12"/>
      <c r="I860" s="12"/>
      <c r="J860" s="12"/>
      <c r="K860" s="12"/>
      <c r="L860" s="19"/>
      <c r="M860" s="19"/>
      <c r="N860" s="19"/>
      <c r="O860" s="19"/>
      <c r="P860" s="19"/>
      <c r="Q860" s="12"/>
      <c r="R860" s="12"/>
      <c r="S860" s="12"/>
      <c r="T860" s="12"/>
      <c r="U860" s="19"/>
      <c r="V860" s="12"/>
      <c r="W860" s="12"/>
      <c r="X860" s="12"/>
      <c r="Y860" s="12"/>
      <c r="Z860" s="12"/>
    </row>
    <row r="861">
      <c r="A861" s="18"/>
      <c r="B861" s="12"/>
      <c r="C861" s="12"/>
      <c r="D861" s="12"/>
      <c r="E861" s="12"/>
      <c r="F861" s="12"/>
      <c r="G861" s="12"/>
      <c r="H861" s="12"/>
      <c r="I861" s="12"/>
      <c r="J861" s="12"/>
      <c r="K861" s="12"/>
      <c r="L861" s="19"/>
      <c r="M861" s="19"/>
      <c r="N861" s="19"/>
      <c r="O861" s="19"/>
      <c r="P861" s="19"/>
      <c r="Q861" s="12"/>
      <c r="R861" s="12"/>
      <c r="S861" s="12"/>
      <c r="T861" s="12"/>
      <c r="U861" s="19"/>
      <c r="V861" s="12"/>
      <c r="W861" s="12"/>
      <c r="X861" s="12"/>
      <c r="Y861" s="12"/>
      <c r="Z861" s="12"/>
    </row>
    <row r="862">
      <c r="A862" s="18"/>
      <c r="B862" s="12"/>
      <c r="C862" s="12"/>
      <c r="D862" s="12"/>
      <c r="E862" s="12"/>
      <c r="F862" s="12"/>
      <c r="G862" s="12"/>
      <c r="H862" s="12"/>
      <c r="I862" s="12"/>
      <c r="J862" s="12"/>
      <c r="K862" s="12"/>
      <c r="L862" s="19"/>
      <c r="M862" s="19"/>
      <c r="N862" s="19"/>
      <c r="O862" s="19"/>
      <c r="P862" s="19"/>
      <c r="Q862" s="12"/>
      <c r="R862" s="12"/>
      <c r="S862" s="12"/>
      <c r="T862" s="12"/>
      <c r="U862" s="19"/>
      <c r="V862" s="12"/>
      <c r="W862" s="12"/>
      <c r="X862" s="12"/>
      <c r="Y862" s="12"/>
      <c r="Z862" s="12"/>
    </row>
    <row r="863">
      <c r="A863" s="18"/>
      <c r="B863" s="12"/>
      <c r="C863" s="12"/>
      <c r="D863" s="12"/>
      <c r="E863" s="12"/>
      <c r="F863" s="12"/>
      <c r="G863" s="12"/>
      <c r="H863" s="12"/>
      <c r="I863" s="12"/>
      <c r="J863" s="12"/>
      <c r="K863" s="12"/>
      <c r="L863" s="19"/>
      <c r="M863" s="19"/>
      <c r="N863" s="19"/>
      <c r="O863" s="19"/>
      <c r="P863" s="19"/>
      <c r="Q863" s="12"/>
      <c r="R863" s="12"/>
      <c r="S863" s="12"/>
      <c r="T863" s="12"/>
      <c r="U863" s="19"/>
      <c r="V863" s="12"/>
      <c r="W863" s="12"/>
      <c r="X863" s="12"/>
      <c r="Y863" s="12"/>
      <c r="Z863" s="12"/>
    </row>
    <row r="864">
      <c r="A864" s="18"/>
      <c r="B864" s="12"/>
      <c r="C864" s="12"/>
      <c r="D864" s="12"/>
      <c r="E864" s="12"/>
      <c r="F864" s="12"/>
      <c r="G864" s="12"/>
      <c r="H864" s="12"/>
      <c r="I864" s="12"/>
      <c r="J864" s="12"/>
      <c r="K864" s="12"/>
      <c r="L864" s="19"/>
      <c r="M864" s="19"/>
      <c r="N864" s="19"/>
      <c r="O864" s="19"/>
      <c r="P864" s="19"/>
      <c r="Q864" s="12"/>
      <c r="R864" s="12"/>
      <c r="S864" s="12"/>
      <c r="T864" s="12"/>
      <c r="U864" s="19"/>
      <c r="V864" s="12"/>
      <c r="W864" s="12"/>
      <c r="X864" s="12"/>
      <c r="Y864" s="12"/>
      <c r="Z864" s="12"/>
    </row>
    <row r="865">
      <c r="A865" s="18"/>
      <c r="B865" s="12"/>
      <c r="C865" s="12"/>
      <c r="D865" s="12"/>
      <c r="E865" s="12"/>
      <c r="F865" s="12"/>
      <c r="G865" s="12"/>
      <c r="H865" s="12"/>
      <c r="I865" s="12"/>
      <c r="J865" s="12"/>
      <c r="K865" s="12"/>
      <c r="L865" s="19"/>
      <c r="M865" s="19"/>
      <c r="N865" s="19"/>
      <c r="O865" s="19"/>
      <c r="P865" s="19"/>
      <c r="Q865" s="12"/>
      <c r="R865" s="12"/>
      <c r="S865" s="12"/>
      <c r="T865" s="12"/>
      <c r="U865" s="19"/>
      <c r="V865" s="12"/>
      <c r="W865" s="12"/>
      <c r="X865" s="12"/>
      <c r="Y865" s="12"/>
      <c r="Z865" s="12"/>
    </row>
    <row r="866">
      <c r="A866" s="18"/>
      <c r="B866" s="12"/>
      <c r="C866" s="12"/>
      <c r="D866" s="12"/>
      <c r="E866" s="12"/>
      <c r="F866" s="12"/>
      <c r="G866" s="12"/>
      <c r="H866" s="12"/>
      <c r="I866" s="12"/>
      <c r="J866" s="12"/>
      <c r="K866" s="12"/>
      <c r="L866" s="19"/>
      <c r="M866" s="19"/>
      <c r="N866" s="19"/>
      <c r="O866" s="19"/>
      <c r="P866" s="19"/>
      <c r="Q866" s="12"/>
      <c r="R866" s="12"/>
      <c r="S866" s="12"/>
      <c r="T866" s="12"/>
      <c r="U866" s="19"/>
      <c r="V866" s="12"/>
      <c r="W866" s="12"/>
      <c r="X866" s="12"/>
      <c r="Y866" s="12"/>
      <c r="Z866" s="12"/>
    </row>
    <row r="867">
      <c r="A867" s="18"/>
      <c r="B867" s="12"/>
      <c r="C867" s="12"/>
      <c r="D867" s="12"/>
      <c r="E867" s="12"/>
      <c r="F867" s="12"/>
      <c r="G867" s="12"/>
      <c r="H867" s="12"/>
      <c r="I867" s="12"/>
      <c r="J867" s="12"/>
      <c r="K867" s="12"/>
      <c r="L867" s="19"/>
      <c r="M867" s="19"/>
      <c r="N867" s="19"/>
      <c r="O867" s="19"/>
      <c r="P867" s="19"/>
      <c r="Q867" s="12"/>
      <c r="R867" s="12"/>
      <c r="S867" s="12"/>
      <c r="T867" s="12"/>
      <c r="U867" s="19"/>
      <c r="V867" s="12"/>
      <c r="W867" s="12"/>
      <c r="X867" s="12"/>
      <c r="Y867" s="12"/>
      <c r="Z867" s="12"/>
    </row>
    <row r="868">
      <c r="A868" s="18"/>
      <c r="B868" s="12"/>
      <c r="C868" s="12"/>
      <c r="D868" s="12"/>
      <c r="E868" s="12"/>
      <c r="F868" s="12"/>
      <c r="G868" s="12"/>
      <c r="H868" s="12"/>
      <c r="I868" s="12"/>
      <c r="J868" s="12"/>
      <c r="K868" s="12"/>
      <c r="L868" s="19"/>
      <c r="M868" s="19"/>
      <c r="N868" s="19"/>
      <c r="O868" s="19"/>
      <c r="P868" s="19"/>
      <c r="Q868" s="12"/>
      <c r="R868" s="12"/>
      <c r="S868" s="12"/>
      <c r="T868" s="12"/>
      <c r="U868" s="19"/>
      <c r="V868" s="12"/>
      <c r="W868" s="12"/>
      <c r="X868" s="12"/>
      <c r="Y868" s="12"/>
      <c r="Z868" s="12"/>
    </row>
    <row r="869">
      <c r="A869" s="18"/>
      <c r="B869" s="12"/>
      <c r="C869" s="12"/>
      <c r="D869" s="12"/>
      <c r="E869" s="12"/>
      <c r="F869" s="12"/>
      <c r="G869" s="12"/>
      <c r="H869" s="12"/>
      <c r="I869" s="12"/>
      <c r="J869" s="12"/>
      <c r="K869" s="12"/>
      <c r="L869" s="19"/>
      <c r="M869" s="19"/>
      <c r="N869" s="19"/>
      <c r="O869" s="19"/>
      <c r="P869" s="19"/>
      <c r="Q869" s="12"/>
      <c r="R869" s="12"/>
      <c r="S869" s="12"/>
      <c r="T869" s="12"/>
      <c r="U869" s="19"/>
      <c r="V869" s="12"/>
      <c r="W869" s="12"/>
      <c r="X869" s="12"/>
      <c r="Y869" s="12"/>
      <c r="Z869" s="12"/>
    </row>
    <row r="870">
      <c r="A870" s="18"/>
      <c r="B870" s="12"/>
      <c r="C870" s="12"/>
      <c r="D870" s="12"/>
      <c r="E870" s="12"/>
      <c r="F870" s="12"/>
      <c r="G870" s="12"/>
      <c r="H870" s="12"/>
      <c r="I870" s="12"/>
      <c r="J870" s="12"/>
      <c r="K870" s="12"/>
      <c r="L870" s="19"/>
      <c r="M870" s="19"/>
      <c r="N870" s="19"/>
      <c r="O870" s="19"/>
      <c r="P870" s="19"/>
      <c r="Q870" s="12"/>
      <c r="R870" s="12"/>
      <c r="S870" s="12"/>
      <c r="T870" s="12"/>
      <c r="U870" s="19"/>
      <c r="V870" s="12"/>
      <c r="W870" s="12"/>
      <c r="X870" s="12"/>
      <c r="Y870" s="12"/>
      <c r="Z870" s="12"/>
    </row>
    <row r="871">
      <c r="A871" s="18"/>
      <c r="B871" s="12"/>
      <c r="C871" s="12"/>
      <c r="D871" s="12"/>
      <c r="E871" s="12"/>
      <c r="F871" s="12"/>
      <c r="G871" s="12"/>
      <c r="H871" s="12"/>
      <c r="I871" s="12"/>
      <c r="J871" s="12"/>
      <c r="K871" s="12"/>
      <c r="L871" s="19"/>
      <c r="M871" s="19"/>
      <c r="N871" s="19"/>
      <c r="O871" s="19"/>
      <c r="P871" s="19"/>
      <c r="Q871" s="12"/>
      <c r="R871" s="12"/>
      <c r="S871" s="12"/>
      <c r="T871" s="12"/>
      <c r="U871" s="19"/>
      <c r="V871" s="12"/>
      <c r="W871" s="12"/>
      <c r="X871" s="12"/>
      <c r="Y871" s="12"/>
      <c r="Z871" s="12"/>
    </row>
    <row r="872">
      <c r="A872" s="18"/>
      <c r="B872" s="12"/>
      <c r="C872" s="12"/>
      <c r="D872" s="12"/>
      <c r="E872" s="12"/>
      <c r="F872" s="12"/>
      <c r="G872" s="12"/>
      <c r="H872" s="12"/>
      <c r="I872" s="12"/>
      <c r="J872" s="12"/>
      <c r="K872" s="12"/>
      <c r="L872" s="19"/>
      <c r="M872" s="19"/>
      <c r="N872" s="19"/>
      <c r="O872" s="19"/>
      <c r="P872" s="19"/>
      <c r="Q872" s="12"/>
      <c r="R872" s="12"/>
      <c r="S872" s="12"/>
      <c r="T872" s="12"/>
      <c r="U872" s="19"/>
      <c r="V872" s="12"/>
      <c r="W872" s="12"/>
      <c r="X872" s="12"/>
      <c r="Y872" s="12"/>
      <c r="Z872" s="12"/>
    </row>
    <row r="873">
      <c r="A873" s="18"/>
      <c r="B873" s="12"/>
      <c r="C873" s="12"/>
      <c r="D873" s="12"/>
      <c r="E873" s="12"/>
      <c r="F873" s="12"/>
      <c r="G873" s="12"/>
      <c r="H873" s="12"/>
      <c r="I873" s="12"/>
      <c r="J873" s="12"/>
      <c r="K873" s="12"/>
      <c r="L873" s="19"/>
      <c r="M873" s="19"/>
      <c r="N873" s="19"/>
      <c r="O873" s="19"/>
      <c r="P873" s="19"/>
      <c r="Q873" s="12"/>
      <c r="R873" s="12"/>
      <c r="S873" s="12"/>
      <c r="T873" s="12"/>
      <c r="U873" s="19"/>
      <c r="V873" s="12"/>
      <c r="W873" s="12"/>
      <c r="X873" s="12"/>
      <c r="Y873" s="12"/>
      <c r="Z873" s="12"/>
    </row>
    <row r="874">
      <c r="A874" s="18"/>
      <c r="B874" s="12"/>
      <c r="C874" s="12"/>
      <c r="D874" s="12"/>
      <c r="E874" s="12"/>
      <c r="F874" s="12"/>
      <c r="G874" s="12"/>
      <c r="H874" s="12"/>
      <c r="I874" s="12"/>
      <c r="J874" s="12"/>
      <c r="K874" s="12"/>
      <c r="L874" s="19"/>
      <c r="M874" s="19"/>
      <c r="N874" s="19"/>
      <c r="O874" s="19"/>
      <c r="P874" s="19"/>
      <c r="Q874" s="12"/>
      <c r="R874" s="12"/>
      <c r="S874" s="12"/>
      <c r="T874" s="12"/>
      <c r="U874" s="19"/>
      <c r="V874" s="12"/>
      <c r="W874" s="12"/>
      <c r="X874" s="12"/>
      <c r="Y874" s="12"/>
      <c r="Z874" s="12"/>
    </row>
    <row r="875">
      <c r="A875" s="18"/>
      <c r="B875" s="12"/>
      <c r="C875" s="12"/>
      <c r="D875" s="12"/>
      <c r="E875" s="12"/>
      <c r="F875" s="12"/>
      <c r="G875" s="12"/>
      <c r="H875" s="12"/>
      <c r="I875" s="12"/>
      <c r="J875" s="12"/>
      <c r="K875" s="12"/>
      <c r="L875" s="19"/>
      <c r="M875" s="19"/>
      <c r="N875" s="19"/>
      <c r="O875" s="19"/>
      <c r="P875" s="19"/>
      <c r="Q875" s="12"/>
      <c r="R875" s="12"/>
      <c r="S875" s="12"/>
      <c r="T875" s="12"/>
      <c r="U875" s="19"/>
      <c r="V875" s="12"/>
      <c r="W875" s="12"/>
      <c r="X875" s="12"/>
      <c r="Y875" s="12"/>
      <c r="Z875" s="12"/>
    </row>
    <row r="876">
      <c r="A876" s="18"/>
      <c r="B876" s="12"/>
      <c r="C876" s="12"/>
      <c r="D876" s="12"/>
      <c r="E876" s="12"/>
      <c r="F876" s="12"/>
      <c r="G876" s="12"/>
      <c r="H876" s="12"/>
      <c r="I876" s="12"/>
      <c r="J876" s="12"/>
      <c r="K876" s="12"/>
      <c r="L876" s="19"/>
      <c r="M876" s="19"/>
      <c r="N876" s="19"/>
      <c r="O876" s="19"/>
      <c r="P876" s="19"/>
      <c r="Q876" s="12"/>
      <c r="R876" s="12"/>
      <c r="S876" s="12"/>
      <c r="T876" s="12"/>
      <c r="U876" s="19"/>
      <c r="V876" s="12"/>
      <c r="W876" s="12"/>
      <c r="X876" s="12"/>
      <c r="Y876" s="12"/>
      <c r="Z876" s="12"/>
    </row>
    <row r="877">
      <c r="A877" s="18"/>
      <c r="B877" s="12"/>
      <c r="C877" s="12"/>
      <c r="D877" s="12"/>
      <c r="E877" s="12"/>
      <c r="F877" s="12"/>
      <c r="G877" s="12"/>
      <c r="H877" s="12"/>
      <c r="I877" s="12"/>
      <c r="J877" s="12"/>
      <c r="K877" s="12"/>
      <c r="L877" s="19"/>
      <c r="M877" s="19"/>
      <c r="N877" s="19"/>
      <c r="O877" s="19"/>
      <c r="P877" s="19"/>
      <c r="Q877" s="12"/>
      <c r="R877" s="12"/>
      <c r="S877" s="12"/>
      <c r="T877" s="12"/>
      <c r="U877" s="19"/>
      <c r="V877" s="12"/>
      <c r="W877" s="12"/>
      <c r="X877" s="12"/>
      <c r="Y877" s="12"/>
      <c r="Z877" s="12"/>
    </row>
    <row r="878">
      <c r="A878" s="18"/>
      <c r="B878" s="12"/>
      <c r="C878" s="12"/>
      <c r="D878" s="12"/>
      <c r="E878" s="12"/>
      <c r="F878" s="12"/>
      <c r="G878" s="12"/>
      <c r="H878" s="12"/>
      <c r="I878" s="12"/>
      <c r="J878" s="12"/>
      <c r="K878" s="12"/>
      <c r="L878" s="19"/>
      <c r="M878" s="19"/>
      <c r="N878" s="19"/>
      <c r="O878" s="19"/>
      <c r="P878" s="19"/>
      <c r="Q878" s="12"/>
      <c r="R878" s="12"/>
      <c r="S878" s="12"/>
      <c r="T878" s="12"/>
      <c r="U878" s="19"/>
      <c r="V878" s="12"/>
      <c r="W878" s="12"/>
      <c r="X878" s="12"/>
      <c r="Y878" s="12"/>
      <c r="Z878" s="12"/>
    </row>
    <row r="879">
      <c r="A879" s="18"/>
      <c r="B879" s="12"/>
      <c r="C879" s="12"/>
      <c r="D879" s="12"/>
      <c r="E879" s="12"/>
      <c r="F879" s="12"/>
      <c r="G879" s="12"/>
      <c r="H879" s="12"/>
      <c r="I879" s="12"/>
      <c r="J879" s="12"/>
      <c r="K879" s="12"/>
      <c r="L879" s="19"/>
      <c r="M879" s="19"/>
      <c r="N879" s="19"/>
      <c r="O879" s="19"/>
      <c r="P879" s="19"/>
      <c r="Q879" s="12"/>
      <c r="R879" s="12"/>
      <c r="S879" s="12"/>
      <c r="T879" s="12"/>
      <c r="U879" s="19"/>
      <c r="V879" s="12"/>
      <c r="W879" s="12"/>
      <c r="X879" s="12"/>
      <c r="Y879" s="12"/>
      <c r="Z879" s="12"/>
    </row>
    <row r="880">
      <c r="A880" s="18"/>
      <c r="B880" s="12"/>
      <c r="C880" s="12"/>
      <c r="D880" s="12"/>
      <c r="E880" s="12"/>
      <c r="F880" s="12"/>
      <c r="G880" s="12"/>
      <c r="H880" s="12"/>
      <c r="I880" s="12"/>
      <c r="J880" s="12"/>
      <c r="K880" s="12"/>
      <c r="L880" s="19"/>
      <c r="M880" s="19"/>
      <c r="N880" s="19"/>
      <c r="O880" s="19"/>
      <c r="P880" s="19"/>
      <c r="Q880" s="12"/>
      <c r="R880" s="12"/>
      <c r="S880" s="12"/>
      <c r="T880" s="12"/>
      <c r="U880" s="19"/>
      <c r="V880" s="12"/>
      <c r="W880" s="12"/>
      <c r="X880" s="12"/>
      <c r="Y880" s="12"/>
      <c r="Z880" s="12"/>
    </row>
    <row r="881">
      <c r="A881" s="18"/>
      <c r="B881" s="12"/>
      <c r="C881" s="12"/>
      <c r="D881" s="12"/>
      <c r="E881" s="12"/>
      <c r="F881" s="12"/>
      <c r="G881" s="12"/>
      <c r="H881" s="12"/>
      <c r="I881" s="12"/>
      <c r="J881" s="12"/>
      <c r="K881" s="12"/>
      <c r="L881" s="19"/>
      <c r="M881" s="19"/>
      <c r="N881" s="19"/>
      <c r="O881" s="19"/>
      <c r="P881" s="19"/>
      <c r="Q881" s="12"/>
      <c r="R881" s="12"/>
      <c r="S881" s="12"/>
      <c r="T881" s="12"/>
      <c r="U881" s="19"/>
      <c r="V881" s="12"/>
      <c r="W881" s="12"/>
      <c r="X881" s="12"/>
      <c r="Y881" s="12"/>
      <c r="Z881" s="12"/>
    </row>
    <row r="882">
      <c r="A882" s="18"/>
      <c r="B882" s="12"/>
      <c r="C882" s="12"/>
      <c r="D882" s="12"/>
      <c r="E882" s="12"/>
      <c r="F882" s="12"/>
      <c r="G882" s="12"/>
      <c r="H882" s="12"/>
      <c r="I882" s="12"/>
      <c r="J882" s="12"/>
      <c r="K882" s="12"/>
      <c r="L882" s="19"/>
      <c r="M882" s="19"/>
      <c r="N882" s="19"/>
      <c r="O882" s="19"/>
      <c r="P882" s="19"/>
      <c r="Q882" s="12"/>
      <c r="R882" s="12"/>
      <c r="S882" s="12"/>
      <c r="T882" s="12"/>
      <c r="U882" s="19"/>
      <c r="V882" s="12"/>
      <c r="W882" s="12"/>
      <c r="X882" s="12"/>
      <c r="Y882" s="12"/>
      <c r="Z882" s="12"/>
    </row>
    <row r="883">
      <c r="A883" s="18"/>
      <c r="B883" s="12"/>
      <c r="C883" s="12"/>
      <c r="D883" s="12"/>
      <c r="E883" s="12"/>
      <c r="F883" s="12"/>
      <c r="G883" s="12"/>
      <c r="H883" s="12"/>
      <c r="I883" s="12"/>
      <c r="J883" s="12"/>
      <c r="K883" s="12"/>
      <c r="L883" s="19"/>
      <c r="M883" s="19"/>
      <c r="N883" s="19"/>
      <c r="O883" s="19"/>
      <c r="P883" s="19"/>
      <c r="Q883" s="12"/>
      <c r="R883" s="12"/>
      <c r="S883" s="12"/>
      <c r="T883" s="12"/>
      <c r="U883" s="19"/>
      <c r="V883" s="12"/>
      <c r="W883" s="12"/>
      <c r="X883" s="12"/>
      <c r="Y883" s="12"/>
      <c r="Z883" s="12"/>
    </row>
    <row r="884">
      <c r="A884" s="18"/>
      <c r="B884" s="12"/>
      <c r="C884" s="12"/>
      <c r="D884" s="12"/>
      <c r="E884" s="12"/>
      <c r="F884" s="12"/>
      <c r="G884" s="12"/>
      <c r="H884" s="12"/>
      <c r="I884" s="12"/>
      <c r="J884" s="12"/>
      <c r="K884" s="12"/>
      <c r="L884" s="19"/>
      <c r="M884" s="19"/>
      <c r="N884" s="19"/>
      <c r="O884" s="19"/>
      <c r="P884" s="19"/>
      <c r="Q884" s="12"/>
      <c r="R884" s="12"/>
      <c r="S884" s="12"/>
      <c r="T884" s="12"/>
      <c r="U884" s="19"/>
      <c r="V884" s="12"/>
      <c r="W884" s="12"/>
      <c r="X884" s="12"/>
      <c r="Y884" s="12"/>
      <c r="Z884" s="12"/>
    </row>
    <row r="885">
      <c r="A885" s="18"/>
      <c r="B885" s="12"/>
      <c r="C885" s="12"/>
      <c r="D885" s="12"/>
      <c r="E885" s="12"/>
      <c r="F885" s="12"/>
      <c r="G885" s="12"/>
      <c r="H885" s="12"/>
      <c r="I885" s="12"/>
      <c r="J885" s="12"/>
      <c r="K885" s="12"/>
      <c r="L885" s="19"/>
      <c r="M885" s="19"/>
      <c r="N885" s="19"/>
      <c r="O885" s="19"/>
      <c r="P885" s="19"/>
      <c r="Q885" s="12"/>
      <c r="R885" s="12"/>
      <c r="S885" s="12"/>
      <c r="T885" s="12"/>
      <c r="U885" s="19"/>
      <c r="V885" s="12"/>
      <c r="W885" s="12"/>
      <c r="X885" s="12"/>
      <c r="Y885" s="12"/>
      <c r="Z885" s="12"/>
    </row>
    <row r="886">
      <c r="A886" s="18"/>
      <c r="B886" s="12"/>
      <c r="C886" s="12"/>
      <c r="D886" s="12"/>
      <c r="E886" s="12"/>
      <c r="F886" s="12"/>
      <c r="G886" s="12"/>
      <c r="H886" s="12"/>
      <c r="I886" s="12"/>
      <c r="J886" s="12"/>
      <c r="K886" s="12"/>
      <c r="L886" s="19"/>
      <c r="M886" s="19"/>
      <c r="N886" s="19"/>
      <c r="O886" s="19"/>
      <c r="P886" s="19"/>
      <c r="Q886" s="12"/>
      <c r="R886" s="12"/>
      <c r="S886" s="12"/>
      <c r="T886" s="12"/>
      <c r="U886" s="19"/>
      <c r="V886" s="12"/>
      <c r="W886" s="12"/>
      <c r="X886" s="12"/>
      <c r="Y886" s="12"/>
      <c r="Z886" s="12"/>
    </row>
    <row r="887">
      <c r="A887" s="18"/>
      <c r="B887" s="12"/>
      <c r="C887" s="12"/>
      <c r="D887" s="12"/>
      <c r="E887" s="12"/>
      <c r="F887" s="12"/>
      <c r="G887" s="12"/>
      <c r="H887" s="12"/>
      <c r="I887" s="12"/>
      <c r="J887" s="12"/>
      <c r="K887" s="12"/>
      <c r="L887" s="19"/>
      <c r="M887" s="19"/>
      <c r="N887" s="19"/>
      <c r="O887" s="19"/>
      <c r="P887" s="19"/>
      <c r="Q887" s="12"/>
      <c r="R887" s="12"/>
      <c r="S887" s="12"/>
      <c r="T887" s="12"/>
      <c r="U887" s="19"/>
      <c r="V887" s="12"/>
      <c r="W887" s="12"/>
      <c r="X887" s="12"/>
      <c r="Y887" s="12"/>
      <c r="Z887" s="12"/>
    </row>
    <row r="888">
      <c r="A888" s="18"/>
      <c r="B888" s="12"/>
      <c r="C888" s="12"/>
      <c r="D888" s="12"/>
      <c r="E888" s="12"/>
      <c r="F888" s="12"/>
      <c r="G888" s="12"/>
      <c r="H888" s="12"/>
      <c r="I888" s="12"/>
      <c r="J888" s="12"/>
      <c r="K888" s="12"/>
      <c r="L888" s="19"/>
      <c r="M888" s="19"/>
      <c r="N888" s="19"/>
      <c r="O888" s="19"/>
      <c r="P888" s="19"/>
      <c r="Q888" s="12"/>
      <c r="R888" s="12"/>
      <c r="S888" s="12"/>
      <c r="T888" s="12"/>
      <c r="U888" s="19"/>
      <c r="V888" s="12"/>
      <c r="W888" s="12"/>
      <c r="X888" s="12"/>
      <c r="Y888" s="12"/>
      <c r="Z888" s="12"/>
    </row>
    <row r="889">
      <c r="A889" s="18"/>
      <c r="B889" s="12"/>
      <c r="C889" s="12"/>
      <c r="D889" s="12"/>
      <c r="E889" s="12"/>
      <c r="F889" s="12"/>
      <c r="G889" s="12"/>
      <c r="H889" s="12"/>
      <c r="I889" s="12"/>
      <c r="J889" s="12"/>
      <c r="K889" s="12"/>
      <c r="L889" s="19"/>
      <c r="M889" s="19"/>
      <c r="N889" s="19"/>
      <c r="O889" s="19"/>
      <c r="P889" s="19"/>
      <c r="Q889" s="12"/>
      <c r="R889" s="12"/>
      <c r="S889" s="12"/>
      <c r="T889" s="12"/>
      <c r="U889" s="19"/>
      <c r="V889" s="12"/>
      <c r="W889" s="12"/>
      <c r="X889" s="12"/>
      <c r="Y889" s="12"/>
      <c r="Z889" s="12"/>
    </row>
    <row r="890">
      <c r="A890" s="18"/>
      <c r="B890" s="12"/>
      <c r="C890" s="12"/>
      <c r="D890" s="12"/>
      <c r="E890" s="12"/>
      <c r="F890" s="12"/>
      <c r="G890" s="12"/>
      <c r="H890" s="12"/>
      <c r="I890" s="12"/>
      <c r="J890" s="12"/>
      <c r="K890" s="12"/>
      <c r="L890" s="19"/>
      <c r="M890" s="19"/>
      <c r="N890" s="19"/>
      <c r="O890" s="19"/>
      <c r="P890" s="19"/>
      <c r="Q890" s="12"/>
      <c r="R890" s="12"/>
      <c r="S890" s="12"/>
      <c r="T890" s="12"/>
      <c r="U890" s="19"/>
      <c r="V890" s="12"/>
      <c r="W890" s="12"/>
      <c r="X890" s="12"/>
      <c r="Y890" s="12"/>
      <c r="Z890" s="12"/>
    </row>
    <row r="891">
      <c r="A891" s="18"/>
      <c r="B891" s="12"/>
      <c r="C891" s="12"/>
      <c r="D891" s="12"/>
      <c r="E891" s="12"/>
      <c r="F891" s="12"/>
      <c r="G891" s="12"/>
      <c r="H891" s="12"/>
      <c r="I891" s="12"/>
      <c r="J891" s="12"/>
      <c r="K891" s="12"/>
      <c r="L891" s="19"/>
      <c r="M891" s="19"/>
      <c r="N891" s="19"/>
      <c r="O891" s="19"/>
      <c r="P891" s="19"/>
      <c r="Q891" s="12"/>
      <c r="R891" s="12"/>
      <c r="S891" s="12"/>
      <c r="T891" s="12"/>
      <c r="U891" s="19"/>
      <c r="V891" s="12"/>
      <c r="W891" s="12"/>
      <c r="X891" s="12"/>
      <c r="Y891" s="12"/>
      <c r="Z891" s="12"/>
    </row>
    <row r="892">
      <c r="A892" s="18"/>
      <c r="B892" s="12"/>
      <c r="C892" s="12"/>
      <c r="D892" s="12"/>
      <c r="E892" s="12"/>
      <c r="F892" s="12"/>
      <c r="G892" s="12"/>
      <c r="H892" s="12"/>
      <c r="I892" s="12"/>
      <c r="J892" s="12"/>
      <c r="K892" s="12"/>
      <c r="L892" s="19"/>
      <c r="M892" s="19"/>
      <c r="N892" s="19"/>
      <c r="O892" s="19"/>
      <c r="P892" s="19"/>
      <c r="Q892" s="12"/>
      <c r="R892" s="12"/>
      <c r="S892" s="12"/>
      <c r="T892" s="12"/>
      <c r="U892" s="19"/>
      <c r="V892" s="12"/>
      <c r="W892" s="12"/>
      <c r="X892" s="12"/>
      <c r="Y892" s="12"/>
      <c r="Z892" s="12"/>
    </row>
    <row r="893">
      <c r="A893" s="18"/>
      <c r="B893" s="12"/>
      <c r="C893" s="12"/>
      <c r="D893" s="12"/>
      <c r="E893" s="12"/>
      <c r="F893" s="12"/>
      <c r="G893" s="12"/>
      <c r="H893" s="12"/>
      <c r="I893" s="12"/>
      <c r="J893" s="12"/>
      <c r="K893" s="12"/>
      <c r="L893" s="19"/>
      <c r="M893" s="19"/>
      <c r="N893" s="19"/>
      <c r="O893" s="19"/>
      <c r="P893" s="19"/>
      <c r="Q893" s="12"/>
      <c r="R893" s="12"/>
      <c r="S893" s="12"/>
      <c r="T893" s="12"/>
      <c r="U893" s="19"/>
      <c r="V893" s="12"/>
      <c r="W893" s="12"/>
      <c r="X893" s="12"/>
      <c r="Y893" s="12"/>
      <c r="Z893" s="12"/>
    </row>
    <row r="894">
      <c r="A894" s="18"/>
      <c r="B894" s="12"/>
      <c r="C894" s="12"/>
      <c r="D894" s="12"/>
      <c r="E894" s="12"/>
      <c r="F894" s="12"/>
      <c r="G894" s="12"/>
      <c r="H894" s="12"/>
      <c r="I894" s="12"/>
      <c r="J894" s="12"/>
      <c r="K894" s="12"/>
      <c r="L894" s="19"/>
      <c r="M894" s="19"/>
      <c r="N894" s="19"/>
      <c r="O894" s="19"/>
      <c r="P894" s="19"/>
      <c r="Q894" s="12"/>
      <c r="R894" s="12"/>
      <c r="S894" s="12"/>
      <c r="T894" s="12"/>
      <c r="U894" s="19"/>
      <c r="V894" s="12"/>
      <c r="W894" s="12"/>
      <c r="X894" s="12"/>
      <c r="Y894" s="12"/>
      <c r="Z894" s="12"/>
    </row>
    <row r="895">
      <c r="A895" s="18"/>
      <c r="B895" s="12"/>
      <c r="C895" s="12"/>
      <c r="D895" s="12"/>
      <c r="E895" s="12"/>
      <c r="F895" s="12"/>
      <c r="G895" s="12"/>
      <c r="H895" s="12"/>
      <c r="I895" s="12"/>
      <c r="J895" s="12"/>
      <c r="K895" s="12"/>
      <c r="L895" s="19"/>
      <c r="M895" s="19"/>
      <c r="N895" s="19"/>
      <c r="O895" s="19"/>
      <c r="P895" s="19"/>
      <c r="Q895" s="12"/>
      <c r="R895" s="12"/>
      <c r="S895" s="12"/>
      <c r="T895" s="12"/>
      <c r="U895" s="19"/>
      <c r="V895" s="12"/>
      <c r="W895" s="12"/>
      <c r="X895" s="12"/>
      <c r="Y895" s="12"/>
      <c r="Z895" s="12"/>
    </row>
    <row r="896">
      <c r="A896" s="18"/>
      <c r="B896" s="12"/>
      <c r="C896" s="12"/>
      <c r="D896" s="12"/>
      <c r="E896" s="12"/>
      <c r="F896" s="12"/>
      <c r="G896" s="12"/>
      <c r="H896" s="12"/>
      <c r="I896" s="12"/>
      <c r="J896" s="12"/>
      <c r="K896" s="12"/>
      <c r="L896" s="19"/>
      <c r="M896" s="19"/>
      <c r="N896" s="19"/>
      <c r="O896" s="19"/>
      <c r="P896" s="19"/>
      <c r="Q896" s="12"/>
      <c r="R896" s="12"/>
      <c r="S896" s="12"/>
      <c r="T896" s="12"/>
      <c r="U896" s="19"/>
      <c r="V896" s="12"/>
      <c r="W896" s="12"/>
      <c r="X896" s="12"/>
      <c r="Y896" s="12"/>
      <c r="Z896" s="12"/>
    </row>
    <row r="897">
      <c r="A897" s="18"/>
      <c r="B897" s="12"/>
      <c r="C897" s="12"/>
      <c r="D897" s="12"/>
      <c r="E897" s="12"/>
      <c r="F897" s="12"/>
      <c r="G897" s="12"/>
      <c r="H897" s="12"/>
      <c r="I897" s="12"/>
      <c r="J897" s="12"/>
      <c r="K897" s="12"/>
      <c r="L897" s="19"/>
      <c r="M897" s="19"/>
      <c r="N897" s="19"/>
      <c r="O897" s="19"/>
      <c r="P897" s="19"/>
      <c r="Q897" s="12"/>
      <c r="R897" s="12"/>
      <c r="S897" s="12"/>
      <c r="T897" s="12"/>
      <c r="U897" s="19"/>
      <c r="V897" s="12"/>
      <c r="W897" s="12"/>
      <c r="X897" s="12"/>
      <c r="Y897" s="12"/>
      <c r="Z897" s="12"/>
    </row>
    <row r="898">
      <c r="A898" s="18"/>
      <c r="B898" s="12"/>
      <c r="C898" s="12"/>
      <c r="D898" s="12"/>
      <c r="E898" s="12"/>
      <c r="F898" s="12"/>
      <c r="G898" s="12"/>
      <c r="H898" s="12"/>
      <c r="I898" s="12"/>
      <c r="J898" s="12"/>
      <c r="K898" s="12"/>
      <c r="L898" s="19"/>
      <c r="M898" s="19"/>
      <c r="N898" s="19"/>
      <c r="O898" s="19"/>
      <c r="P898" s="19"/>
      <c r="Q898" s="12"/>
      <c r="R898" s="12"/>
      <c r="S898" s="12"/>
      <c r="T898" s="12"/>
      <c r="U898" s="19"/>
      <c r="V898" s="12"/>
      <c r="W898" s="12"/>
      <c r="X898" s="12"/>
      <c r="Y898" s="12"/>
      <c r="Z898" s="12"/>
    </row>
    <row r="899">
      <c r="A899" s="18"/>
      <c r="B899" s="12"/>
      <c r="C899" s="12"/>
      <c r="D899" s="12"/>
      <c r="E899" s="12"/>
      <c r="F899" s="12"/>
      <c r="G899" s="12"/>
      <c r="H899" s="12"/>
      <c r="I899" s="12"/>
      <c r="J899" s="12"/>
      <c r="K899" s="12"/>
      <c r="L899" s="19"/>
      <c r="M899" s="19"/>
      <c r="N899" s="19"/>
      <c r="O899" s="19"/>
      <c r="P899" s="19"/>
      <c r="Q899" s="12"/>
      <c r="R899" s="12"/>
      <c r="S899" s="12"/>
      <c r="T899" s="12"/>
      <c r="U899" s="19"/>
      <c r="V899" s="12"/>
      <c r="W899" s="12"/>
      <c r="X899" s="12"/>
      <c r="Y899" s="12"/>
      <c r="Z899" s="12"/>
    </row>
    <row r="900">
      <c r="A900" s="18"/>
      <c r="B900" s="12"/>
      <c r="C900" s="12"/>
      <c r="D900" s="12"/>
      <c r="E900" s="12"/>
      <c r="F900" s="12"/>
      <c r="G900" s="12"/>
      <c r="H900" s="12"/>
      <c r="I900" s="12"/>
      <c r="J900" s="12"/>
      <c r="K900" s="12"/>
      <c r="L900" s="19"/>
      <c r="M900" s="19"/>
      <c r="N900" s="19"/>
      <c r="O900" s="19"/>
      <c r="P900" s="19"/>
      <c r="Q900" s="12"/>
      <c r="R900" s="12"/>
      <c r="S900" s="12"/>
      <c r="T900" s="12"/>
      <c r="U900" s="19"/>
      <c r="V900" s="12"/>
      <c r="W900" s="12"/>
      <c r="X900" s="12"/>
      <c r="Y900" s="12"/>
      <c r="Z900" s="12"/>
    </row>
    <row r="901">
      <c r="A901" s="18"/>
      <c r="B901" s="12"/>
      <c r="C901" s="12"/>
      <c r="D901" s="12"/>
      <c r="E901" s="12"/>
      <c r="F901" s="12"/>
      <c r="G901" s="12"/>
      <c r="H901" s="12"/>
      <c r="I901" s="12"/>
      <c r="J901" s="12"/>
      <c r="K901" s="12"/>
      <c r="L901" s="19"/>
      <c r="M901" s="19"/>
      <c r="N901" s="19"/>
      <c r="O901" s="19"/>
      <c r="P901" s="19"/>
      <c r="Q901" s="12"/>
      <c r="R901" s="12"/>
      <c r="S901" s="12"/>
      <c r="T901" s="12"/>
      <c r="U901" s="19"/>
      <c r="V901" s="12"/>
      <c r="W901" s="12"/>
      <c r="X901" s="12"/>
      <c r="Y901" s="12"/>
      <c r="Z901" s="12"/>
    </row>
    <row r="902">
      <c r="A902" s="18"/>
      <c r="B902" s="12"/>
      <c r="C902" s="12"/>
      <c r="D902" s="12"/>
      <c r="E902" s="12"/>
      <c r="F902" s="12"/>
      <c r="G902" s="12"/>
      <c r="H902" s="12"/>
      <c r="I902" s="12"/>
      <c r="J902" s="12"/>
      <c r="K902" s="12"/>
      <c r="L902" s="19"/>
      <c r="M902" s="19"/>
      <c r="N902" s="19"/>
      <c r="O902" s="19"/>
      <c r="P902" s="19"/>
      <c r="Q902" s="12"/>
      <c r="R902" s="12"/>
      <c r="S902" s="12"/>
      <c r="T902" s="12"/>
      <c r="U902" s="19"/>
      <c r="V902" s="12"/>
      <c r="W902" s="12"/>
      <c r="X902" s="12"/>
      <c r="Y902" s="12"/>
      <c r="Z902" s="12"/>
    </row>
    <row r="903">
      <c r="A903" s="18"/>
      <c r="B903" s="12"/>
      <c r="C903" s="12"/>
      <c r="D903" s="12"/>
      <c r="E903" s="12"/>
      <c r="F903" s="12"/>
      <c r="G903" s="12"/>
      <c r="H903" s="12"/>
      <c r="I903" s="12"/>
      <c r="J903" s="12"/>
      <c r="K903" s="12"/>
      <c r="L903" s="19"/>
      <c r="M903" s="19"/>
      <c r="N903" s="19"/>
      <c r="O903" s="19"/>
      <c r="P903" s="19"/>
      <c r="Q903" s="12"/>
      <c r="R903" s="12"/>
      <c r="S903" s="12"/>
      <c r="T903" s="12"/>
      <c r="U903" s="19"/>
      <c r="V903" s="12"/>
      <c r="W903" s="12"/>
      <c r="X903" s="12"/>
      <c r="Y903" s="12"/>
      <c r="Z903" s="12"/>
    </row>
    <row r="904">
      <c r="A904" s="18"/>
      <c r="B904" s="12"/>
      <c r="C904" s="12"/>
      <c r="D904" s="12"/>
      <c r="E904" s="12"/>
      <c r="F904" s="12"/>
      <c r="G904" s="12"/>
      <c r="H904" s="12"/>
      <c r="I904" s="12"/>
      <c r="J904" s="12"/>
      <c r="K904" s="12"/>
      <c r="L904" s="19"/>
      <c r="M904" s="19"/>
      <c r="N904" s="19"/>
      <c r="O904" s="19"/>
      <c r="P904" s="19"/>
      <c r="Q904" s="12"/>
      <c r="R904" s="12"/>
      <c r="S904" s="12"/>
      <c r="T904" s="12"/>
      <c r="U904" s="19"/>
      <c r="V904" s="12"/>
      <c r="W904" s="12"/>
      <c r="X904" s="12"/>
      <c r="Y904" s="12"/>
      <c r="Z904" s="12"/>
    </row>
    <row r="905">
      <c r="A905" s="18"/>
      <c r="B905" s="12"/>
      <c r="C905" s="12"/>
      <c r="D905" s="12"/>
      <c r="E905" s="12"/>
      <c r="F905" s="12"/>
      <c r="G905" s="12"/>
      <c r="H905" s="12"/>
      <c r="I905" s="12"/>
      <c r="J905" s="12"/>
      <c r="K905" s="12"/>
      <c r="L905" s="19"/>
      <c r="M905" s="19"/>
      <c r="N905" s="19"/>
      <c r="O905" s="19"/>
      <c r="P905" s="19"/>
      <c r="Q905" s="12"/>
      <c r="R905" s="12"/>
      <c r="S905" s="12"/>
      <c r="T905" s="12"/>
      <c r="U905" s="19"/>
      <c r="V905" s="12"/>
      <c r="W905" s="12"/>
      <c r="X905" s="12"/>
      <c r="Y905" s="12"/>
      <c r="Z905" s="12"/>
    </row>
    <row r="906">
      <c r="A906" s="18"/>
      <c r="B906" s="12"/>
      <c r="C906" s="12"/>
      <c r="D906" s="12"/>
      <c r="E906" s="12"/>
      <c r="F906" s="12"/>
      <c r="G906" s="12"/>
      <c r="H906" s="12"/>
      <c r="I906" s="12"/>
      <c r="J906" s="12"/>
      <c r="K906" s="12"/>
      <c r="L906" s="19"/>
      <c r="M906" s="19"/>
      <c r="N906" s="19"/>
      <c r="O906" s="19"/>
      <c r="P906" s="19"/>
      <c r="Q906" s="12"/>
      <c r="R906" s="12"/>
      <c r="S906" s="12"/>
      <c r="T906" s="12"/>
      <c r="U906" s="19"/>
      <c r="V906" s="12"/>
      <c r="W906" s="12"/>
      <c r="X906" s="12"/>
      <c r="Y906" s="12"/>
      <c r="Z906" s="12"/>
    </row>
    <row r="907">
      <c r="A907" s="18"/>
      <c r="B907" s="12"/>
      <c r="C907" s="12"/>
      <c r="D907" s="12"/>
      <c r="E907" s="12"/>
      <c r="F907" s="12"/>
      <c r="G907" s="12"/>
      <c r="H907" s="12"/>
      <c r="I907" s="12"/>
      <c r="J907" s="12"/>
      <c r="K907" s="12"/>
      <c r="L907" s="19"/>
      <c r="M907" s="19"/>
      <c r="N907" s="19"/>
      <c r="O907" s="19"/>
      <c r="P907" s="19"/>
      <c r="Q907" s="12"/>
      <c r="R907" s="12"/>
      <c r="S907" s="12"/>
      <c r="T907" s="12"/>
      <c r="U907" s="19"/>
      <c r="V907" s="12"/>
      <c r="W907" s="12"/>
      <c r="X907" s="12"/>
      <c r="Y907" s="12"/>
      <c r="Z907" s="12"/>
    </row>
    <row r="908">
      <c r="A908" s="18"/>
      <c r="B908" s="12"/>
      <c r="C908" s="12"/>
      <c r="D908" s="12"/>
      <c r="E908" s="12"/>
      <c r="F908" s="12"/>
      <c r="G908" s="12"/>
      <c r="H908" s="12"/>
      <c r="I908" s="12"/>
      <c r="J908" s="12"/>
      <c r="K908" s="12"/>
      <c r="L908" s="19"/>
      <c r="M908" s="19"/>
      <c r="N908" s="19"/>
      <c r="O908" s="19"/>
      <c r="P908" s="19"/>
      <c r="Q908" s="12"/>
      <c r="R908" s="12"/>
      <c r="S908" s="12"/>
      <c r="T908" s="12"/>
      <c r="U908" s="19"/>
      <c r="V908" s="12"/>
      <c r="W908" s="12"/>
      <c r="X908" s="12"/>
      <c r="Y908" s="12"/>
      <c r="Z908" s="12"/>
    </row>
    <row r="909">
      <c r="A909" s="18"/>
      <c r="B909" s="12"/>
      <c r="C909" s="12"/>
      <c r="D909" s="12"/>
      <c r="E909" s="12"/>
      <c r="F909" s="12"/>
      <c r="G909" s="12"/>
      <c r="H909" s="12"/>
      <c r="I909" s="12"/>
      <c r="J909" s="12"/>
      <c r="K909" s="12"/>
      <c r="L909" s="19"/>
      <c r="M909" s="19"/>
      <c r="N909" s="19"/>
      <c r="O909" s="19"/>
      <c r="P909" s="19"/>
      <c r="Q909" s="12"/>
      <c r="R909" s="12"/>
      <c r="S909" s="12"/>
      <c r="T909" s="12"/>
      <c r="U909" s="19"/>
      <c r="V909" s="12"/>
      <c r="W909" s="12"/>
      <c r="X909" s="12"/>
      <c r="Y909" s="12"/>
      <c r="Z909" s="12"/>
    </row>
    <row r="910">
      <c r="A910" s="18"/>
      <c r="B910" s="12"/>
      <c r="C910" s="12"/>
      <c r="D910" s="12"/>
      <c r="E910" s="12"/>
      <c r="F910" s="12"/>
      <c r="G910" s="12"/>
      <c r="H910" s="12"/>
      <c r="I910" s="12"/>
      <c r="J910" s="12"/>
      <c r="K910" s="12"/>
      <c r="L910" s="19"/>
      <c r="M910" s="19"/>
      <c r="N910" s="19"/>
      <c r="O910" s="19"/>
      <c r="P910" s="19"/>
      <c r="Q910" s="12"/>
      <c r="R910" s="12"/>
      <c r="S910" s="12"/>
      <c r="T910" s="12"/>
      <c r="U910" s="19"/>
      <c r="V910" s="12"/>
      <c r="W910" s="12"/>
      <c r="X910" s="12"/>
      <c r="Y910" s="12"/>
      <c r="Z910" s="12"/>
    </row>
    <row r="911">
      <c r="A911" s="18"/>
      <c r="B911" s="12"/>
      <c r="C911" s="12"/>
      <c r="D911" s="12"/>
      <c r="E911" s="12"/>
      <c r="F911" s="12"/>
      <c r="G911" s="12"/>
      <c r="H911" s="12"/>
      <c r="I911" s="12"/>
      <c r="J911" s="12"/>
      <c r="K911" s="12"/>
      <c r="L911" s="19"/>
      <c r="M911" s="19"/>
      <c r="N911" s="19"/>
      <c r="O911" s="19"/>
      <c r="P911" s="19"/>
      <c r="Q911" s="12"/>
      <c r="R911" s="12"/>
      <c r="S911" s="12"/>
      <c r="T911" s="12"/>
      <c r="U911" s="19"/>
      <c r="V911" s="12"/>
      <c r="W911" s="12"/>
      <c r="X911" s="12"/>
      <c r="Y911" s="12"/>
      <c r="Z911" s="12"/>
    </row>
    <row r="912">
      <c r="A912" s="18"/>
      <c r="B912" s="12"/>
      <c r="C912" s="12"/>
      <c r="D912" s="12"/>
      <c r="E912" s="12"/>
      <c r="F912" s="12"/>
      <c r="G912" s="12"/>
      <c r="H912" s="12"/>
      <c r="I912" s="12"/>
      <c r="J912" s="12"/>
      <c r="K912" s="12"/>
      <c r="L912" s="19"/>
      <c r="M912" s="19"/>
      <c r="N912" s="19"/>
      <c r="O912" s="19"/>
      <c r="P912" s="19"/>
      <c r="Q912" s="12"/>
      <c r="R912" s="12"/>
      <c r="S912" s="12"/>
      <c r="T912" s="12"/>
      <c r="U912" s="19"/>
      <c r="V912" s="12"/>
      <c r="W912" s="12"/>
      <c r="X912" s="12"/>
      <c r="Y912" s="12"/>
      <c r="Z912" s="12"/>
    </row>
    <row r="913">
      <c r="A913" s="18"/>
      <c r="B913" s="12"/>
      <c r="C913" s="12"/>
      <c r="D913" s="12"/>
      <c r="E913" s="12"/>
      <c r="F913" s="12"/>
      <c r="G913" s="12"/>
      <c r="H913" s="12"/>
      <c r="I913" s="12"/>
      <c r="J913" s="12"/>
      <c r="K913" s="12"/>
      <c r="L913" s="19"/>
      <c r="M913" s="19"/>
      <c r="N913" s="19"/>
      <c r="O913" s="19"/>
      <c r="P913" s="19"/>
      <c r="Q913" s="12"/>
      <c r="R913" s="12"/>
      <c r="S913" s="12"/>
      <c r="T913" s="12"/>
      <c r="U913" s="19"/>
      <c r="V913" s="12"/>
      <c r="W913" s="12"/>
      <c r="X913" s="12"/>
      <c r="Y913" s="12"/>
      <c r="Z913" s="12"/>
    </row>
    <row r="914">
      <c r="A914" s="18"/>
      <c r="B914" s="12"/>
      <c r="C914" s="12"/>
      <c r="D914" s="12"/>
      <c r="E914" s="12"/>
      <c r="F914" s="12"/>
      <c r="G914" s="12"/>
      <c r="H914" s="12"/>
      <c r="I914" s="12"/>
      <c r="J914" s="12"/>
      <c r="K914" s="12"/>
      <c r="L914" s="19"/>
      <c r="M914" s="19"/>
      <c r="N914" s="19"/>
      <c r="O914" s="19"/>
      <c r="P914" s="19"/>
      <c r="Q914" s="12"/>
      <c r="R914" s="12"/>
      <c r="S914" s="12"/>
      <c r="T914" s="12"/>
      <c r="U914" s="19"/>
      <c r="V914" s="12"/>
      <c r="W914" s="12"/>
      <c r="X914" s="12"/>
      <c r="Y914" s="12"/>
      <c r="Z914" s="12"/>
    </row>
    <row r="915">
      <c r="A915" s="18"/>
      <c r="B915" s="12"/>
      <c r="C915" s="12"/>
      <c r="D915" s="12"/>
      <c r="E915" s="12"/>
      <c r="F915" s="12"/>
      <c r="G915" s="12"/>
      <c r="H915" s="12"/>
      <c r="I915" s="12"/>
      <c r="J915" s="12"/>
      <c r="K915" s="12"/>
      <c r="L915" s="19"/>
      <c r="M915" s="19"/>
      <c r="N915" s="19"/>
      <c r="O915" s="19"/>
      <c r="P915" s="19"/>
      <c r="Q915" s="12"/>
      <c r="R915" s="12"/>
      <c r="S915" s="12"/>
      <c r="T915" s="12"/>
      <c r="U915" s="19"/>
      <c r="V915" s="12"/>
      <c r="W915" s="12"/>
      <c r="X915" s="12"/>
      <c r="Y915" s="12"/>
      <c r="Z915" s="12"/>
    </row>
    <row r="916">
      <c r="A916" s="18"/>
      <c r="B916" s="12"/>
      <c r="C916" s="12"/>
      <c r="D916" s="12"/>
      <c r="E916" s="12"/>
      <c r="F916" s="12"/>
      <c r="G916" s="12"/>
      <c r="H916" s="12"/>
      <c r="I916" s="12"/>
      <c r="J916" s="12"/>
      <c r="K916" s="12"/>
      <c r="L916" s="19"/>
      <c r="M916" s="19"/>
      <c r="N916" s="19"/>
      <c r="O916" s="19"/>
      <c r="P916" s="19"/>
      <c r="Q916" s="12"/>
      <c r="R916" s="12"/>
      <c r="S916" s="12"/>
      <c r="T916" s="12"/>
      <c r="U916" s="19"/>
      <c r="V916" s="12"/>
      <c r="W916" s="12"/>
      <c r="X916" s="12"/>
      <c r="Y916" s="12"/>
      <c r="Z916" s="12"/>
    </row>
    <row r="917">
      <c r="A917" s="18"/>
      <c r="B917" s="12"/>
      <c r="C917" s="12"/>
      <c r="D917" s="12"/>
      <c r="E917" s="12"/>
      <c r="F917" s="12"/>
      <c r="G917" s="12"/>
      <c r="H917" s="12"/>
      <c r="I917" s="12"/>
      <c r="J917" s="12"/>
      <c r="K917" s="12"/>
      <c r="L917" s="19"/>
      <c r="M917" s="19"/>
      <c r="N917" s="19"/>
      <c r="O917" s="19"/>
      <c r="P917" s="19"/>
      <c r="Q917" s="12"/>
      <c r="R917" s="12"/>
      <c r="S917" s="12"/>
      <c r="T917" s="12"/>
      <c r="U917" s="19"/>
      <c r="V917" s="12"/>
      <c r="W917" s="12"/>
      <c r="X917" s="12"/>
      <c r="Y917" s="12"/>
      <c r="Z917" s="12"/>
    </row>
    <row r="918">
      <c r="A918" s="18"/>
      <c r="B918" s="12"/>
      <c r="C918" s="12"/>
      <c r="D918" s="12"/>
      <c r="E918" s="12"/>
      <c r="F918" s="12"/>
      <c r="G918" s="12"/>
      <c r="H918" s="12"/>
      <c r="I918" s="12"/>
      <c r="J918" s="12"/>
      <c r="K918" s="12"/>
      <c r="L918" s="19"/>
      <c r="M918" s="19"/>
      <c r="N918" s="19"/>
      <c r="O918" s="19"/>
      <c r="P918" s="19"/>
      <c r="Q918" s="12"/>
      <c r="R918" s="12"/>
      <c r="S918" s="12"/>
      <c r="T918" s="12"/>
      <c r="U918" s="19"/>
      <c r="V918" s="12"/>
      <c r="W918" s="12"/>
      <c r="X918" s="12"/>
      <c r="Y918" s="12"/>
      <c r="Z918" s="12"/>
    </row>
    <row r="919">
      <c r="A919" s="18"/>
      <c r="B919" s="12"/>
      <c r="C919" s="12"/>
      <c r="D919" s="12"/>
      <c r="E919" s="12"/>
      <c r="F919" s="12"/>
      <c r="G919" s="12"/>
      <c r="H919" s="12"/>
      <c r="I919" s="12"/>
      <c r="J919" s="12"/>
      <c r="K919" s="12"/>
      <c r="L919" s="19"/>
      <c r="M919" s="19"/>
      <c r="N919" s="19"/>
      <c r="O919" s="19"/>
      <c r="P919" s="19"/>
      <c r="Q919" s="12"/>
      <c r="R919" s="12"/>
      <c r="S919" s="12"/>
      <c r="T919" s="12"/>
      <c r="U919" s="19"/>
      <c r="V919" s="12"/>
      <c r="W919" s="12"/>
      <c r="X919" s="12"/>
      <c r="Y919" s="12"/>
      <c r="Z919" s="12"/>
    </row>
    <row r="920">
      <c r="A920" s="18"/>
      <c r="B920" s="12"/>
      <c r="C920" s="12"/>
      <c r="D920" s="12"/>
      <c r="E920" s="12"/>
      <c r="F920" s="12"/>
      <c r="G920" s="12"/>
      <c r="H920" s="12"/>
      <c r="I920" s="12"/>
      <c r="J920" s="12"/>
      <c r="K920" s="12"/>
      <c r="L920" s="19"/>
      <c r="M920" s="19"/>
      <c r="N920" s="19"/>
      <c r="O920" s="19"/>
      <c r="P920" s="19"/>
      <c r="Q920" s="12"/>
      <c r="R920" s="12"/>
      <c r="S920" s="12"/>
      <c r="T920" s="12"/>
      <c r="U920" s="19"/>
      <c r="V920" s="12"/>
      <c r="W920" s="12"/>
      <c r="X920" s="12"/>
      <c r="Y920" s="12"/>
      <c r="Z920" s="12"/>
    </row>
    <row r="921">
      <c r="A921" s="18"/>
      <c r="B921" s="12"/>
      <c r="C921" s="12"/>
      <c r="D921" s="12"/>
      <c r="E921" s="12"/>
      <c r="F921" s="12"/>
      <c r="G921" s="12"/>
      <c r="H921" s="12"/>
      <c r="I921" s="12"/>
      <c r="J921" s="12"/>
      <c r="K921" s="12"/>
      <c r="L921" s="19"/>
      <c r="M921" s="19"/>
      <c r="N921" s="19"/>
      <c r="O921" s="19"/>
      <c r="P921" s="19"/>
      <c r="Q921" s="12"/>
      <c r="R921" s="12"/>
      <c r="S921" s="12"/>
      <c r="T921" s="12"/>
      <c r="U921" s="19"/>
      <c r="V921" s="12"/>
      <c r="W921" s="12"/>
      <c r="X921" s="12"/>
      <c r="Y921" s="12"/>
      <c r="Z921" s="12"/>
    </row>
    <row r="922">
      <c r="A922" s="18"/>
      <c r="B922" s="12"/>
      <c r="C922" s="12"/>
      <c r="D922" s="12"/>
      <c r="E922" s="12"/>
      <c r="F922" s="12"/>
      <c r="G922" s="12"/>
      <c r="H922" s="12"/>
      <c r="I922" s="12"/>
      <c r="J922" s="12"/>
      <c r="K922" s="12"/>
      <c r="L922" s="19"/>
      <c r="M922" s="19"/>
      <c r="N922" s="19"/>
      <c r="O922" s="19"/>
      <c r="P922" s="19"/>
      <c r="Q922" s="12"/>
      <c r="R922" s="12"/>
      <c r="S922" s="12"/>
      <c r="T922" s="12"/>
      <c r="U922" s="19"/>
      <c r="V922" s="12"/>
      <c r="W922" s="12"/>
      <c r="X922" s="12"/>
      <c r="Y922" s="12"/>
      <c r="Z922" s="12"/>
    </row>
    <row r="923">
      <c r="A923" s="18"/>
      <c r="B923" s="12"/>
      <c r="C923" s="12"/>
      <c r="D923" s="12"/>
      <c r="E923" s="12"/>
      <c r="F923" s="12"/>
      <c r="G923" s="12"/>
      <c r="H923" s="12"/>
      <c r="I923" s="12"/>
      <c r="J923" s="12"/>
      <c r="K923" s="12"/>
      <c r="L923" s="19"/>
      <c r="M923" s="19"/>
      <c r="N923" s="19"/>
      <c r="O923" s="19"/>
      <c r="P923" s="19"/>
      <c r="Q923" s="12"/>
      <c r="R923" s="12"/>
      <c r="S923" s="12"/>
      <c r="T923" s="12"/>
      <c r="U923" s="19"/>
      <c r="V923" s="12"/>
      <c r="W923" s="12"/>
      <c r="X923" s="12"/>
      <c r="Y923" s="12"/>
      <c r="Z923" s="12"/>
    </row>
    <row r="924">
      <c r="A924" s="18"/>
      <c r="B924" s="12"/>
      <c r="C924" s="12"/>
      <c r="D924" s="12"/>
      <c r="E924" s="12"/>
      <c r="F924" s="12"/>
      <c r="G924" s="12"/>
      <c r="H924" s="12"/>
      <c r="I924" s="12"/>
      <c r="J924" s="12"/>
      <c r="K924" s="12"/>
      <c r="L924" s="19"/>
      <c r="M924" s="19"/>
      <c r="N924" s="19"/>
      <c r="O924" s="19"/>
      <c r="P924" s="19"/>
      <c r="Q924" s="12"/>
      <c r="R924" s="12"/>
      <c r="S924" s="12"/>
      <c r="T924" s="12"/>
      <c r="U924" s="19"/>
      <c r="V924" s="12"/>
      <c r="W924" s="12"/>
      <c r="X924" s="12"/>
      <c r="Y924" s="12"/>
      <c r="Z924" s="12"/>
    </row>
    <row r="925">
      <c r="A925" s="18"/>
      <c r="B925" s="12"/>
      <c r="C925" s="12"/>
      <c r="D925" s="12"/>
      <c r="E925" s="12"/>
      <c r="F925" s="12"/>
      <c r="G925" s="12"/>
      <c r="H925" s="12"/>
      <c r="I925" s="12"/>
      <c r="J925" s="12"/>
      <c r="K925" s="12"/>
      <c r="L925" s="19"/>
      <c r="M925" s="19"/>
      <c r="N925" s="19"/>
      <c r="O925" s="19"/>
      <c r="P925" s="19"/>
      <c r="Q925" s="12"/>
      <c r="R925" s="12"/>
      <c r="S925" s="12"/>
      <c r="T925" s="12"/>
      <c r="U925" s="19"/>
      <c r="V925" s="12"/>
      <c r="W925" s="12"/>
      <c r="X925" s="12"/>
      <c r="Y925" s="12"/>
      <c r="Z925" s="12"/>
    </row>
    <row r="926">
      <c r="A926" s="18"/>
      <c r="B926" s="12"/>
      <c r="C926" s="12"/>
      <c r="D926" s="12"/>
      <c r="E926" s="12"/>
      <c r="F926" s="12"/>
      <c r="G926" s="12"/>
      <c r="H926" s="12"/>
      <c r="I926" s="12"/>
      <c r="J926" s="12"/>
      <c r="K926" s="12"/>
      <c r="L926" s="19"/>
      <c r="M926" s="19"/>
      <c r="N926" s="19"/>
      <c r="O926" s="19"/>
      <c r="P926" s="19"/>
      <c r="Q926" s="12"/>
      <c r="R926" s="12"/>
      <c r="S926" s="12"/>
      <c r="T926" s="12"/>
      <c r="U926" s="19"/>
      <c r="V926" s="12"/>
      <c r="W926" s="12"/>
      <c r="X926" s="12"/>
      <c r="Y926" s="12"/>
      <c r="Z926" s="12"/>
    </row>
    <row r="927">
      <c r="A927" s="18"/>
      <c r="B927" s="12"/>
      <c r="C927" s="12"/>
      <c r="D927" s="12"/>
      <c r="E927" s="12"/>
      <c r="F927" s="12"/>
      <c r="G927" s="12"/>
      <c r="H927" s="12"/>
      <c r="I927" s="12"/>
      <c r="J927" s="12"/>
      <c r="K927" s="12"/>
      <c r="L927" s="19"/>
      <c r="M927" s="19"/>
      <c r="N927" s="19"/>
      <c r="O927" s="19"/>
      <c r="P927" s="19"/>
      <c r="Q927" s="12"/>
      <c r="R927" s="12"/>
      <c r="S927" s="12"/>
      <c r="T927" s="12"/>
      <c r="U927" s="19"/>
      <c r="V927" s="12"/>
      <c r="W927" s="12"/>
      <c r="X927" s="12"/>
      <c r="Y927" s="12"/>
      <c r="Z927" s="12"/>
    </row>
    <row r="928">
      <c r="A928" s="18"/>
      <c r="B928" s="12"/>
      <c r="C928" s="12"/>
      <c r="D928" s="12"/>
      <c r="E928" s="12"/>
      <c r="F928" s="12"/>
      <c r="G928" s="12"/>
      <c r="H928" s="12"/>
      <c r="I928" s="12"/>
      <c r="J928" s="12"/>
      <c r="K928" s="12"/>
      <c r="L928" s="19"/>
      <c r="M928" s="19"/>
      <c r="N928" s="19"/>
      <c r="O928" s="19"/>
      <c r="P928" s="19"/>
      <c r="Q928" s="12"/>
      <c r="R928" s="12"/>
      <c r="S928" s="12"/>
      <c r="T928" s="12"/>
      <c r="U928" s="19"/>
      <c r="V928" s="12"/>
      <c r="W928" s="12"/>
      <c r="X928" s="12"/>
      <c r="Y928" s="12"/>
      <c r="Z928" s="12"/>
    </row>
    <row r="929">
      <c r="A929" s="18"/>
      <c r="B929" s="12"/>
      <c r="C929" s="12"/>
      <c r="D929" s="12"/>
      <c r="E929" s="12"/>
      <c r="F929" s="12"/>
      <c r="G929" s="12"/>
      <c r="H929" s="12"/>
      <c r="I929" s="12"/>
      <c r="J929" s="12"/>
      <c r="K929" s="12"/>
      <c r="L929" s="19"/>
      <c r="M929" s="19"/>
      <c r="N929" s="19"/>
      <c r="O929" s="19"/>
      <c r="P929" s="19"/>
      <c r="Q929" s="12"/>
      <c r="R929" s="12"/>
      <c r="S929" s="12"/>
      <c r="T929" s="12"/>
      <c r="U929" s="19"/>
      <c r="V929" s="12"/>
      <c r="W929" s="12"/>
      <c r="X929" s="12"/>
      <c r="Y929" s="12"/>
      <c r="Z929" s="12"/>
    </row>
    <row r="930">
      <c r="A930" s="18"/>
      <c r="B930" s="12"/>
      <c r="C930" s="12"/>
      <c r="D930" s="12"/>
      <c r="E930" s="12"/>
      <c r="F930" s="12"/>
      <c r="G930" s="12"/>
      <c r="H930" s="12"/>
      <c r="I930" s="12"/>
      <c r="J930" s="12"/>
      <c r="K930" s="12"/>
      <c r="L930" s="19"/>
      <c r="M930" s="19"/>
      <c r="N930" s="19"/>
      <c r="O930" s="19"/>
      <c r="P930" s="19"/>
      <c r="Q930" s="12"/>
      <c r="R930" s="12"/>
      <c r="S930" s="12"/>
      <c r="T930" s="12"/>
      <c r="U930" s="19"/>
      <c r="V930" s="12"/>
      <c r="W930" s="12"/>
      <c r="X930" s="12"/>
      <c r="Y930" s="12"/>
      <c r="Z930" s="12"/>
    </row>
    <row r="931">
      <c r="A931" s="18"/>
      <c r="B931" s="12"/>
      <c r="C931" s="12"/>
      <c r="D931" s="12"/>
      <c r="E931" s="12"/>
      <c r="F931" s="12"/>
      <c r="G931" s="12"/>
      <c r="H931" s="12"/>
      <c r="I931" s="12"/>
      <c r="J931" s="12"/>
      <c r="K931" s="12"/>
      <c r="L931" s="19"/>
      <c r="M931" s="19"/>
      <c r="N931" s="19"/>
      <c r="O931" s="19"/>
      <c r="P931" s="19"/>
      <c r="Q931" s="12"/>
      <c r="R931" s="12"/>
      <c r="S931" s="12"/>
      <c r="T931" s="12"/>
      <c r="U931" s="19"/>
      <c r="V931" s="12"/>
      <c r="W931" s="12"/>
      <c r="X931" s="12"/>
      <c r="Y931" s="12"/>
      <c r="Z931" s="12"/>
    </row>
    <row r="932">
      <c r="A932" s="18"/>
      <c r="B932" s="12"/>
      <c r="C932" s="12"/>
      <c r="D932" s="12"/>
      <c r="E932" s="12"/>
      <c r="F932" s="12"/>
      <c r="G932" s="12"/>
      <c r="H932" s="12"/>
      <c r="I932" s="12"/>
      <c r="J932" s="12"/>
      <c r="K932" s="12"/>
      <c r="L932" s="19"/>
      <c r="M932" s="19"/>
      <c r="N932" s="19"/>
      <c r="O932" s="19"/>
      <c r="P932" s="19"/>
      <c r="Q932" s="12"/>
      <c r="R932" s="12"/>
      <c r="S932" s="12"/>
      <c r="T932" s="12"/>
      <c r="U932" s="19"/>
      <c r="V932" s="12"/>
      <c r="W932" s="12"/>
      <c r="X932" s="12"/>
      <c r="Y932" s="12"/>
      <c r="Z932" s="12"/>
    </row>
    <row r="933">
      <c r="A933" s="18"/>
      <c r="B933" s="12"/>
      <c r="C933" s="12"/>
      <c r="D933" s="12"/>
      <c r="E933" s="12"/>
      <c r="F933" s="12"/>
      <c r="G933" s="12"/>
      <c r="H933" s="12"/>
      <c r="I933" s="12"/>
      <c r="J933" s="12"/>
      <c r="K933" s="12"/>
      <c r="L933" s="19"/>
      <c r="M933" s="19"/>
      <c r="N933" s="19"/>
      <c r="O933" s="19"/>
      <c r="P933" s="19"/>
      <c r="Q933" s="12"/>
      <c r="R933" s="12"/>
      <c r="S933" s="12"/>
      <c r="T933" s="12"/>
      <c r="U933" s="19"/>
      <c r="V933" s="12"/>
      <c r="W933" s="12"/>
      <c r="X933" s="12"/>
      <c r="Y933" s="12"/>
      <c r="Z933" s="12"/>
    </row>
    <row r="934">
      <c r="A934" s="18"/>
      <c r="B934" s="12"/>
      <c r="C934" s="12"/>
      <c r="D934" s="12"/>
      <c r="E934" s="12"/>
      <c r="F934" s="12"/>
      <c r="G934" s="12"/>
      <c r="H934" s="12"/>
      <c r="I934" s="12"/>
      <c r="J934" s="12"/>
      <c r="K934" s="12"/>
      <c r="L934" s="19"/>
      <c r="M934" s="19"/>
      <c r="N934" s="19"/>
      <c r="O934" s="19"/>
      <c r="P934" s="19"/>
      <c r="Q934" s="12"/>
      <c r="R934" s="12"/>
      <c r="S934" s="12"/>
      <c r="T934" s="12"/>
      <c r="U934" s="19"/>
      <c r="V934" s="12"/>
      <c r="W934" s="12"/>
      <c r="X934" s="12"/>
      <c r="Y934" s="12"/>
      <c r="Z934" s="12"/>
    </row>
    <row r="935">
      <c r="A935" s="18"/>
      <c r="B935" s="12"/>
      <c r="C935" s="12"/>
      <c r="D935" s="12"/>
      <c r="E935" s="12"/>
      <c r="F935" s="12"/>
      <c r="G935" s="12"/>
      <c r="H935" s="12"/>
      <c r="I935" s="12"/>
      <c r="J935" s="12"/>
      <c r="K935" s="12"/>
      <c r="L935" s="19"/>
      <c r="M935" s="19"/>
      <c r="N935" s="19"/>
      <c r="O935" s="19"/>
      <c r="P935" s="19"/>
      <c r="Q935" s="12"/>
      <c r="R935" s="12"/>
      <c r="S935" s="12"/>
      <c r="T935" s="12"/>
      <c r="U935" s="19"/>
      <c r="V935" s="12"/>
      <c r="W935" s="12"/>
      <c r="X935" s="12"/>
      <c r="Y935" s="12"/>
      <c r="Z935" s="12"/>
    </row>
    <row r="936">
      <c r="A936" s="18"/>
      <c r="B936" s="12"/>
      <c r="C936" s="12"/>
      <c r="D936" s="12"/>
      <c r="E936" s="12"/>
      <c r="F936" s="12"/>
      <c r="G936" s="12"/>
      <c r="H936" s="12"/>
      <c r="I936" s="12"/>
      <c r="J936" s="12"/>
      <c r="K936" s="12"/>
      <c r="L936" s="19"/>
      <c r="M936" s="19"/>
      <c r="N936" s="19"/>
      <c r="O936" s="19"/>
      <c r="P936" s="19"/>
      <c r="Q936" s="12"/>
      <c r="R936" s="12"/>
      <c r="S936" s="12"/>
      <c r="T936" s="12"/>
      <c r="U936" s="19"/>
      <c r="V936" s="12"/>
      <c r="W936" s="12"/>
      <c r="X936" s="12"/>
      <c r="Y936" s="12"/>
      <c r="Z936" s="12"/>
    </row>
    <row r="937">
      <c r="A937" s="18"/>
      <c r="B937" s="12"/>
      <c r="C937" s="12"/>
      <c r="D937" s="12"/>
      <c r="E937" s="12"/>
      <c r="F937" s="12"/>
      <c r="G937" s="12"/>
      <c r="H937" s="12"/>
      <c r="I937" s="12"/>
      <c r="J937" s="12"/>
      <c r="K937" s="12"/>
      <c r="L937" s="19"/>
      <c r="M937" s="19"/>
      <c r="N937" s="19"/>
      <c r="O937" s="19"/>
      <c r="P937" s="19"/>
      <c r="Q937" s="12"/>
      <c r="R937" s="12"/>
      <c r="S937" s="12"/>
      <c r="T937" s="12"/>
      <c r="U937" s="19"/>
      <c r="V937" s="12"/>
      <c r="W937" s="12"/>
      <c r="X937" s="12"/>
      <c r="Y937" s="12"/>
      <c r="Z937" s="12"/>
    </row>
    <row r="938">
      <c r="A938" s="18"/>
      <c r="B938" s="12"/>
      <c r="C938" s="12"/>
      <c r="D938" s="12"/>
      <c r="E938" s="12"/>
      <c r="F938" s="12"/>
      <c r="G938" s="12"/>
      <c r="H938" s="12"/>
      <c r="I938" s="12"/>
      <c r="J938" s="12"/>
      <c r="K938" s="12"/>
      <c r="L938" s="19"/>
      <c r="M938" s="19"/>
      <c r="N938" s="19"/>
      <c r="O938" s="19"/>
      <c r="P938" s="19"/>
      <c r="Q938" s="12"/>
      <c r="R938" s="12"/>
      <c r="S938" s="12"/>
      <c r="T938" s="12"/>
      <c r="U938" s="19"/>
      <c r="V938" s="12"/>
      <c r="W938" s="12"/>
      <c r="X938" s="12"/>
      <c r="Y938" s="12"/>
      <c r="Z938" s="12"/>
    </row>
    <row r="939">
      <c r="A939" s="18"/>
      <c r="B939" s="12"/>
      <c r="C939" s="12"/>
      <c r="D939" s="12"/>
      <c r="E939" s="12"/>
      <c r="F939" s="12"/>
      <c r="G939" s="12"/>
      <c r="H939" s="12"/>
      <c r="I939" s="12"/>
      <c r="J939" s="12"/>
      <c r="K939" s="12"/>
      <c r="L939" s="19"/>
      <c r="M939" s="19"/>
      <c r="N939" s="19"/>
      <c r="O939" s="19"/>
      <c r="P939" s="19"/>
      <c r="Q939" s="12"/>
      <c r="R939" s="12"/>
      <c r="S939" s="12"/>
      <c r="T939" s="12"/>
      <c r="U939" s="19"/>
      <c r="V939" s="12"/>
      <c r="W939" s="12"/>
      <c r="X939" s="12"/>
      <c r="Y939" s="12"/>
      <c r="Z939" s="12"/>
    </row>
    <row r="940">
      <c r="A940" s="18"/>
      <c r="B940" s="12"/>
      <c r="C940" s="12"/>
      <c r="D940" s="12"/>
      <c r="E940" s="12"/>
      <c r="F940" s="12"/>
      <c r="G940" s="12"/>
      <c r="H940" s="12"/>
      <c r="I940" s="12"/>
      <c r="J940" s="12"/>
      <c r="K940" s="12"/>
      <c r="L940" s="19"/>
      <c r="M940" s="19"/>
      <c r="N940" s="19"/>
      <c r="O940" s="19"/>
      <c r="P940" s="19"/>
      <c r="Q940" s="12"/>
      <c r="R940" s="12"/>
      <c r="S940" s="12"/>
      <c r="T940" s="12"/>
      <c r="U940" s="19"/>
      <c r="V940" s="12"/>
      <c r="W940" s="12"/>
      <c r="X940" s="12"/>
      <c r="Y940" s="12"/>
      <c r="Z940" s="12"/>
    </row>
    <row r="941">
      <c r="A941" s="18"/>
      <c r="B941" s="12"/>
      <c r="C941" s="12"/>
      <c r="D941" s="12"/>
      <c r="E941" s="12"/>
      <c r="F941" s="12"/>
      <c r="G941" s="12"/>
      <c r="H941" s="12"/>
      <c r="I941" s="12"/>
      <c r="J941" s="12"/>
      <c r="K941" s="12"/>
      <c r="L941" s="19"/>
      <c r="M941" s="19"/>
      <c r="N941" s="19"/>
      <c r="O941" s="19"/>
      <c r="P941" s="19"/>
      <c r="Q941" s="12"/>
      <c r="R941" s="12"/>
      <c r="S941" s="12"/>
      <c r="T941" s="12"/>
      <c r="U941" s="19"/>
      <c r="V941" s="12"/>
      <c r="W941" s="12"/>
      <c r="X941" s="12"/>
      <c r="Y941" s="12"/>
      <c r="Z941" s="12"/>
    </row>
    <row r="942">
      <c r="A942" s="18"/>
      <c r="B942" s="12"/>
      <c r="C942" s="12"/>
      <c r="D942" s="12"/>
      <c r="E942" s="12"/>
      <c r="F942" s="12"/>
      <c r="G942" s="12"/>
      <c r="H942" s="12"/>
      <c r="I942" s="12"/>
      <c r="J942" s="12"/>
      <c r="K942" s="12"/>
      <c r="L942" s="19"/>
      <c r="M942" s="19"/>
      <c r="N942" s="19"/>
      <c r="O942" s="19"/>
      <c r="P942" s="19"/>
      <c r="Q942" s="12"/>
      <c r="R942" s="12"/>
      <c r="S942" s="12"/>
      <c r="T942" s="12"/>
      <c r="U942" s="19"/>
      <c r="V942" s="12"/>
      <c r="W942" s="12"/>
      <c r="X942" s="12"/>
      <c r="Y942" s="12"/>
      <c r="Z942" s="12"/>
    </row>
    <row r="943">
      <c r="A943" s="18"/>
      <c r="B943" s="12"/>
      <c r="C943" s="12"/>
      <c r="D943" s="12"/>
      <c r="E943" s="12"/>
      <c r="F943" s="12"/>
      <c r="G943" s="12"/>
      <c r="H943" s="12"/>
      <c r="I943" s="12"/>
      <c r="J943" s="12"/>
      <c r="K943" s="12"/>
      <c r="L943" s="19"/>
      <c r="M943" s="19"/>
      <c r="N943" s="19"/>
      <c r="O943" s="19"/>
      <c r="P943" s="19"/>
      <c r="Q943" s="12"/>
      <c r="R943" s="12"/>
      <c r="S943" s="12"/>
      <c r="T943" s="12"/>
      <c r="U943" s="19"/>
      <c r="V943" s="12"/>
      <c r="W943" s="12"/>
      <c r="X943" s="12"/>
      <c r="Y943" s="12"/>
      <c r="Z943" s="12"/>
    </row>
    <row r="944">
      <c r="A944" s="18"/>
      <c r="B944" s="12"/>
      <c r="C944" s="12"/>
      <c r="D944" s="12"/>
      <c r="E944" s="12"/>
      <c r="F944" s="12"/>
      <c r="G944" s="12"/>
      <c r="H944" s="12"/>
      <c r="I944" s="12"/>
      <c r="J944" s="12"/>
      <c r="K944" s="12"/>
      <c r="L944" s="19"/>
      <c r="M944" s="19"/>
      <c r="N944" s="19"/>
      <c r="O944" s="19"/>
      <c r="P944" s="19"/>
      <c r="Q944" s="12"/>
      <c r="R944" s="12"/>
      <c r="S944" s="12"/>
      <c r="T944" s="12"/>
      <c r="U944" s="19"/>
      <c r="V944" s="12"/>
      <c r="W944" s="12"/>
      <c r="X944" s="12"/>
      <c r="Y944" s="12"/>
      <c r="Z944" s="12"/>
    </row>
    <row r="945">
      <c r="A945" s="18"/>
      <c r="B945" s="12"/>
      <c r="C945" s="12"/>
      <c r="D945" s="12"/>
      <c r="E945" s="12"/>
      <c r="F945" s="12"/>
      <c r="G945" s="12"/>
      <c r="H945" s="12"/>
      <c r="I945" s="12"/>
      <c r="J945" s="12"/>
      <c r="K945" s="12"/>
      <c r="L945" s="19"/>
      <c r="M945" s="19"/>
      <c r="N945" s="19"/>
      <c r="O945" s="19"/>
      <c r="P945" s="19"/>
      <c r="Q945" s="12"/>
      <c r="R945" s="12"/>
      <c r="S945" s="12"/>
      <c r="T945" s="12"/>
      <c r="U945" s="19"/>
      <c r="V945" s="12"/>
      <c r="W945" s="12"/>
      <c r="X945" s="12"/>
      <c r="Y945" s="12"/>
      <c r="Z945" s="12"/>
    </row>
    <row r="946">
      <c r="A946" s="18"/>
      <c r="B946" s="12"/>
      <c r="C946" s="12"/>
      <c r="D946" s="12"/>
      <c r="E946" s="12"/>
      <c r="F946" s="12"/>
      <c r="G946" s="12"/>
      <c r="H946" s="12"/>
      <c r="I946" s="12"/>
      <c r="J946" s="12"/>
      <c r="K946" s="12"/>
      <c r="L946" s="19"/>
      <c r="M946" s="19"/>
      <c r="N946" s="19"/>
      <c r="O946" s="19"/>
      <c r="P946" s="19"/>
      <c r="Q946" s="12"/>
      <c r="R946" s="12"/>
      <c r="S946" s="12"/>
      <c r="T946" s="12"/>
      <c r="U946" s="19"/>
      <c r="V946" s="12"/>
      <c r="W946" s="12"/>
      <c r="X946" s="12"/>
      <c r="Y946" s="12"/>
      <c r="Z946" s="12"/>
    </row>
    <row r="947">
      <c r="A947" s="18"/>
      <c r="B947" s="12"/>
      <c r="C947" s="12"/>
      <c r="D947" s="12"/>
      <c r="E947" s="12"/>
      <c r="F947" s="12"/>
      <c r="G947" s="12"/>
      <c r="H947" s="12"/>
      <c r="I947" s="12"/>
      <c r="J947" s="12"/>
      <c r="K947" s="12"/>
      <c r="L947" s="19"/>
      <c r="M947" s="19"/>
      <c r="N947" s="19"/>
      <c r="O947" s="19"/>
      <c r="P947" s="19"/>
      <c r="Q947" s="12"/>
      <c r="R947" s="12"/>
      <c r="S947" s="12"/>
      <c r="T947" s="12"/>
      <c r="U947" s="19"/>
      <c r="V947" s="12"/>
      <c r="W947" s="12"/>
      <c r="X947" s="12"/>
      <c r="Y947" s="12"/>
      <c r="Z947" s="12"/>
    </row>
    <row r="948">
      <c r="A948" s="18"/>
      <c r="B948" s="12"/>
      <c r="C948" s="12"/>
      <c r="D948" s="12"/>
      <c r="E948" s="12"/>
      <c r="F948" s="12"/>
      <c r="G948" s="12"/>
      <c r="H948" s="12"/>
      <c r="I948" s="12"/>
      <c r="J948" s="12"/>
      <c r="K948" s="12"/>
      <c r="L948" s="19"/>
      <c r="M948" s="19"/>
      <c r="N948" s="19"/>
      <c r="O948" s="19"/>
      <c r="P948" s="19"/>
      <c r="Q948" s="12"/>
      <c r="R948" s="12"/>
      <c r="S948" s="12"/>
      <c r="T948" s="12"/>
      <c r="U948" s="19"/>
      <c r="V948" s="12"/>
      <c r="W948" s="12"/>
      <c r="X948" s="12"/>
      <c r="Y948" s="12"/>
      <c r="Z948" s="12"/>
    </row>
    <row r="949">
      <c r="A949" s="18"/>
      <c r="B949" s="12"/>
      <c r="C949" s="12"/>
      <c r="D949" s="12"/>
      <c r="E949" s="12"/>
      <c r="F949" s="12"/>
      <c r="G949" s="12"/>
      <c r="H949" s="12"/>
      <c r="I949" s="12"/>
      <c r="J949" s="12"/>
      <c r="K949" s="12"/>
      <c r="L949" s="19"/>
      <c r="M949" s="19"/>
      <c r="N949" s="19"/>
      <c r="O949" s="19"/>
      <c r="P949" s="19"/>
      <c r="Q949" s="12"/>
      <c r="R949" s="12"/>
      <c r="S949" s="12"/>
      <c r="T949" s="12"/>
      <c r="U949" s="19"/>
      <c r="V949" s="12"/>
      <c r="W949" s="12"/>
      <c r="X949" s="12"/>
      <c r="Y949" s="12"/>
      <c r="Z949" s="12"/>
    </row>
    <row r="950">
      <c r="A950" s="18"/>
      <c r="B950" s="12"/>
      <c r="C950" s="12"/>
      <c r="D950" s="12"/>
      <c r="E950" s="12"/>
      <c r="F950" s="12"/>
      <c r="G950" s="12"/>
      <c r="H950" s="12"/>
      <c r="I950" s="12"/>
      <c r="J950" s="12"/>
      <c r="K950" s="12"/>
      <c r="L950" s="19"/>
      <c r="M950" s="19"/>
      <c r="N950" s="19"/>
      <c r="O950" s="19"/>
      <c r="P950" s="19"/>
      <c r="Q950" s="12"/>
      <c r="R950" s="12"/>
      <c r="S950" s="12"/>
      <c r="T950" s="12"/>
      <c r="U950" s="19"/>
      <c r="V950" s="12"/>
      <c r="W950" s="12"/>
      <c r="X950" s="12"/>
      <c r="Y950" s="12"/>
      <c r="Z950" s="12"/>
    </row>
    <row r="951">
      <c r="A951" s="18"/>
      <c r="B951" s="12"/>
      <c r="C951" s="12"/>
      <c r="D951" s="12"/>
      <c r="E951" s="12"/>
      <c r="F951" s="12"/>
      <c r="G951" s="12"/>
      <c r="H951" s="12"/>
      <c r="I951" s="12"/>
      <c r="J951" s="12"/>
      <c r="K951" s="12"/>
      <c r="L951" s="19"/>
      <c r="M951" s="19"/>
      <c r="N951" s="19"/>
      <c r="O951" s="19"/>
      <c r="P951" s="19"/>
      <c r="Q951" s="12"/>
      <c r="R951" s="12"/>
      <c r="S951" s="12"/>
      <c r="T951" s="12"/>
      <c r="U951" s="19"/>
      <c r="V951" s="12"/>
      <c r="W951" s="12"/>
      <c r="X951" s="12"/>
      <c r="Y951" s="12"/>
      <c r="Z951" s="12"/>
    </row>
    <row r="952">
      <c r="A952" s="18"/>
      <c r="B952" s="12"/>
      <c r="C952" s="12"/>
      <c r="D952" s="12"/>
      <c r="E952" s="12"/>
      <c r="F952" s="12"/>
      <c r="G952" s="12"/>
      <c r="H952" s="12"/>
      <c r="I952" s="12"/>
      <c r="J952" s="12"/>
      <c r="K952" s="12"/>
      <c r="L952" s="19"/>
      <c r="M952" s="19"/>
      <c r="N952" s="19"/>
      <c r="O952" s="19"/>
      <c r="P952" s="19"/>
      <c r="Q952" s="12"/>
      <c r="R952" s="12"/>
      <c r="S952" s="12"/>
      <c r="T952" s="12"/>
      <c r="U952" s="19"/>
      <c r="V952" s="12"/>
      <c r="W952" s="12"/>
      <c r="X952" s="12"/>
      <c r="Y952" s="12"/>
      <c r="Z952" s="12"/>
    </row>
    <row r="953">
      <c r="A953" s="18"/>
      <c r="B953" s="12"/>
      <c r="C953" s="12"/>
      <c r="D953" s="12"/>
      <c r="E953" s="12"/>
      <c r="F953" s="12"/>
      <c r="G953" s="12"/>
      <c r="H953" s="12"/>
      <c r="I953" s="12"/>
      <c r="J953" s="12"/>
      <c r="K953" s="12"/>
      <c r="L953" s="19"/>
      <c r="M953" s="19"/>
      <c r="N953" s="19"/>
      <c r="O953" s="19"/>
      <c r="P953" s="19"/>
      <c r="Q953" s="12"/>
      <c r="R953" s="12"/>
      <c r="S953" s="12"/>
      <c r="T953" s="12"/>
      <c r="U953" s="19"/>
      <c r="V953" s="12"/>
      <c r="W953" s="12"/>
      <c r="X953" s="12"/>
      <c r="Y953" s="12"/>
      <c r="Z953" s="12"/>
    </row>
    <row r="954">
      <c r="A954" s="18"/>
      <c r="B954" s="12"/>
      <c r="C954" s="12"/>
      <c r="D954" s="12"/>
      <c r="E954" s="12"/>
      <c r="F954" s="12"/>
      <c r="G954" s="12"/>
      <c r="H954" s="12"/>
      <c r="I954" s="12"/>
      <c r="J954" s="12"/>
      <c r="K954" s="12"/>
      <c r="L954" s="19"/>
      <c r="M954" s="19"/>
      <c r="N954" s="19"/>
      <c r="O954" s="19"/>
      <c r="P954" s="19"/>
      <c r="Q954" s="12"/>
      <c r="R954" s="12"/>
      <c r="S954" s="12"/>
      <c r="T954" s="12"/>
      <c r="U954" s="19"/>
      <c r="V954" s="12"/>
      <c r="W954" s="12"/>
      <c r="X954" s="12"/>
      <c r="Y954" s="12"/>
      <c r="Z954" s="12"/>
    </row>
    <row r="955">
      <c r="A955" s="18"/>
      <c r="B955" s="12"/>
      <c r="C955" s="12"/>
      <c r="D955" s="12"/>
      <c r="E955" s="12"/>
      <c r="F955" s="12"/>
      <c r="G955" s="12"/>
      <c r="H955" s="12"/>
      <c r="I955" s="12"/>
      <c r="J955" s="12"/>
      <c r="K955" s="12"/>
      <c r="L955" s="19"/>
      <c r="M955" s="19"/>
      <c r="N955" s="19"/>
      <c r="O955" s="19"/>
      <c r="P955" s="19"/>
      <c r="Q955" s="12"/>
      <c r="R955" s="12"/>
      <c r="S955" s="12"/>
      <c r="T955" s="12"/>
      <c r="U955" s="19"/>
      <c r="V955" s="12"/>
      <c r="W955" s="12"/>
      <c r="X955" s="12"/>
      <c r="Y955" s="12"/>
      <c r="Z955" s="12"/>
    </row>
    <row r="956">
      <c r="A956" s="18"/>
      <c r="B956" s="12"/>
      <c r="C956" s="12"/>
      <c r="D956" s="12"/>
      <c r="E956" s="12"/>
      <c r="F956" s="12"/>
      <c r="G956" s="12"/>
      <c r="H956" s="12"/>
      <c r="I956" s="12"/>
      <c r="J956" s="12"/>
      <c r="K956" s="12"/>
      <c r="L956" s="19"/>
      <c r="M956" s="19"/>
      <c r="N956" s="19"/>
      <c r="O956" s="19"/>
      <c r="P956" s="19"/>
      <c r="Q956" s="12"/>
      <c r="R956" s="12"/>
      <c r="S956" s="12"/>
      <c r="T956" s="12"/>
      <c r="U956" s="19"/>
      <c r="V956" s="12"/>
      <c r="W956" s="12"/>
      <c r="X956" s="12"/>
      <c r="Y956" s="12"/>
      <c r="Z956" s="12"/>
    </row>
    <row r="957">
      <c r="A957" s="18"/>
      <c r="B957" s="12"/>
      <c r="C957" s="12"/>
      <c r="D957" s="12"/>
      <c r="E957" s="12"/>
      <c r="F957" s="12"/>
      <c r="G957" s="12"/>
      <c r="H957" s="12"/>
      <c r="I957" s="12"/>
      <c r="J957" s="12"/>
      <c r="K957" s="12"/>
      <c r="L957" s="19"/>
      <c r="M957" s="19"/>
      <c r="N957" s="19"/>
      <c r="O957" s="19"/>
      <c r="P957" s="19"/>
      <c r="Q957" s="12"/>
      <c r="R957" s="12"/>
      <c r="S957" s="12"/>
      <c r="T957" s="12"/>
      <c r="U957" s="19"/>
      <c r="V957" s="12"/>
      <c r="W957" s="12"/>
      <c r="X957" s="12"/>
      <c r="Y957" s="12"/>
      <c r="Z957" s="12"/>
    </row>
    <row r="958">
      <c r="A958" s="18"/>
      <c r="B958" s="12"/>
      <c r="C958" s="12"/>
      <c r="D958" s="12"/>
      <c r="E958" s="12"/>
      <c r="F958" s="12"/>
      <c r="G958" s="12"/>
      <c r="H958" s="12"/>
      <c r="I958" s="12"/>
      <c r="J958" s="12"/>
      <c r="K958" s="12"/>
      <c r="L958" s="19"/>
      <c r="M958" s="19"/>
      <c r="N958" s="19"/>
      <c r="O958" s="19"/>
      <c r="P958" s="19"/>
      <c r="Q958" s="12"/>
      <c r="R958" s="12"/>
      <c r="S958" s="12"/>
      <c r="T958" s="12"/>
      <c r="U958" s="19"/>
      <c r="V958" s="12"/>
      <c r="W958" s="12"/>
      <c r="X958" s="12"/>
      <c r="Y958" s="12"/>
      <c r="Z958" s="12"/>
    </row>
    <row r="959">
      <c r="A959" s="18"/>
      <c r="B959" s="12"/>
      <c r="C959" s="12"/>
      <c r="D959" s="12"/>
      <c r="E959" s="12"/>
      <c r="F959" s="12"/>
      <c r="G959" s="12"/>
      <c r="H959" s="12"/>
      <c r="I959" s="12"/>
      <c r="J959" s="12"/>
      <c r="K959" s="12"/>
      <c r="L959" s="19"/>
      <c r="M959" s="19"/>
      <c r="N959" s="19"/>
      <c r="O959" s="19"/>
      <c r="P959" s="19"/>
      <c r="Q959" s="12"/>
      <c r="R959" s="12"/>
      <c r="S959" s="12"/>
      <c r="T959" s="12"/>
      <c r="U959" s="19"/>
      <c r="V959" s="12"/>
      <c r="W959" s="12"/>
      <c r="X959" s="12"/>
      <c r="Y959" s="12"/>
      <c r="Z959" s="12"/>
    </row>
    <row r="960">
      <c r="A960" s="18"/>
      <c r="B960" s="12"/>
      <c r="C960" s="12"/>
      <c r="D960" s="12"/>
      <c r="E960" s="12"/>
      <c r="F960" s="12"/>
      <c r="G960" s="12"/>
      <c r="H960" s="12"/>
      <c r="I960" s="12"/>
      <c r="J960" s="12"/>
      <c r="K960" s="12"/>
      <c r="L960" s="19"/>
      <c r="M960" s="19"/>
      <c r="N960" s="19"/>
      <c r="O960" s="19"/>
      <c r="P960" s="19"/>
      <c r="Q960" s="12"/>
      <c r="R960" s="12"/>
      <c r="S960" s="12"/>
      <c r="T960" s="12"/>
      <c r="U960" s="19"/>
      <c r="V960" s="12"/>
      <c r="W960" s="12"/>
      <c r="X960" s="12"/>
      <c r="Y960" s="12"/>
      <c r="Z960" s="12"/>
    </row>
    <row r="961">
      <c r="A961" s="18"/>
      <c r="B961" s="12"/>
      <c r="C961" s="12"/>
      <c r="D961" s="12"/>
      <c r="E961" s="12"/>
      <c r="F961" s="12"/>
      <c r="G961" s="12"/>
      <c r="H961" s="12"/>
      <c r="I961" s="12"/>
      <c r="J961" s="12"/>
      <c r="K961" s="12"/>
      <c r="L961" s="19"/>
      <c r="M961" s="19"/>
      <c r="N961" s="19"/>
      <c r="O961" s="19"/>
      <c r="P961" s="19"/>
      <c r="Q961" s="12"/>
      <c r="R961" s="12"/>
      <c r="S961" s="12"/>
      <c r="T961" s="12"/>
      <c r="U961" s="19"/>
      <c r="V961" s="12"/>
      <c r="W961" s="12"/>
      <c r="X961" s="12"/>
      <c r="Y961" s="12"/>
      <c r="Z961" s="12"/>
    </row>
    <row r="962">
      <c r="A962" s="18"/>
      <c r="B962" s="12"/>
      <c r="C962" s="12"/>
      <c r="D962" s="12"/>
      <c r="E962" s="12"/>
      <c r="F962" s="12"/>
      <c r="G962" s="12"/>
      <c r="H962" s="12"/>
      <c r="I962" s="12"/>
      <c r="J962" s="12"/>
      <c r="K962" s="12"/>
      <c r="L962" s="19"/>
      <c r="M962" s="19"/>
      <c r="N962" s="19"/>
      <c r="O962" s="19"/>
      <c r="P962" s="19"/>
      <c r="Q962" s="12"/>
      <c r="R962" s="12"/>
      <c r="S962" s="12"/>
      <c r="T962" s="12"/>
      <c r="U962" s="19"/>
      <c r="V962" s="12"/>
      <c r="W962" s="12"/>
      <c r="X962" s="12"/>
      <c r="Y962" s="12"/>
      <c r="Z962" s="12"/>
    </row>
    <row r="963">
      <c r="A963" s="18"/>
      <c r="B963" s="12"/>
      <c r="C963" s="12"/>
      <c r="D963" s="12"/>
      <c r="E963" s="12"/>
      <c r="F963" s="12"/>
      <c r="G963" s="12"/>
      <c r="H963" s="12"/>
      <c r="I963" s="12"/>
      <c r="J963" s="12"/>
      <c r="K963" s="12"/>
      <c r="L963" s="19"/>
      <c r="M963" s="19"/>
      <c r="N963" s="19"/>
      <c r="O963" s="19"/>
      <c r="P963" s="19"/>
      <c r="Q963" s="12"/>
      <c r="R963" s="12"/>
      <c r="S963" s="12"/>
      <c r="T963" s="12"/>
      <c r="U963" s="19"/>
      <c r="V963" s="12"/>
      <c r="W963" s="12"/>
      <c r="X963" s="12"/>
      <c r="Y963" s="12"/>
      <c r="Z963" s="12"/>
    </row>
    <row r="964">
      <c r="A964" s="18"/>
      <c r="B964" s="12"/>
      <c r="C964" s="12"/>
      <c r="D964" s="12"/>
      <c r="E964" s="12"/>
      <c r="F964" s="12"/>
      <c r="G964" s="12"/>
      <c r="H964" s="12"/>
      <c r="I964" s="12"/>
      <c r="J964" s="12"/>
      <c r="K964" s="12"/>
      <c r="L964" s="19"/>
      <c r="M964" s="19"/>
      <c r="N964" s="19"/>
      <c r="O964" s="19"/>
      <c r="P964" s="19"/>
      <c r="Q964" s="12"/>
      <c r="R964" s="12"/>
      <c r="S964" s="12"/>
      <c r="T964" s="12"/>
      <c r="U964" s="19"/>
      <c r="V964" s="12"/>
      <c r="W964" s="12"/>
      <c r="X964" s="12"/>
      <c r="Y964" s="12"/>
      <c r="Z964" s="12"/>
    </row>
    <row r="965">
      <c r="A965" s="18"/>
      <c r="B965" s="12"/>
      <c r="C965" s="12"/>
      <c r="D965" s="12"/>
      <c r="E965" s="12"/>
      <c r="F965" s="12"/>
      <c r="G965" s="12"/>
      <c r="H965" s="12"/>
      <c r="I965" s="12"/>
      <c r="J965" s="12"/>
      <c r="K965" s="12"/>
      <c r="L965" s="19"/>
      <c r="M965" s="19"/>
      <c r="N965" s="19"/>
      <c r="O965" s="19"/>
      <c r="P965" s="19"/>
      <c r="Q965" s="12"/>
      <c r="R965" s="12"/>
      <c r="S965" s="12"/>
      <c r="T965" s="12"/>
      <c r="U965" s="19"/>
      <c r="V965" s="12"/>
      <c r="W965" s="12"/>
      <c r="X965" s="12"/>
      <c r="Y965" s="12"/>
      <c r="Z965" s="12"/>
    </row>
    <row r="966">
      <c r="A966" s="18"/>
      <c r="B966" s="12"/>
      <c r="C966" s="12"/>
      <c r="D966" s="12"/>
      <c r="E966" s="12"/>
      <c r="F966" s="12"/>
      <c r="G966" s="12"/>
      <c r="H966" s="12"/>
      <c r="I966" s="12"/>
      <c r="J966" s="12"/>
      <c r="K966" s="12"/>
      <c r="L966" s="19"/>
      <c r="M966" s="19"/>
      <c r="N966" s="19"/>
      <c r="O966" s="19"/>
      <c r="P966" s="19"/>
      <c r="Q966" s="12"/>
      <c r="R966" s="12"/>
      <c r="S966" s="12"/>
      <c r="T966" s="12"/>
      <c r="U966" s="19"/>
      <c r="V966" s="12"/>
      <c r="W966" s="12"/>
      <c r="X966" s="12"/>
      <c r="Y966" s="12"/>
      <c r="Z966" s="12"/>
    </row>
    <row r="967">
      <c r="A967" s="18"/>
      <c r="B967" s="12"/>
      <c r="C967" s="12"/>
      <c r="D967" s="12"/>
      <c r="E967" s="12"/>
      <c r="F967" s="12"/>
      <c r="G967" s="12"/>
      <c r="H967" s="12"/>
      <c r="I967" s="12"/>
      <c r="J967" s="12"/>
      <c r="K967" s="12"/>
      <c r="L967" s="19"/>
      <c r="M967" s="19"/>
      <c r="N967" s="19"/>
      <c r="O967" s="19"/>
      <c r="P967" s="19"/>
      <c r="Q967" s="12"/>
      <c r="R967" s="12"/>
      <c r="S967" s="12"/>
      <c r="T967" s="12"/>
      <c r="U967" s="19"/>
      <c r="V967" s="12"/>
      <c r="W967" s="12"/>
      <c r="X967" s="12"/>
      <c r="Y967" s="12"/>
      <c r="Z967" s="12"/>
    </row>
    <row r="968">
      <c r="A968" s="18"/>
      <c r="B968" s="12"/>
      <c r="C968" s="12"/>
      <c r="D968" s="12"/>
      <c r="E968" s="12"/>
      <c r="F968" s="12"/>
      <c r="G968" s="12"/>
      <c r="H968" s="12"/>
      <c r="I968" s="12"/>
      <c r="J968" s="12"/>
      <c r="K968" s="12"/>
      <c r="L968" s="19"/>
      <c r="M968" s="19"/>
      <c r="N968" s="19"/>
      <c r="O968" s="19"/>
      <c r="P968" s="19"/>
      <c r="Q968" s="12"/>
      <c r="R968" s="12"/>
      <c r="S968" s="12"/>
      <c r="T968" s="12"/>
      <c r="U968" s="19"/>
      <c r="V968" s="12"/>
      <c r="W968" s="12"/>
      <c r="X968" s="12"/>
      <c r="Y968" s="12"/>
      <c r="Z968" s="12"/>
    </row>
    <row r="969">
      <c r="A969" s="18"/>
      <c r="B969" s="12"/>
      <c r="C969" s="12"/>
      <c r="D969" s="12"/>
      <c r="E969" s="12"/>
      <c r="F969" s="12"/>
      <c r="G969" s="12"/>
      <c r="H969" s="12"/>
      <c r="I969" s="12"/>
      <c r="J969" s="12"/>
      <c r="K969" s="12"/>
      <c r="L969" s="19"/>
      <c r="M969" s="19"/>
      <c r="N969" s="19"/>
      <c r="O969" s="19"/>
      <c r="P969" s="19"/>
      <c r="Q969" s="12"/>
      <c r="R969" s="12"/>
      <c r="S969" s="12"/>
      <c r="T969" s="12"/>
      <c r="U969" s="19"/>
      <c r="V969" s="12"/>
      <c r="W969" s="12"/>
      <c r="X969" s="12"/>
      <c r="Y969" s="12"/>
      <c r="Z969" s="12"/>
    </row>
    <row r="970">
      <c r="A970" s="18"/>
      <c r="B970" s="12"/>
      <c r="C970" s="12"/>
      <c r="D970" s="12"/>
      <c r="E970" s="12"/>
      <c r="F970" s="12"/>
      <c r="G970" s="12"/>
      <c r="H970" s="12"/>
      <c r="I970" s="12"/>
      <c r="J970" s="12"/>
      <c r="K970" s="12"/>
      <c r="L970" s="19"/>
      <c r="M970" s="19"/>
      <c r="N970" s="19"/>
      <c r="O970" s="19"/>
      <c r="P970" s="19"/>
      <c r="Q970" s="12"/>
      <c r="R970" s="12"/>
      <c r="S970" s="12"/>
      <c r="T970" s="12"/>
      <c r="U970" s="19"/>
      <c r="V970" s="12"/>
      <c r="W970" s="12"/>
      <c r="X970" s="12"/>
      <c r="Y970" s="12"/>
      <c r="Z970" s="12"/>
    </row>
    <row r="971">
      <c r="A971" s="18"/>
      <c r="B971" s="12"/>
      <c r="C971" s="12"/>
      <c r="D971" s="12"/>
      <c r="E971" s="12"/>
      <c r="F971" s="12"/>
      <c r="G971" s="12"/>
      <c r="H971" s="12"/>
      <c r="I971" s="12"/>
      <c r="J971" s="12"/>
      <c r="K971" s="12"/>
      <c r="L971" s="19"/>
      <c r="M971" s="19"/>
      <c r="N971" s="19"/>
      <c r="O971" s="19"/>
      <c r="P971" s="19"/>
      <c r="Q971" s="12"/>
      <c r="R971" s="12"/>
      <c r="S971" s="12"/>
      <c r="T971" s="12"/>
      <c r="U971" s="19"/>
      <c r="V971" s="12"/>
      <c r="W971" s="12"/>
      <c r="X971" s="12"/>
      <c r="Y971" s="12"/>
      <c r="Z971" s="12"/>
    </row>
    <row r="972">
      <c r="A972" s="18"/>
      <c r="B972" s="12"/>
      <c r="C972" s="12"/>
      <c r="D972" s="12"/>
      <c r="E972" s="12"/>
      <c r="F972" s="12"/>
      <c r="G972" s="12"/>
      <c r="H972" s="12"/>
      <c r="I972" s="12"/>
      <c r="J972" s="12"/>
      <c r="K972" s="12"/>
      <c r="L972" s="19"/>
      <c r="M972" s="19"/>
      <c r="N972" s="19"/>
      <c r="O972" s="19"/>
      <c r="P972" s="19"/>
      <c r="Q972" s="12"/>
      <c r="R972" s="12"/>
      <c r="S972" s="12"/>
      <c r="T972" s="12"/>
      <c r="U972" s="19"/>
      <c r="V972" s="12"/>
      <c r="W972" s="12"/>
      <c r="X972" s="12"/>
      <c r="Y972" s="12"/>
      <c r="Z972" s="12"/>
    </row>
    <row r="973">
      <c r="A973" s="18"/>
      <c r="B973" s="12"/>
      <c r="C973" s="12"/>
      <c r="D973" s="12"/>
      <c r="E973" s="12"/>
      <c r="F973" s="12"/>
      <c r="G973" s="12"/>
      <c r="H973" s="12"/>
      <c r="I973" s="12"/>
      <c r="J973" s="12"/>
      <c r="K973" s="12"/>
      <c r="L973" s="19"/>
      <c r="M973" s="19"/>
      <c r="N973" s="19"/>
      <c r="O973" s="19"/>
      <c r="P973" s="19"/>
      <c r="Q973" s="12"/>
      <c r="R973" s="12"/>
      <c r="S973" s="12"/>
      <c r="T973" s="12"/>
      <c r="U973" s="19"/>
      <c r="V973" s="12"/>
      <c r="W973" s="12"/>
      <c r="X973" s="12"/>
      <c r="Y973" s="12"/>
      <c r="Z973" s="12"/>
    </row>
    <row r="974">
      <c r="A974" s="18"/>
      <c r="B974" s="12"/>
      <c r="C974" s="12"/>
      <c r="D974" s="12"/>
      <c r="E974" s="12"/>
      <c r="F974" s="12"/>
      <c r="G974" s="12"/>
      <c r="H974" s="12"/>
      <c r="I974" s="12"/>
      <c r="J974" s="12"/>
      <c r="K974" s="12"/>
      <c r="L974" s="19"/>
      <c r="M974" s="19"/>
      <c r="N974" s="19"/>
      <c r="O974" s="19"/>
      <c r="P974" s="19"/>
      <c r="Q974" s="12"/>
      <c r="R974" s="12"/>
      <c r="S974" s="12"/>
      <c r="T974" s="12"/>
      <c r="U974" s="19"/>
      <c r="V974" s="12"/>
      <c r="W974" s="12"/>
      <c r="X974" s="12"/>
      <c r="Y974" s="12"/>
      <c r="Z974" s="12"/>
    </row>
    <row r="975">
      <c r="A975" s="18"/>
      <c r="B975" s="12"/>
      <c r="C975" s="12"/>
      <c r="D975" s="12"/>
      <c r="E975" s="12"/>
      <c r="F975" s="12"/>
      <c r="G975" s="12"/>
      <c r="H975" s="12"/>
      <c r="I975" s="12"/>
      <c r="J975" s="12"/>
      <c r="K975" s="12"/>
      <c r="L975" s="19"/>
      <c r="M975" s="19"/>
      <c r="N975" s="19"/>
      <c r="O975" s="19"/>
      <c r="P975" s="19"/>
      <c r="Q975" s="12"/>
      <c r="R975" s="12"/>
      <c r="S975" s="12"/>
      <c r="T975" s="12"/>
      <c r="U975" s="19"/>
      <c r="V975" s="12"/>
      <c r="W975" s="12"/>
      <c r="X975" s="12"/>
      <c r="Y975" s="12"/>
      <c r="Z975" s="12"/>
    </row>
    <row r="976">
      <c r="A976" s="18"/>
      <c r="B976" s="12"/>
      <c r="C976" s="12"/>
      <c r="D976" s="12"/>
      <c r="E976" s="12"/>
      <c r="F976" s="12"/>
      <c r="G976" s="12"/>
      <c r="H976" s="12"/>
      <c r="I976" s="12"/>
      <c r="J976" s="12"/>
      <c r="K976" s="12"/>
      <c r="L976" s="19"/>
      <c r="M976" s="19"/>
      <c r="N976" s="19"/>
      <c r="O976" s="19"/>
      <c r="P976" s="19"/>
      <c r="Q976" s="12"/>
      <c r="R976" s="12"/>
      <c r="S976" s="12"/>
      <c r="T976" s="12"/>
      <c r="U976" s="19"/>
      <c r="V976" s="12"/>
      <c r="W976" s="12"/>
      <c r="X976" s="12"/>
      <c r="Y976" s="12"/>
      <c r="Z976" s="12"/>
    </row>
    <row r="977">
      <c r="A977" s="18"/>
      <c r="B977" s="12"/>
      <c r="C977" s="12"/>
      <c r="D977" s="12"/>
      <c r="E977" s="12"/>
      <c r="F977" s="12"/>
      <c r="G977" s="12"/>
      <c r="H977" s="12"/>
      <c r="I977" s="12"/>
      <c r="J977" s="12"/>
      <c r="K977" s="12"/>
      <c r="L977" s="19"/>
      <c r="M977" s="19"/>
      <c r="N977" s="19"/>
      <c r="O977" s="19"/>
      <c r="P977" s="19"/>
      <c r="Q977" s="12"/>
      <c r="R977" s="12"/>
      <c r="S977" s="12"/>
      <c r="T977" s="12"/>
      <c r="U977" s="19"/>
      <c r="V977" s="12"/>
      <c r="W977" s="12"/>
      <c r="X977" s="12"/>
      <c r="Y977" s="12"/>
      <c r="Z977" s="12"/>
    </row>
    <row r="978">
      <c r="A978" s="18"/>
      <c r="B978" s="12"/>
      <c r="C978" s="12"/>
      <c r="D978" s="12"/>
      <c r="E978" s="12"/>
      <c r="F978" s="12"/>
      <c r="G978" s="12"/>
      <c r="H978" s="12"/>
      <c r="I978" s="12"/>
      <c r="J978" s="12"/>
      <c r="K978" s="12"/>
      <c r="L978" s="19"/>
      <c r="M978" s="19"/>
      <c r="N978" s="19"/>
      <c r="O978" s="19"/>
      <c r="P978" s="19"/>
      <c r="Q978" s="12"/>
      <c r="R978" s="12"/>
      <c r="S978" s="12"/>
      <c r="T978" s="12"/>
      <c r="U978" s="19"/>
      <c r="V978" s="12"/>
      <c r="W978" s="12"/>
      <c r="X978" s="12"/>
      <c r="Y978" s="12"/>
      <c r="Z978" s="12"/>
    </row>
    <row r="979">
      <c r="A979" s="18"/>
      <c r="B979" s="12"/>
      <c r="C979" s="12"/>
      <c r="D979" s="12"/>
      <c r="E979" s="12"/>
      <c r="F979" s="12"/>
      <c r="G979" s="12"/>
      <c r="H979" s="12"/>
      <c r="I979" s="12"/>
      <c r="J979" s="12"/>
      <c r="K979" s="12"/>
      <c r="L979" s="19"/>
      <c r="M979" s="19"/>
      <c r="N979" s="19"/>
      <c r="O979" s="19"/>
      <c r="P979" s="19"/>
      <c r="Q979" s="12"/>
      <c r="R979" s="12"/>
      <c r="S979" s="12"/>
      <c r="T979" s="12"/>
      <c r="U979" s="19"/>
      <c r="V979" s="12"/>
      <c r="W979" s="12"/>
      <c r="X979" s="12"/>
      <c r="Y979" s="12"/>
      <c r="Z979" s="12"/>
    </row>
    <row r="980">
      <c r="A980" s="18"/>
      <c r="B980" s="12"/>
      <c r="C980" s="12"/>
      <c r="D980" s="12"/>
      <c r="E980" s="12"/>
      <c r="F980" s="12"/>
      <c r="G980" s="12"/>
      <c r="H980" s="12"/>
      <c r="I980" s="12"/>
      <c r="J980" s="12"/>
      <c r="K980" s="12"/>
      <c r="L980" s="19"/>
      <c r="M980" s="19"/>
      <c r="N980" s="19"/>
      <c r="O980" s="19"/>
      <c r="P980" s="19"/>
      <c r="Q980" s="12"/>
      <c r="R980" s="12"/>
      <c r="S980" s="12"/>
      <c r="T980" s="12"/>
      <c r="U980" s="19"/>
      <c r="V980" s="12"/>
      <c r="W980" s="12"/>
      <c r="X980" s="12"/>
      <c r="Y980" s="12"/>
      <c r="Z980" s="12"/>
    </row>
    <row r="981">
      <c r="A981" s="18"/>
      <c r="B981" s="12"/>
      <c r="C981" s="12"/>
      <c r="D981" s="12"/>
      <c r="E981" s="12"/>
      <c r="F981" s="12"/>
      <c r="G981" s="12"/>
      <c r="H981" s="12"/>
      <c r="I981" s="12"/>
      <c r="J981" s="12"/>
      <c r="K981" s="12"/>
      <c r="L981" s="19"/>
      <c r="M981" s="19"/>
      <c r="N981" s="19"/>
      <c r="O981" s="19"/>
      <c r="P981" s="19"/>
      <c r="Q981" s="12"/>
      <c r="R981" s="12"/>
      <c r="S981" s="12"/>
      <c r="T981" s="12"/>
      <c r="U981" s="19"/>
      <c r="V981" s="12"/>
      <c r="W981" s="12"/>
      <c r="X981" s="12"/>
      <c r="Y981" s="12"/>
      <c r="Z981" s="12"/>
    </row>
    <row r="982">
      <c r="A982" s="18"/>
      <c r="B982" s="12"/>
      <c r="C982" s="12"/>
      <c r="D982" s="12"/>
      <c r="E982" s="12"/>
      <c r="F982" s="12"/>
      <c r="G982" s="12"/>
      <c r="H982" s="12"/>
      <c r="I982" s="12"/>
      <c r="J982" s="12"/>
      <c r="K982" s="12"/>
      <c r="L982" s="19"/>
      <c r="M982" s="19"/>
      <c r="N982" s="19"/>
      <c r="O982" s="19"/>
      <c r="P982" s="19"/>
      <c r="Q982" s="12"/>
      <c r="R982" s="12"/>
      <c r="S982" s="12"/>
      <c r="T982" s="12"/>
      <c r="U982" s="19"/>
      <c r="V982" s="12"/>
      <c r="W982" s="12"/>
      <c r="X982" s="12"/>
      <c r="Y982" s="12"/>
      <c r="Z982" s="12"/>
    </row>
    <row r="983">
      <c r="A983" s="18"/>
      <c r="B983" s="12"/>
      <c r="C983" s="12"/>
      <c r="D983" s="12"/>
      <c r="E983" s="12"/>
      <c r="F983" s="12"/>
      <c r="G983" s="12"/>
      <c r="H983" s="12"/>
      <c r="I983" s="12"/>
      <c r="J983" s="12"/>
      <c r="K983" s="12"/>
      <c r="L983" s="19"/>
      <c r="M983" s="19"/>
      <c r="N983" s="19"/>
      <c r="O983" s="19"/>
      <c r="P983" s="19"/>
      <c r="Q983" s="12"/>
      <c r="R983" s="12"/>
      <c r="S983" s="12"/>
      <c r="T983" s="12"/>
      <c r="U983" s="19"/>
      <c r="V983" s="12"/>
      <c r="W983" s="12"/>
      <c r="X983" s="12"/>
      <c r="Y983" s="12"/>
      <c r="Z983" s="12"/>
    </row>
    <row r="984">
      <c r="A984" s="18"/>
      <c r="B984" s="12"/>
      <c r="C984" s="12"/>
      <c r="D984" s="12"/>
      <c r="E984" s="12"/>
      <c r="F984" s="12"/>
      <c r="G984" s="12"/>
      <c r="H984" s="12"/>
      <c r="I984" s="12"/>
      <c r="J984" s="12"/>
      <c r="K984" s="12"/>
      <c r="L984" s="19"/>
      <c r="M984" s="19"/>
      <c r="N984" s="19"/>
      <c r="O984" s="19"/>
      <c r="P984" s="19"/>
      <c r="Q984" s="12"/>
      <c r="R984" s="12"/>
      <c r="S984" s="12"/>
      <c r="T984" s="12"/>
      <c r="U984" s="19"/>
      <c r="V984" s="12"/>
      <c r="W984" s="12"/>
      <c r="X984" s="12"/>
      <c r="Y984" s="12"/>
      <c r="Z984" s="12"/>
    </row>
    <row r="985">
      <c r="A985" s="18"/>
      <c r="B985" s="12"/>
      <c r="C985" s="12"/>
      <c r="D985" s="12"/>
      <c r="E985" s="12"/>
      <c r="F985" s="12"/>
      <c r="G985" s="12"/>
      <c r="H985" s="12"/>
      <c r="I985" s="12"/>
      <c r="J985" s="12"/>
      <c r="K985" s="12"/>
      <c r="L985" s="19"/>
      <c r="M985" s="19"/>
      <c r="N985" s="19"/>
      <c r="O985" s="19"/>
      <c r="P985" s="19"/>
      <c r="Q985" s="12"/>
      <c r="R985" s="12"/>
      <c r="S985" s="12"/>
      <c r="T985" s="12"/>
      <c r="U985" s="19"/>
      <c r="V985" s="12"/>
      <c r="W985" s="12"/>
      <c r="X985" s="12"/>
      <c r="Y985" s="12"/>
      <c r="Z985" s="12"/>
    </row>
    <row r="986">
      <c r="A986" s="18"/>
      <c r="B986" s="12"/>
      <c r="C986" s="12"/>
      <c r="D986" s="12"/>
      <c r="E986" s="12"/>
      <c r="F986" s="12"/>
      <c r="G986" s="12"/>
      <c r="H986" s="12"/>
      <c r="I986" s="12"/>
      <c r="J986" s="12"/>
      <c r="K986" s="12"/>
      <c r="L986" s="19"/>
      <c r="M986" s="19"/>
      <c r="N986" s="19"/>
      <c r="O986" s="19"/>
      <c r="P986" s="19"/>
      <c r="Q986" s="12"/>
      <c r="R986" s="12"/>
      <c r="S986" s="12"/>
      <c r="T986" s="12"/>
      <c r="U986" s="19"/>
      <c r="V986" s="12"/>
      <c r="W986" s="12"/>
      <c r="X986" s="12"/>
      <c r="Y986" s="12"/>
      <c r="Z986" s="12"/>
    </row>
    <row r="987">
      <c r="A987" s="18"/>
      <c r="B987" s="12"/>
      <c r="C987" s="12"/>
      <c r="D987" s="12"/>
      <c r="E987" s="12"/>
      <c r="F987" s="12"/>
      <c r="G987" s="12"/>
      <c r="H987" s="12"/>
      <c r="I987" s="12"/>
      <c r="J987" s="12"/>
      <c r="K987" s="12"/>
      <c r="L987" s="19"/>
      <c r="M987" s="19"/>
      <c r="N987" s="19"/>
      <c r="O987" s="19"/>
      <c r="P987" s="19"/>
      <c r="Q987" s="12"/>
      <c r="R987" s="12"/>
      <c r="S987" s="12"/>
      <c r="T987" s="12"/>
      <c r="U987" s="19"/>
      <c r="V987" s="12"/>
      <c r="W987" s="12"/>
      <c r="X987" s="12"/>
      <c r="Y987" s="12"/>
      <c r="Z987" s="12"/>
    </row>
    <row r="988">
      <c r="A988" s="18"/>
      <c r="B988" s="12"/>
      <c r="C988" s="12"/>
      <c r="D988" s="12"/>
      <c r="E988" s="12"/>
      <c r="F988" s="12"/>
      <c r="G988" s="12"/>
      <c r="H988" s="12"/>
      <c r="I988" s="12"/>
      <c r="J988" s="12"/>
      <c r="K988" s="12"/>
      <c r="L988" s="19"/>
      <c r="M988" s="19"/>
      <c r="N988" s="19"/>
      <c r="O988" s="19"/>
      <c r="P988" s="19"/>
      <c r="Q988" s="12"/>
      <c r="R988" s="12"/>
      <c r="S988" s="12"/>
      <c r="T988" s="12"/>
      <c r="U988" s="19"/>
      <c r="V988" s="12"/>
      <c r="W988" s="12"/>
      <c r="X988" s="12"/>
      <c r="Y988" s="12"/>
      <c r="Z988" s="12"/>
    </row>
    <row r="989">
      <c r="A989" s="18"/>
      <c r="B989" s="12"/>
      <c r="C989" s="12"/>
      <c r="D989" s="12"/>
      <c r="E989" s="12"/>
      <c r="F989" s="12"/>
      <c r="G989" s="12"/>
      <c r="H989" s="12"/>
      <c r="I989" s="12"/>
      <c r="J989" s="12"/>
      <c r="K989" s="12"/>
      <c r="L989" s="19"/>
      <c r="M989" s="19"/>
      <c r="N989" s="19"/>
      <c r="O989" s="19"/>
      <c r="P989" s="19"/>
      <c r="Q989" s="12"/>
      <c r="R989" s="12"/>
      <c r="S989" s="12"/>
      <c r="T989" s="12"/>
      <c r="U989" s="19"/>
      <c r="V989" s="12"/>
      <c r="W989" s="12"/>
      <c r="X989" s="12"/>
      <c r="Y989" s="12"/>
      <c r="Z989" s="12"/>
    </row>
    <row r="990">
      <c r="A990" s="18"/>
      <c r="B990" s="12"/>
      <c r="C990" s="12"/>
      <c r="D990" s="12"/>
      <c r="E990" s="12"/>
      <c r="F990" s="12"/>
      <c r="G990" s="12"/>
      <c r="H990" s="12"/>
      <c r="I990" s="12"/>
      <c r="J990" s="12"/>
      <c r="K990" s="12"/>
      <c r="L990" s="19"/>
      <c r="M990" s="19"/>
      <c r="N990" s="19"/>
      <c r="O990" s="19"/>
      <c r="P990" s="19"/>
      <c r="Q990" s="12"/>
      <c r="R990" s="12"/>
      <c r="S990" s="12"/>
      <c r="T990" s="12"/>
      <c r="U990" s="19"/>
      <c r="V990" s="12"/>
      <c r="W990" s="12"/>
      <c r="X990" s="12"/>
      <c r="Y990" s="12"/>
      <c r="Z990" s="12"/>
    </row>
    <row r="991">
      <c r="A991" s="18"/>
      <c r="B991" s="12"/>
      <c r="C991" s="12"/>
      <c r="D991" s="12"/>
      <c r="E991" s="12"/>
      <c r="F991" s="12"/>
      <c r="G991" s="12"/>
      <c r="H991" s="12"/>
      <c r="I991" s="12"/>
      <c r="J991" s="12"/>
      <c r="K991" s="12"/>
      <c r="L991" s="19"/>
      <c r="M991" s="19"/>
      <c r="N991" s="19"/>
      <c r="O991" s="19"/>
      <c r="P991" s="19"/>
      <c r="Q991" s="12"/>
      <c r="R991" s="12"/>
      <c r="S991" s="12"/>
      <c r="T991" s="12"/>
      <c r="U991" s="19"/>
      <c r="V991" s="12"/>
      <c r="W991" s="12"/>
      <c r="X991" s="12"/>
      <c r="Y991" s="12"/>
      <c r="Z991" s="12"/>
    </row>
    <row r="992">
      <c r="A992" s="18"/>
      <c r="B992" s="12"/>
      <c r="C992" s="12"/>
      <c r="D992" s="12"/>
      <c r="E992" s="12"/>
      <c r="F992" s="12"/>
      <c r="G992" s="12"/>
      <c r="H992" s="12"/>
      <c r="I992" s="12"/>
      <c r="J992" s="12"/>
      <c r="K992" s="12"/>
      <c r="L992" s="19"/>
      <c r="M992" s="19"/>
      <c r="N992" s="19"/>
      <c r="O992" s="19"/>
      <c r="P992" s="19"/>
      <c r="Q992" s="12"/>
      <c r="R992" s="12"/>
      <c r="S992" s="12"/>
      <c r="T992" s="12"/>
      <c r="U992" s="19"/>
      <c r="V992" s="12"/>
      <c r="W992" s="12"/>
      <c r="X992" s="12"/>
      <c r="Y992" s="12"/>
      <c r="Z992" s="12"/>
    </row>
    <row r="993">
      <c r="A993" s="18"/>
      <c r="B993" s="12"/>
      <c r="C993" s="12"/>
      <c r="D993" s="12"/>
      <c r="E993" s="12"/>
      <c r="F993" s="12"/>
      <c r="G993" s="12"/>
      <c r="H993" s="12"/>
      <c r="I993" s="12"/>
      <c r="J993" s="12"/>
      <c r="K993" s="12"/>
      <c r="L993" s="19"/>
      <c r="M993" s="19"/>
      <c r="N993" s="19"/>
      <c r="O993" s="19"/>
      <c r="P993" s="19"/>
      <c r="Q993" s="12"/>
      <c r="R993" s="12"/>
      <c r="S993" s="12"/>
      <c r="T993" s="12"/>
      <c r="U993" s="19"/>
      <c r="V993" s="12"/>
      <c r="W993" s="12"/>
      <c r="X993" s="12"/>
      <c r="Y993" s="12"/>
      <c r="Z993" s="12"/>
    </row>
    <row r="994">
      <c r="A994" s="18"/>
      <c r="B994" s="12"/>
      <c r="C994" s="12"/>
      <c r="D994" s="12"/>
      <c r="E994" s="12"/>
      <c r="F994" s="12"/>
      <c r="G994" s="12"/>
      <c r="H994" s="12"/>
      <c r="I994" s="12"/>
      <c r="J994" s="12"/>
      <c r="K994" s="12"/>
      <c r="L994" s="19"/>
      <c r="M994" s="19"/>
      <c r="N994" s="19"/>
      <c r="O994" s="19"/>
      <c r="P994" s="19"/>
      <c r="Q994" s="12"/>
      <c r="R994" s="12"/>
      <c r="S994" s="12"/>
      <c r="T994" s="12"/>
      <c r="U994" s="19"/>
      <c r="V994" s="12"/>
      <c r="W994" s="12"/>
      <c r="X994" s="12"/>
      <c r="Y994" s="12"/>
      <c r="Z994" s="12"/>
    </row>
    <row r="995">
      <c r="A995" s="18"/>
      <c r="B995" s="12"/>
      <c r="C995" s="12"/>
      <c r="D995" s="12"/>
      <c r="E995" s="12"/>
      <c r="F995" s="12"/>
      <c r="G995" s="12"/>
      <c r="H995" s="12"/>
      <c r="I995" s="12"/>
      <c r="J995" s="12"/>
      <c r="K995" s="12"/>
      <c r="L995" s="19"/>
      <c r="M995" s="19"/>
      <c r="N995" s="19"/>
      <c r="O995" s="19"/>
      <c r="P995" s="19"/>
      <c r="Q995" s="12"/>
      <c r="R995" s="12"/>
      <c r="S995" s="12"/>
      <c r="T995" s="12"/>
      <c r="U995" s="19"/>
      <c r="V995" s="12"/>
      <c r="W995" s="12"/>
      <c r="X995" s="12"/>
      <c r="Y995" s="12"/>
      <c r="Z995" s="12"/>
    </row>
    <row r="996">
      <c r="A996" s="18"/>
      <c r="B996" s="12"/>
      <c r="C996" s="12"/>
      <c r="D996" s="12"/>
      <c r="E996" s="12"/>
      <c r="F996" s="12"/>
      <c r="G996" s="12"/>
      <c r="H996" s="12"/>
      <c r="I996" s="12"/>
      <c r="J996" s="12"/>
      <c r="K996" s="12"/>
      <c r="L996" s="19"/>
      <c r="M996" s="19"/>
      <c r="N996" s="19"/>
      <c r="O996" s="19"/>
      <c r="P996" s="19"/>
      <c r="Q996" s="12"/>
      <c r="R996" s="12"/>
      <c r="S996" s="12"/>
      <c r="T996" s="12"/>
      <c r="U996" s="19"/>
      <c r="V996" s="12"/>
      <c r="W996" s="12"/>
      <c r="X996" s="12"/>
      <c r="Y996" s="12"/>
      <c r="Z996" s="12"/>
    </row>
    <row r="997">
      <c r="A997" s="18"/>
      <c r="B997" s="12"/>
      <c r="C997" s="12"/>
      <c r="D997" s="12"/>
      <c r="E997" s="12"/>
      <c r="F997" s="12"/>
      <c r="G997" s="12"/>
      <c r="H997" s="12"/>
      <c r="I997" s="12"/>
      <c r="J997" s="12"/>
      <c r="K997" s="12"/>
      <c r="L997" s="19"/>
      <c r="M997" s="19"/>
      <c r="N997" s="19"/>
      <c r="O997" s="19"/>
      <c r="P997" s="19"/>
      <c r="Q997" s="12"/>
      <c r="R997" s="12"/>
      <c r="S997" s="12"/>
      <c r="T997" s="12"/>
      <c r="U997" s="19"/>
      <c r="V997" s="12"/>
      <c r="W997" s="12"/>
      <c r="X997" s="12"/>
      <c r="Y997" s="12"/>
      <c r="Z997" s="12"/>
    </row>
    <row r="998">
      <c r="A998" s="18"/>
      <c r="B998" s="12"/>
      <c r="C998" s="12"/>
      <c r="D998" s="12"/>
      <c r="E998" s="12"/>
      <c r="F998" s="12"/>
      <c r="G998" s="12"/>
      <c r="H998" s="12"/>
      <c r="I998" s="12"/>
      <c r="J998" s="12"/>
      <c r="K998" s="12"/>
      <c r="L998" s="19"/>
      <c r="M998" s="19"/>
      <c r="N998" s="19"/>
      <c r="O998" s="19"/>
      <c r="P998" s="19"/>
      <c r="Q998" s="12"/>
      <c r="R998" s="12"/>
      <c r="S998" s="12"/>
      <c r="T998" s="12"/>
      <c r="U998" s="19"/>
      <c r="V998" s="12"/>
      <c r="W998" s="12"/>
      <c r="X998" s="12"/>
      <c r="Y998" s="12"/>
      <c r="Z998" s="12"/>
    </row>
    <row r="999">
      <c r="A999" s="18"/>
      <c r="B999" s="12"/>
      <c r="C999" s="12"/>
      <c r="D999" s="12"/>
      <c r="E999" s="12"/>
      <c r="F999" s="12"/>
      <c r="G999" s="12"/>
      <c r="H999" s="12"/>
      <c r="I999" s="12"/>
      <c r="J999" s="12"/>
      <c r="K999" s="12"/>
      <c r="L999" s="19"/>
      <c r="M999" s="19"/>
      <c r="N999" s="19"/>
      <c r="O999" s="19"/>
      <c r="P999" s="19"/>
      <c r="Q999" s="12"/>
      <c r="R999" s="12"/>
      <c r="S999" s="12"/>
      <c r="T999" s="12"/>
      <c r="U999" s="19"/>
      <c r="V999" s="12"/>
      <c r="W999" s="12"/>
      <c r="X999" s="12"/>
      <c r="Y999" s="12"/>
      <c r="Z999" s="12"/>
    </row>
    <row r="1000">
      <c r="A1000" s="18"/>
      <c r="B1000" s="12"/>
      <c r="C1000" s="12"/>
      <c r="D1000" s="12"/>
      <c r="E1000" s="12"/>
      <c r="F1000" s="12"/>
      <c r="G1000" s="12"/>
      <c r="H1000" s="12"/>
      <c r="I1000" s="12"/>
      <c r="J1000" s="12"/>
      <c r="K1000" s="12"/>
      <c r="L1000" s="19"/>
      <c r="M1000" s="19"/>
      <c r="N1000" s="19"/>
      <c r="O1000" s="19"/>
      <c r="P1000" s="19"/>
      <c r="Q1000" s="12"/>
      <c r="R1000" s="12"/>
      <c r="S1000" s="12"/>
      <c r="T1000" s="12"/>
      <c r="U1000" s="19"/>
      <c r="V1000" s="12"/>
      <c r="W1000" s="12"/>
      <c r="X1000" s="12"/>
      <c r="Y1000" s="12"/>
      <c r="Z1000" s="12"/>
    </row>
    <row r="1001">
      <c r="A1001" s="18"/>
      <c r="B1001" s="12"/>
      <c r="C1001" s="12"/>
      <c r="D1001" s="12"/>
      <c r="E1001" s="12"/>
      <c r="F1001" s="12"/>
      <c r="G1001" s="12"/>
      <c r="H1001" s="12"/>
      <c r="I1001" s="12"/>
      <c r="J1001" s="12"/>
      <c r="K1001" s="12"/>
      <c r="L1001" s="19"/>
      <c r="M1001" s="19"/>
      <c r="N1001" s="19"/>
      <c r="O1001" s="19"/>
      <c r="P1001" s="19"/>
      <c r="Q1001" s="12"/>
      <c r="R1001" s="12"/>
      <c r="S1001" s="12"/>
      <c r="T1001" s="12"/>
      <c r="U1001" s="19"/>
      <c r="V1001" s="12"/>
      <c r="W1001" s="12"/>
      <c r="X1001" s="12"/>
      <c r="Y1001" s="12"/>
      <c r="Z1001" s="12"/>
    </row>
    <row r="1002">
      <c r="A1002" s="18"/>
      <c r="B1002" s="12"/>
      <c r="C1002" s="12"/>
      <c r="D1002" s="12"/>
      <c r="E1002" s="12"/>
      <c r="F1002" s="12"/>
      <c r="G1002" s="12"/>
      <c r="H1002" s="12"/>
      <c r="I1002" s="12"/>
      <c r="J1002" s="12"/>
      <c r="K1002" s="12"/>
      <c r="L1002" s="19"/>
      <c r="M1002" s="19"/>
      <c r="N1002" s="19"/>
      <c r="O1002" s="19"/>
      <c r="P1002" s="19"/>
      <c r="Q1002" s="12"/>
      <c r="R1002" s="12"/>
      <c r="S1002" s="12"/>
      <c r="T1002" s="12"/>
      <c r="U1002" s="19"/>
      <c r="V1002" s="12"/>
      <c r="W1002" s="12"/>
      <c r="X1002" s="12"/>
      <c r="Y1002" s="12"/>
      <c r="Z1002" s="12"/>
    </row>
    <row r="1003">
      <c r="A1003" s="18"/>
      <c r="B1003" s="12"/>
      <c r="C1003" s="12"/>
      <c r="D1003" s="12"/>
      <c r="E1003" s="12"/>
      <c r="F1003" s="12"/>
      <c r="G1003" s="12"/>
      <c r="H1003" s="12"/>
      <c r="I1003" s="12"/>
      <c r="J1003" s="12"/>
      <c r="K1003" s="12"/>
      <c r="L1003" s="19"/>
      <c r="M1003" s="19"/>
      <c r="N1003" s="19"/>
      <c r="O1003" s="19"/>
      <c r="P1003" s="19"/>
      <c r="Q1003" s="12"/>
      <c r="R1003" s="12"/>
      <c r="S1003" s="12"/>
      <c r="T1003" s="12"/>
      <c r="U1003" s="19"/>
      <c r="V1003" s="12"/>
      <c r="W1003" s="12"/>
      <c r="X1003" s="12"/>
      <c r="Y1003" s="12"/>
      <c r="Z1003" s="12"/>
    </row>
    <row r="1004">
      <c r="A1004" s="18"/>
      <c r="B1004" s="12"/>
      <c r="C1004" s="12"/>
      <c r="D1004" s="12"/>
      <c r="E1004" s="12"/>
      <c r="F1004" s="12"/>
      <c r="G1004" s="12"/>
      <c r="H1004" s="12"/>
      <c r="I1004" s="12"/>
      <c r="J1004" s="12"/>
      <c r="K1004" s="12"/>
      <c r="L1004" s="19"/>
      <c r="M1004" s="19"/>
      <c r="N1004" s="19"/>
      <c r="O1004" s="19"/>
      <c r="P1004" s="19"/>
      <c r="Q1004" s="12"/>
      <c r="R1004" s="12"/>
      <c r="S1004" s="12"/>
      <c r="T1004" s="12"/>
      <c r="U1004" s="19"/>
      <c r="V1004" s="12"/>
      <c r="W1004" s="12"/>
      <c r="X1004" s="12"/>
      <c r="Y1004" s="12"/>
      <c r="Z1004" s="12"/>
    </row>
    <row r="1005">
      <c r="A1005" s="18"/>
      <c r="B1005" s="12"/>
      <c r="C1005" s="12"/>
      <c r="D1005" s="12"/>
      <c r="E1005" s="12"/>
      <c r="F1005" s="12"/>
      <c r="G1005" s="12"/>
      <c r="H1005" s="12"/>
      <c r="I1005" s="12"/>
      <c r="J1005" s="12"/>
      <c r="K1005" s="12"/>
      <c r="L1005" s="19"/>
      <c r="M1005" s="19"/>
      <c r="N1005" s="19"/>
      <c r="O1005" s="19"/>
      <c r="P1005" s="19"/>
      <c r="Q1005" s="12"/>
      <c r="R1005" s="12"/>
      <c r="S1005" s="12"/>
      <c r="T1005" s="12"/>
      <c r="U1005" s="19"/>
      <c r="V1005" s="12"/>
      <c r="W1005" s="12"/>
      <c r="X1005" s="12"/>
      <c r="Y1005" s="12"/>
      <c r="Z1005" s="12"/>
    </row>
    <row r="1006">
      <c r="A1006" s="18"/>
      <c r="B1006" s="12"/>
      <c r="C1006" s="12"/>
      <c r="D1006" s="12"/>
      <c r="E1006" s="12"/>
      <c r="F1006" s="12"/>
      <c r="G1006" s="12"/>
      <c r="H1006" s="12"/>
      <c r="I1006" s="12"/>
      <c r="J1006" s="12"/>
      <c r="K1006" s="12"/>
      <c r="L1006" s="19"/>
      <c r="M1006" s="19"/>
      <c r="N1006" s="19"/>
      <c r="O1006" s="19"/>
      <c r="P1006" s="19"/>
      <c r="Q1006" s="12"/>
      <c r="R1006" s="12"/>
      <c r="S1006" s="12"/>
      <c r="T1006" s="12"/>
      <c r="U1006" s="19"/>
      <c r="V1006" s="12"/>
      <c r="W1006" s="12"/>
      <c r="X1006" s="12"/>
      <c r="Y1006" s="12"/>
      <c r="Z1006" s="12"/>
    </row>
    <row r="1007">
      <c r="A1007" s="18"/>
      <c r="B1007" s="12"/>
      <c r="C1007" s="12"/>
      <c r="D1007" s="12"/>
      <c r="E1007" s="12"/>
      <c r="F1007" s="12"/>
      <c r="G1007" s="12"/>
      <c r="H1007" s="12"/>
      <c r="I1007" s="12"/>
      <c r="J1007" s="12"/>
      <c r="K1007" s="12"/>
      <c r="L1007" s="19"/>
      <c r="M1007" s="19"/>
      <c r="N1007" s="19"/>
      <c r="O1007" s="19"/>
      <c r="P1007" s="19"/>
      <c r="Q1007" s="12"/>
      <c r="R1007" s="12"/>
      <c r="S1007" s="12"/>
      <c r="T1007" s="12"/>
      <c r="U1007" s="19"/>
      <c r="V1007" s="12"/>
      <c r="W1007" s="12"/>
      <c r="X1007" s="12"/>
      <c r="Y1007" s="12"/>
      <c r="Z1007" s="12"/>
    </row>
    <row r="1008">
      <c r="A1008" s="18"/>
      <c r="B1008" s="12"/>
      <c r="C1008" s="12"/>
      <c r="D1008" s="12"/>
      <c r="E1008" s="12"/>
      <c r="F1008" s="12"/>
      <c r="G1008" s="12"/>
      <c r="H1008" s="12"/>
      <c r="I1008" s="12"/>
      <c r="J1008" s="12"/>
      <c r="K1008" s="12"/>
      <c r="L1008" s="19"/>
      <c r="M1008" s="19"/>
      <c r="N1008" s="19"/>
      <c r="O1008" s="19"/>
      <c r="P1008" s="19"/>
      <c r="Q1008" s="12"/>
      <c r="R1008" s="12"/>
      <c r="S1008" s="12"/>
      <c r="T1008" s="12"/>
      <c r="U1008" s="19"/>
      <c r="V1008" s="12"/>
      <c r="W1008" s="12"/>
      <c r="X1008" s="12"/>
      <c r="Y1008" s="12"/>
      <c r="Z1008" s="12"/>
    </row>
    <row r="1009">
      <c r="A1009" s="18"/>
      <c r="B1009" s="12"/>
      <c r="C1009" s="12"/>
      <c r="D1009" s="12"/>
      <c r="E1009" s="12"/>
      <c r="F1009" s="12"/>
      <c r="G1009" s="12"/>
      <c r="H1009" s="12"/>
      <c r="I1009" s="12"/>
      <c r="J1009" s="12"/>
      <c r="K1009" s="12"/>
      <c r="L1009" s="19"/>
      <c r="M1009" s="19"/>
      <c r="N1009" s="19"/>
      <c r="O1009" s="19"/>
      <c r="P1009" s="19"/>
      <c r="Q1009" s="12"/>
      <c r="R1009" s="12"/>
      <c r="S1009" s="12"/>
      <c r="T1009" s="12"/>
      <c r="U1009" s="19"/>
      <c r="V1009" s="12"/>
      <c r="W1009" s="12"/>
      <c r="X1009" s="12"/>
      <c r="Y1009" s="12"/>
      <c r="Z1009" s="12"/>
    </row>
    <row r="1010">
      <c r="A1010" s="18"/>
      <c r="B1010" s="12"/>
      <c r="C1010" s="12"/>
      <c r="D1010" s="12"/>
      <c r="E1010" s="12"/>
      <c r="F1010" s="12"/>
      <c r="G1010" s="12"/>
      <c r="H1010" s="12"/>
      <c r="I1010" s="12"/>
      <c r="J1010" s="12"/>
      <c r="K1010" s="12"/>
      <c r="L1010" s="19"/>
      <c r="M1010" s="19"/>
      <c r="N1010" s="19"/>
      <c r="O1010" s="19"/>
      <c r="P1010" s="19"/>
      <c r="Q1010" s="12"/>
      <c r="R1010" s="12"/>
      <c r="S1010" s="12"/>
      <c r="T1010" s="12"/>
      <c r="U1010" s="19"/>
      <c r="V1010" s="12"/>
      <c r="W1010" s="12"/>
      <c r="X1010" s="12"/>
      <c r="Y1010" s="12"/>
      <c r="Z1010" s="12"/>
    </row>
    <row r="1011">
      <c r="A1011" s="18"/>
      <c r="B1011" s="12"/>
      <c r="C1011" s="12"/>
      <c r="D1011" s="12"/>
      <c r="E1011" s="12"/>
      <c r="F1011" s="12"/>
      <c r="G1011" s="12"/>
      <c r="H1011" s="12"/>
      <c r="I1011" s="12"/>
      <c r="J1011" s="12"/>
      <c r="K1011" s="12"/>
      <c r="L1011" s="19"/>
      <c r="M1011" s="19"/>
      <c r="N1011" s="19"/>
      <c r="O1011" s="19"/>
      <c r="P1011" s="19"/>
      <c r="Q1011" s="12"/>
      <c r="R1011" s="12"/>
      <c r="S1011" s="12"/>
      <c r="T1011" s="12"/>
      <c r="U1011" s="19"/>
      <c r="V1011" s="12"/>
      <c r="W1011" s="12"/>
      <c r="X1011" s="12"/>
      <c r="Y1011" s="12"/>
      <c r="Z1011" s="12"/>
    </row>
    <row r="1012">
      <c r="A1012" s="18"/>
      <c r="B1012" s="12"/>
      <c r="C1012" s="12"/>
      <c r="D1012" s="12"/>
      <c r="E1012" s="12"/>
      <c r="F1012" s="12"/>
      <c r="G1012" s="12"/>
      <c r="H1012" s="12"/>
      <c r="I1012" s="12"/>
      <c r="J1012" s="12"/>
      <c r="K1012" s="12"/>
      <c r="L1012" s="19"/>
      <c r="M1012" s="19"/>
      <c r="N1012" s="19"/>
      <c r="O1012" s="19"/>
      <c r="P1012" s="19"/>
      <c r="Q1012" s="12"/>
      <c r="R1012" s="12"/>
      <c r="S1012" s="12"/>
      <c r="T1012" s="12"/>
      <c r="U1012" s="19"/>
      <c r="V1012" s="12"/>
      <c r="W1012" s="12"/>
      <c r="X1012" s="12"/>
      <c r="Y1012" s="12"/>
      <c r="Z1012" s="12"/>
    </row>
    <row r="1013">
      <c r="A1013" s="18"/>
      <c r="B1013" s="12"/>
      <c r="C1013" s="12"/>
      <c r="D1013" s="12"/>
      <c r="E1013" s="12"/>
      <c r="F1013" s="12"/>
      <c r="G1013" s="12"/>
      <c r="H1013" s="12"/>
      <c r="I1013" s="12"/>
      <c r="J1013" s="12"/>
      <c r="K1013" s="12"/>
      <c r="L1013" s="19"/>
      <c r="M1013" s="19"/>
      <c r="N1013" s="19"/>
      <c r="O1013" s="19"/>
      <c r="P1013" s="19"/>
      <c r="Q1013" s="12"/>
      <c r="R1013" s="12"/>
      <c r="S1013" s="12"/>
      <c r="T1013" s="12"/>
      <c r="U1013" s="19"/>
      <c r="V1013" s="12"/>
      <c r="W1013" s="12"/>
      <c r="X1013" s="12"/>
      <c r="Y1013" s="12"/>
      <c r="Z1013" s="12"/>
    </row>
    <row r="1014">
      <c r="A1014" s="18"/>
      <c r="B1014" s="12"/>
      <c r="C1014" s="12"/>
      <c r="D1014" s="12"/>
      <c r="E1014" s="12"/>
      <c r="F1014" s="12"/>
      <c r="G1014" s="12"/>
      <c r="H1014" s="12"/>
      <c r="I1014" s="12"/>
      <c r="J1014" s="12"/>
      <c r="K1014" s="12"/>
      <c r="L1014" s="19"/>
      <c r="M1014" s="19"/>
      <c r="N1014" s="19"/>
      <c r="O1014" s="19"/>
      <c r="P1014" s="19"/>
      <c r="Q1014" s="12"/>
      <c r="R1014" s="12"/>
      <c r="S1014" s="12"/>
      <c r="T1014" s="12"/>
      <c r="U1014" s="19"/>
      <c r="V1014" s="12"/>
      <c r="W1014" s="12"/>
      <c r="X1014" s="12"/>
      <c r="Y1014" s="12"/>
      <c r="Z1014" s="12"/>
    </row>
    <row r="1015">
      <c r="A1015" s="18"/>
      <c r="B1015" s="12"/>
      <c r="C1015" s="12"/>
      <c r="D1015" s="12"/>
      <c r="E1015" s="12"/>
      <c r="F1015" s="12"/>
      <c r="G1015" s="12"/>
      <c r="H1015" s="12"/>
      <c r="I1015" s="12"/>
      <c r="J1015" s="12"/>
      <c r="K1015" s="12"/>
      <c r="L1015" s="19"/>
      <c r="M1015" s="19"/>
      <c r="N1015" s="19"/>
      <c r="O1015" s="19"/>
      <c r="P1015" s="19"/>
      <c r="Q1015" s="12"/>
      <c r="R1015" s="12"/>
      <c r="S1015" s="12"/>
      <c r="T1015" s="12"/>
      <c r="U1015" s="19"/>
      <c r="V1015" s="12"/>
      <c r="W1015" s="12"/>
      <c r="X1015" s="12"/>
      <c r="Y1015" s="12"/>
      <c r="Z1015" s="12"/>
    </row>
    <row r="1016">
      <c r="A1016" s="18"/>
      <c r="B1016" s="12"/>
      <c r="C1016" s="12"/>
      <c r="D1016" s="12"/>
      <c r="E1016" s="12"/>
      <c r="F1016" s="12"/>
      <c r="G1016" s="12"/>
      <c r="H1016" s="12"/>
      <c r="I1016" s="12"/>
      <c r="J1016" s="12"/>
      <c r="K1016" s="12"/>
      <c r="L1016" s="19"/>
      <c r="M1016" s="19"/>
      <c r="N1016" s="19"/>
      <c r="O1016" s="19"/>
      <c r="P1016" s="19"/>
      <c r="Q1016" s="12"/>
      <c r="R1016" s="12"/>
      <c r="S1016" s="12"/>
      <c r="T1016" s="12"/>
      <c r="U1016" s="19"/>
      <c r="V1016" s="12"/>
      <c r="W1016" s="12"/>
      <c r="X1016" s="12"/>
      <c r="Y1016" s="12"/>
      <c r="Z1016" s="12"/>
    </row>
    <row r="1017">
      <c r="A1017" s="18"/>
      <c r="B1017" s="12"/>
      <c r="C1017" s="12"/>
      <c r="D1017" s="12"/>
      <c r="E1017" s="12"/>
      <c r="F1017" s="12"/>
      <c r="G1017" s="12"/>
      <c r="H1017" s="12"/>
      <c r="I1017" s="12"/>
      <c r="J1017" s="12"/>
      <c r="K1017" s="12"/>
      <c r="L1017" s="19"/>
      <c r="M1017" s="19"/>
      <c r="N1017" s="19"/>
      <c r="O1017" s="19"/>
      <c r="P1017" s="19"/>
      <c r="Q1017" s="12"/>
      <c r="R1017" s="12"/>
      <c r="S1017" s="12"/>
      <c r="T1017" s="12"/>
      <c r="U1017" s="19"/>
      <c r="V1017" s="12"/>
      <c r="W1017" s="12"/>
      <c r="X1017" s="12"/>
      <c r="Y1017" s="12"/>
      <c r="Z1017" s="12"/>
    </row>
    <row r="1018">
      <c r="A1018" s="18"/>
      <c r="B1018" s="12"/>
      <c r="C1018" s="12"/>
      <c r="D1018" s="12"/>
      <c r="E1018" s="12"/>
      <c r="F1018" s="12"/>
      <c r="G1018" s="12"/>
      <c r="H1018" s="12"/>
      <c r="I1018" s="12"/>
      <c r="J1018" s="12"/>
      <c r="K1018" s="12"/>
      <c r="L1018" s="19"/>
      <c r="M1018" s="19"/>
      <c r="N1018" s="19"/>
      <c r="O1018" s="19"/>
      <c r="P1018" s="19"/>
      <c r="Q1018" s="12"/>
      <c r="R1018" s="12"/>
      <c r="S1018" s="12"/>
      <c r="T1018" s="12"/>
      <c r="U1018" s="19"/>
      <c r="V1018" s="12"/>
      <c r="W1018" s="12"/>
      <c r="X1018" s="12"/>
      <c r="Y1018" s="12"/>
      <c r="Z1018" s="12"/>
    </row>
    <row r="1019">
      <c r="A1019" s="18"/>
      <c r="B1019" s="12"/>
      <c r="C1019" s="12"/>
      <c r="D1019" s="12"/>
      <c r="E1019" s="12"/>
      <c r="F1019" s="12"/>
      <c r="G1019" s="12"/>
      <c r="H1019" s="12"/>
      <c r="I1019" s="12"/>
      <c r="J1019" s="12"/>
      <c r="K1019" s="12"/>
      <c r="L1019" s="19"/>
      <c r="M1019" s="19"/>
      <c r="N1019" s="19"/>
      <c r="O1019" s="19"/>
      <c r="P1019" s="19"/>
      <c r="Q1019" s="12"/>
      <c r="R1019" s="12"/>
      <c r="S1019" s="12"/>
      <c r="T1019" s="12"/>
      <c r="U1019" s="19"/>
      <c r="V1019" s="12"/>
      <c r="W1019" s="12"/>
      <c r="X1019" s="12"/>
      <c r="Y1019" s="12"/>
      <c r="Z1019" s="12"/>
    </row>
    <row r="1020">
      <c r="A1020" s="18"/>
      <c r="B1020" s="12"/>
      <c r="C1020" s="12"/>
      <c r="D1020" s="12"/>
      <c r="E1020" s="12"/>
      <c r="F1020" s="12"/>
      <c r="G1020" s="12"/>
      <c r="H1020" s="12"/>
      <c r="I1020" s="12"/>
      <c r="J1020" s="12"/>
      <c r="K1020" s="12"/>
      <c r="L1020" s="19"/>
      <c r="M1020" s="19"/>
      <c r="N1020" s="19"/>
      <c r="O1020" s="19"/>
      <c r="P1020" s="19"/>
      <c r="Q1020" s="12"/>
      <c r="R1020" s="12"/>
      <c r="S1020" s="12"/>
      <c r="T1020" s="12"/>
      <c r="U1020" s="19"/>
      <c r="V1020" s="12"/>
      <c r="W1020" s="12"/>
      <c r="X1020" s="12"/>
      <c r="Y1020" s="12"/>
      <c r="Z1020" s="12"/>
    </row>
    <row r="1021">
      <c r="A1021" s="18"/>
      <c r="B1021" s="12"/>
      <c r="C1021" s="12"/>
      <c r="D1021" s="12"/>
      <c r="E1021" s="12"/>
      <c r="F1021" s="12"/>
      <c r="G1021" s="12"/>
      <c r="H1021" s="12"/>
      <c r="I1021" s="12"/>
      <c r="J1021" s="12"/>
      <c r="K1021" s="12"/>
      <c r="L1021" s="19"/>
      <c r="M1021" s="19"/>
      <c r="N1021" s="19"/>
      <c r="O1021" s="19"/>
      <c r="P1021" s="19"/>
      <c r="Q1021" s="12"/>
      <c r="R1021" s="12"/>
      <c r="S1021" s="12"/>
      <c r="T1021" s="12"/>
      <c r="U1021" s="19"/>
      <c r="V1021" s="12"/>
      <c r="W1021" s="12"/>
      <c r="X1021" s="12"/>
      <c r="Y1021" s="12"/>
      <c r="Z1021" s="12"/>
    </row>
    <row r="1022">
      <c r="A1022" s="18"/>
      <c r="B1022" s="12"/>
      <c r="C1022" s="12"/>
      <c r="D1022" s="12"/>
      <c r="E1022" s="12"/>
      <c r="F1022" s="12"/>
      <c r="G1022" s="12"/>
      <c r="H1022" s="12"/>
      <c r="I1022" s="12"/>
      <c r="J1022" s="12"/>
      <c r="K1022" s="12"/>
      <c r="L1022" s="19"/>
      <c r="M1022" s="19"/>
      <c r="N1022" s="19"/>
      <c r="O1022" s="19"/>
      <c r="P1022" s="19"/>
      <c r="Q1022" s="12"/>
      <c r="R1022" s="12"/>
      <c r="S1022" s="12"/>
      <c r="T1022" s="12"/>
      <c r="U1022" s="19"/>
      <c r="V1022" s="12"/>
      <c r="W1022" s="12"/>
      <c r="X1022" s="12"/>
      <c r="Y1022" s="12"/>
      <c r="Z1022" s="12"/>
    </row>
    <row r="1023">
      <c r="A1023" s="18"/>
      <c r="B1023" s="12"/>
      <c r="C1023" s="12"/>
      <c r="D1023" s="12"/>
      <c r="E1023" s="12"/>
      <c r="F1023" s="12"/>
      <c r="G1023" s="12"/>
      <c r="H1023" s="12"/>
      <c r="I1023" s="12"/>
      <c r="J1023" s="12"/>
      <c r="K1023" s="12"/>
      <c r="L1023" s="19"/>
      <c r="M1023" s="19"/>
      <c r="N1023" s="19"/>
      <c r="O1023" s="19"/>
      <c r="P1023" s="19"/>
      <c r="Q1023" s="12"/>
      <c r="R1023" s="12"/>
      <c r="S1023" s="12"/>
      <c r="T1023" s="12"/>
      <c r="U1023" s="19"/>
      <c r="V1023" s="12"/>
      <c r="W1023" s="12"/>
      <c r="X1023" s="12"/>
      <c r="Y1023" s="12"/>
      <c r="Z1023" s="12"/>
    </row>
    <row r="1024">
      <c r="A1024" s="18"/>
      <c r="B1024" s="12"/>
      <c r="C1024" s="12"/>
      <c r="D1024" s="12"/>
      <c r="E1024" s="12"/>
      <c r="F1024" s="12"/>
      <c r="G1024" s="12"/>
      <c r="H1024" s="12"/>
      <c r="I1024" s="12"/>
      <c r="J1024" s="12"/>
      <c r="K1024" s="12"/>
      <c r="L1024" s="19"/>
      <c r="M1024" s="19"/>
      <c r="N1024" s="19"/>
      <c r="O1024" s="19"/>
      <c r="P1024" s="19"/>
      <c r="Q1024" s="12"/>
      <c r="R1024" s="12"/>
      <c r="S1024" s="12"/>
      <c r="T1024" s="12"/>
      <c r="U1024" s="19"/>
      <c r="V1024" s="12"/>
      <c r="W1024" s="12"/>
      <c r="X1024" s="12"/>
      <c r="Y1024" s="12"/>
      <c r="Z1024" s="12"/>
    </row>
    <row r="1025">
      <c r="A1025" s="18"/>
      <c r="B1025" s="12"/>
      <c r="C1025" s="12"/>
      <c r="D1025" s="12"/>
      <c r="E1025" s="12"/>
      <c r="F1025" s="12"/>
      <c r="G1025" s="12"/>
      <c r="H1025" s="12"/>
      <c r="I1025" s="12"/>
      <c r="J1025" s="12"/>
      <c r="K1025" s="12"/>
      <c r="L1025" s="19"/>
      <c r="M1025" s="19"/>
      <c r="N1025" s="19"/>
      <c r="O1025" s="19"/>
      <c r="P1025" s="19"/>
      <c r="Q1025" s="12"/>
      <c r="R1025" s="12"/>
      <c r="S1025" s="12"/>
      <c r="T1025" s="12"/>
      <c r="U1025" s="19"/>
      <c r="V1025" s="12"/>
      <c r="W1025" s="12"/>
      <c r="X1025" s="12"/>
      <c r="Y1025" s="12"/>
      <c r="Z1025" s="12"/>
    </row>
    <row r="1026">
      <c r="A1026" s="18"/>
      <c r="B1026" s="12"/>
      <c r="C1026" s="12"/>
      <c r="D1026" s="12"/>
      <c r="E1026" s="12"/>
      <c r="F1026" s="12"/>
      <c r="G1026" s="12"/>
      <c r="H1026" s="12"/>
      <c r="I1026" s="12"/>
      <c r="J1026" s="12"/>
      <c r="K1026" s="12"/>
      <c r="L1026" s="19"/>
      <c r="M1026" s="19"/>
      <c r="N1026" s="19"/>
      <c r="O1026" s="19"/>
      <c r="P1026" s="19"/>
      <c r="Q1026" s="12"/>
      <c r="R1026" s="12"/>
      <c r="S1026" s="12"/>
      <c r="T1026" s="12"/>
      <c r="U1026" s="19"/>
      <c r="V1026" s="12"/>
      <c r="W1026" s="12"/>
      <c r="X1026" s="12"/>
      <c r="Y1026" s="12"/>
      <c r="Z1026" s="12"/>
    </row>
    <row r="1027">
      <c r="A1027" s="18"/>
      <c r="B1027" s="12"/>
      <c r="C1027" s="12"/>
      <c r="D1027" s="12"/>
      <c r="E1027" s="12"/>
      <c r="F1027" s="12"/>
      <c r="G1027" s="12"/>
      <c r="H1027" s="12"/>
      <c r="I1027" s="12"/>
      <c r="J1027" s="12"/>
      <c r="K1027" s="12"/>
      <c r="L1027" s="19"/>
      <c r="M1027" s="19"/>
      <c r="N1027" s="19"/>
      <c r="O1027" s="19"/>
      <c r="P1027" s="19"/>
      <c r="Q1027" s="12"/>
      <c r="R1027" s="12"/>
      <c r="S1027" s="12"/>
      <c r="T1027" s="12"/>
      <c r="U1027" s="19"/>
      <c r="V1027" s="12"/>
      <c r="W1027" s="12"/>
      <c r="X1027" s="12"/>
      <c r="Y1027" s="12"/>
      <c r="Z1027" s="12"/>
    </row>
    <row r="1028">
      <c r="A1028" s="18"/>
      <c r="B1028" s="12"/>
      <c r="C1028" s="12"/>
      <c r="D1028" s="12"/>
      <c r="E1028" s="12"/>
      <c r="F1028" s="12"/>
      <c r="G1028" s="12"/>
      <c r="H1028" s="12"/>
      <c r="I1028" s="12"/>
      <c r="J1028" s="12"/>
      <c r="K1028" s="12"/>
      <c r="L1028" s="19"/>
      <c r="M1028" s="19"/>
      <c r="N1028" s="19"/>
      <c r="O1028" s="19"/>
      <c r="P1028" s="19"/>
      <c r="Q1028" s="12"/>
      <c r="R1028" s="12"/>
      <c r="S1028" s="12"/>
      <c r="T1028" s="12"/>
      <c r="U1028" s="19"/>
      <c r="V1028" s="12"/>
      <c r="W1028" s="12"/>
      <c r="X1028" s="12"/>
      <c r="Y1028" s="12"/>
      <c r="Z1028" s="12"/>
    </row>
    <row r="1029">
      <c r="A1029" s="18"/>
      <c r="B1029" s="12"/>
      <c r="C1029" s="12"/>
      <c r="D1029" s="12"/>
      <c r="E1029" s="12"/>
      <c r="F1029" s="12"/>
      <c r="G1029" s="12"/>
      <c r="H1029" s="12"/>
      <c r="I1029" s="12"/>
      <c r="J1029" s="12"/>
      <c r="K1029" s="12"/>
      <c r="L1029" s="19"/>
      <c r="M1029" s="19"/>
      <c r="N1029" s="19"/>
      <c r="O1029" s="19"/>
      <c r="P1029" s="19"/>
      <c r="Q1029" s="12"/>
      <c r="R1029" s="12"/>
      <c r="S1029" s="12"/>
      <c r="T1029" s="12"/>
      <c r="U1029" s="19"/>
      <c r="V1029" s="12"/>
      <c r="W1029" s="12"/>
      <c r="X1029" s="12"/>
      <c r="Y1029" s="12"/>
      <c r="Z1029" s="12"/>
    </row>
    <row r="1030">
      <c r="A1030" s="18"/>
      <c r="B1030" s="12"/>
      <c r="C1030" s="12"/>
      <c r="D1030" s="12"/>
      <c r="E1030" s="12"/>
      <c r="F1030" s="12"/>
      <c r="G1030" s="12"/>
      <c r="H1030" s="12"/>
      <c r="I1030" s="12"/>
      <c r="J1030" s="12"/>
      <c r="K1030" s="12"/>
      <c r="L1030" s="19"/>
      <c r="M1030" s="19"/>
      <c r="N1030" s="19"/>
      <c r="O1030" s="19"/>
      <c r="P1030" s="19"/>
      <c r="Q1030" s="12"/>
      <c r="R1030" s="12"/>
      <c r="S1030" s="12"/>
      <c r="T1030" s="12"/>
      <c r="U1030" s="19"/>
      <c r="V1030" s="12"/>
      <c r="W1030" s="12"/>
      <c r="X1030" s="12"/>
      <c r="Y1030" s="12"/>
      <c r="Z1030" s="12"/>
    </row>
    <row r="1031">
      <c r="A1031" s="18"/>
      <c r="B1031" s="12"/>
      <c r="C1031" s="12"/>
      <c r="D1031" s="12"/>
      <c r="E1031" s="12"/>
      <c r="F1031" s="12"/>
      <c r="G1031" s="12"/>
      <c r="H1031" s="12"/>
      <c r="I1031" s="12"/>
      <c r="J1031" s="12"/>
      <c r="K1031" s="12"/>
      <c r="L1031" s="19"/>
      <c r="M1031" s="19"/>
      <c r="N1031" s="19"/>
      <c r="O1031" s="19"/>
      <c r="P1031" s="19"/>
      <c r="Q1031" s="12"/>
      <c r="R1031" s="12"/>
      <c r="S1031" s="12"/>
      <c r="T1031" s="12"/>
      <c r="U1031" s="19"/>
      <c r="V1031" s="12"/>
      <c r="W1031" s="12"/>
      <c r="X1031" s="12"/>
      <c r="Y1031" s="12"/>
      <c r="Z1031" s="12"/>
    </row>
    <row r="1032">
      <c r="A1032" s="18"/>
      <c r="B1032" s="12"/>
      <c r="C1032" s="12"/>
      <c r="D1032" s="12"/>
      <c r="E1032" s="12"/>
      <c r="F1032" s="12"/>
      <c r="G1032" s="12"/>
      <c r="H1032" s="12"/>
      <c r="I1032" s="12"/>
      <c r="J1032" s="12"/>
      <c r="K1032" s="12"/>
      <c r="L1032" s="19"/>
      <c r="M1032" s="19"/>
      <c r="N1032" s="19"/>
      <c r="O1032" s="19"/>
      <c r="P1032" s="19"/>
      <c r="Q1032" s="12"/>
      <c r="R1032" s="12"/>
      <c r="S1032" s="12"/>
      <c r="T1032" s="12"/>
      <c r="U1032" s="19"/>
      <c r="V1032" s="12"/>
      <c r="W1032" s="12"/>
      <c r="X1032" s="12"/>
      <c r="Y1032" s="12"/>
      <c r="Z1032" s="12"/>
    </row>
    <row r="1033">
      <c r="A1033" s="18"/>
      <c r="B1033" s="12"/>
      <c r="C1033" s="12"/>
      <c r="D1033" s="12"/>
      <c r="E1033" s="12"/>
      <c r="F1033" s="12"/>
      <c r="G1033" s="12"/>
      <c r="H1033" s="12"/>
      <c r="I1033" s="12"/>
      <c r="J1033" s="12"/>
      <c r="K1033" s="12"/>
      <c r="L1033" s="19"/>
      <c r="M1033" s="19"/>
      <c r="N1033" s="19"/>
      <c r="O1033" s="19"/>
      <c r="P1033" s="19"/>
      <c r="Q1033" s="12"/>
      <c r="R1033" s="12"/>
      <c r="S1033" s="12"/>
      <c r="T1033" s="12"/>
      <c r="U1033" s="19"/>
      <c r="V1033" s="12"/>
      <c r="W1033" s="12"/>
      <c r="X1033" s="12"/>
      <c r="Y1033" s="12"/>
      <c r="Z1033" s="12"/>
    </row>
    <row r="1034">
      <c r="A1034" s="18"/>
      <c r="B1034" s="12"/>
      <c r="C1034" s="12"/>
      <c r="D1034" s="12"/>
      <c r="E1034" s="12"/>
      <c r="F1034" s="12"/>
      <c r="G1034" s="12"/>
      <c r="H1034" s="12"/>
      <c r="I1034" s="12"/>
      <c r="J1034" s="12"/>
      <c r="K1034" s="12"/>
      <c r="L1034" s="19"/>
      <c r="M1034" s="19"/>
      <c r="N1034" s="19"/>
      <c r="O1034" s="19"/>
      <c r="P1034" s="19"/>
      <c r="Q1034" s="12"/>
      <c r="R1034" s="12"/>
      <c r="S1034" s="12"/>
      <c r="T1034" s="12"/>
      <c r="U1034" s="19"/>
      <c r="V1034" s="12"/>
      <c r="W1034" s="12"/>
      <c r="X1034" s="12"/>
      <c r="Y1034" s="12"/>
      <c r="Z1034" s="12"/>
    </row>
    <row r="1035">
      <c r="A1035" s="18"/>
      <c r="B1035" s="12"/>
      <c r="C1035" s="12"/>
      <c r="D1035" s="12"/>
      <c r="E1035" s="12"/>
      <c r="F1035" s="12"/>
      <c r="G1035" s="12"/>
      <c r="H1035" s="12"/>
      <c r="I1035" s="12"/>
      <c r="J1035" s="12"/>
      <c r="K1035" s="12"/>
      <c r="L1035" s="19"/>
      <c r="M1035" s="19"/>
      <c r="N1035" s="19"/>
      <c r="O1035" s="19"/>
      <c r="P1035" s="19"/>
      <c r="Q1035" s="12"/>
      <c r="R1035" s="12"/>
      <c r="S1035" s="12"/>
      <c r="T1035" s="12"/>
      <c r="U1035" s="19"/>
      <c r="V1035" s="12"/>
      <c r="W1035" s="12"/>
      <c r="X1035" s="12"/>
      <c r="Y1035" s="12"/>
      <c r="Z1035" s="12"/>
    </row>
    <row r="1036">
      <c r="A1036" s="18"/>
      <c r="B1036" s="12"/>
      <c r="C1036" s="12"/>
      <c r="D1036" s="12"/>
      <c r="E1036" s="12"/>
      <c r="F1036" s="12"/>
      <c r="G1036" s="12"/>
      <c r="H1036" s="12"/>
      <c r="I1036" s="12"/>
      <c r="J1036" s="12"/>
      <c r="K1036" s="12"/>
      <c r="L1036" s="19"/>
      <c r="M1036" s="19"/>
      <c r="N1036" s="19"/>
      <c r="O1036" s="19"/>
      <c r="P1036" s="19"/>
      <c r="Q1036" s="12"/>
      <c r="R1036" s="12"/>
      <c r="S1036" s="12"/>
      <c r="T1036" s="12"/>
      <c r="U1036" s="19"/>
      <c r="V1036" s="12"/>
      <c r="W1036" s="12"/>
      <c r="X1036" s="12"/>
      <c r="Y1036" s="12"/>
      <c r="Z1036" s="12"/>
    </row>
    <row r="1037">
      <c r="A1037" s="18"/>
      <c r="B1037" s="12"/>
      <c r="C1037" s="12"/>
      <c r="D1037" s="12"/>
      <c r="E1037" s="12"/>
      <c r="F1037" s="12"/>
      <c r="G1037" s="12"/>
      <c r="H1037" s="12"/>
      <c r="I1037" s="12"/>
      <c r="J1037" s="12"/>
      <c r="K1037" s="12"/>
      <c r="L1037" s="19"/>
      <c r="M1037" s="19"/>
      <c r="N1037" s="19"/>
      <c r="O1037" s="19"/>
      <c r="P1037" s="19"/>
      <c r="Q1037" s="12"/>
      <c r="R1037" s="12"/>
      <c r="S1037" s="12"/>
      <c r="T1037" s="12"/>
      <c r="U1037" s="19"/>
      <c r="V1037" s="12"/>
      <c r="W1037" s="12"/>
      <c r="X1037" s="12"/>
      <c r="Y1037" s="12"/>
      <c r="Z1037" s="12"/>
    </row>
    <row r="1038">
      <c r="A1038" s="18"/>
      <c r="B1038" s="12"/>
      <c r="C1038" s="12"/>
      <c r="D1038" s="12"/>
      <c r="E1038" s="12"/>
      <c r="F1038" s="12"/>
      <c r="G1038" s="12"/>
      <c r="H1038" s="12"/>
      <c r="I1038" s="12"/>
      <c r="J1038" s="12"/>
      <c r="K1038" s="12"/>
      <c r="L1038" s="19"/>
      <c r="M1038" s="19"/>
      <c r="N1038" s="19"/>
      <c r="O1038" s="19"/>
      <c r="P1038" s="19"/>
      <c r="Q1038" s="12"/>
      <c r="R1038" s="12"/>
      <c r="S1038" s="12"/>
      <c r="T1038" s="12"/>
      <c r="U1038" s="19"/>
      <c r="V1038" s="12"/>
      <c r="W1038" s="12"/>
      <c r="X1038" s="12"/>
      <c r="Y1038" s="12"/>
      <c r="Z1038" s="12"/>
    </row>
    <row r="1039">
      <c r="A1039" s="18"/>
      <c r="B1039" s="12"/>
      <c r="C1039" s="12"/>
      <c r="D1039" s="12"/>
      <c r="E1039" s="12"/>
      <c r="F1039" s="12"/>
      <c r="G1039" s="12"/>
      <c r="H1039" s="12"/>
      <c r="I1039" s="12"/>
      <c r="J1039" s="12"/>
      <c r="K1039" s="12"/>
      <c r="L1039" s="19"/>
      <c r="M1039" s="19"/>
      <c r="N1039" s="19"/>
      <c r="O1039" s="19"/>
      <c r="P1039" s="19"/>
      <c r="Q1039" s="12"/>
      <c r="R1039" s="12"/>
      <c r="S1039" s="12"/>
      <c r="T1039" s="12"/>
      <c r="U1039" s="19"/>
      <c r="V1039" s="12"/>
      <c r="W1039" s="12"/>
      <c r="X1039" s="12"/>
      <c r="Y1039" s="12"/>
      <c r="Z1039" s="12"/>
    </row>
    <row r="1040">
      <c r="A1040" s="18"/>
      <c r="B1040" s="12"/>
      <c r="C1040" s="12"/>
      <c r="D1040" s="12"/>
      <c r="E1040" s="12"/>
      <c r="F1040" s="12"/>
      <c r="G1040" s="12"/>
      <c r="H1040" s="12"/>
      <c r="I1040" s="12"/>
      <c r="J1040" s="12"/>
      <c r="K1040" s="12"/>
      <c r="L1040" s="19"/>
      <c r="M1040" s="19"/>
      <c r="N1040" s="19"/>
      <c r="O1040" s="19"/>
      <c r="P1040" s="19"/>
      <c r="Q1040" s="12"/>
      <c r="R1040" s="12"/>
      <c r="S1040" s="12"/>
      <c r="T1040" s="12"/>
      <c r="U1040" s="19"/>
      <c r="V1040" s="12"/>
      <c r="W1040" s="12"/>
      <c r="X1040" s="12"/>
      <c r="Y1040" s="12"/>
      <c r="Z1040" s="12"/>
    </row>
    <row r="1041">
      <c r="A1041" s="18"/>
      <c r="B1041" s="12"/>
      <c r="C1041" s="12"/>
      <c r="D1041" s="12"/>
      <c r="E1041" s="12"/>
      <c r="F1041" s="12"/>
      <c r="G1041" s="12"/>
      <c r="H1041" s="12"/>
      <c r="I1041" s="12"/>
      <c r="J1041" s="12"/>
      <c r="K1041" s="12"/>
      <c r="L1041" s="19"/>
      <c r="M1041" s="19"/>
      <c r="N1041" s="19"/>
      <c r="O1041" s="19"/>
      <c r="P1041" s="19"/>
      <c r="Q1041" s="12"/>
      <c r="R1041" s="12"/>
      <c r="S1041" s="12"/>
      <c r="T1041" s="12"/>
      <c r="U1041" s="19"/>
      <c r="V1041" s="12"/>
      <c r="W1041" s="12"/>
      <c r="X1041" s="12"/>
      <c r="Y1041" s="12"/>
      <c r="Z1041" s="12"/>
    </row>
    <row r="1042">
      <c r="A1042" s="18"/>
      <c r="B1042" s="12"/>
      <c r="C1042" s="12"/>
      <c r="D1042" s="12"/>
      <c r="E1042" s="12"/>
      <c r="F1042" s="12"/>
      <c r="G1042" s="12"/>
      <c r="H1042" s="12"/>
      <c r="I1042" s="12"/>
      <c r="J1042" s="12"/>
      <c r="K1042" s="12"/>
      <c r="L1042" s="19"/>
      <c r="M1042" s="19"/>
      <c r="N1042" s="19"/>
      <c r="O1042" s="19"/>
      <c r="P1042" s="19"/>
      <c r="Q1042" s="12"/>
      <c r="R1042" s="12"/>
      <c r="S1042" s="12"/>
      <c r="T1042" s="12"/>
      <c r="U1042" s="19"/>
      <c r="V1042" s="12"/>
      <c r="W1042" s="12"/>
      <c r="X1042" s="12"/>
      <c r="Y1042" s="12"/>
      <c r="Z1042" s="12"/>
    </row>
    <row r="1043">
      <c r="A1043" s="18"/>
      <c r="B1043" s="12"/>
      <c r="C1043" s="12"/>
      <c r="D1043" s="12"/>
      <c r="E1043" s="12"/>
      <c r="F1043" s="12"/>
      <c r="G1043" s="12"/>
      <c r="H1043" s="12"/>
      <c r="I1043" s="12"/>
      <c r="J1043" s="12"/>
      <c r="K1043" s="12"/>
      <c r="L1043" s="19"/>
      <c r="M1043" s="19"/>
      <c r="N1043" s="19"/>
      <c r="O1043" s="19"/>
      <c r="P1043" s="19"/>
      <c r="Q1043" s="12"/>
      <c r="R1043" s="12"/>
      <c r="S1043" s="12"/>
      <c r="T1043" s="12"/>
      <c r="U1043" s="19"/>
      <c r="V1043" s="12"/>
      <c r="W1043" s="12"/>
      <c r="X1043" s="12"/>
      <c r="Y1043" s="12"/>
      <c r="Z1043" s="12"/>
    </row>
    <row r="1044">
      <c r="A1044" s="18"/>
      <c r="B1044" s="12"/>
      <c r="C1044" s="12"/>
      <c r="D1044" s="12"/>
      <c r="E1044" s="12"/>
      <c r="F1044" s="12"/>
      <c r="G1044" s="12"/>
      <c r="H1044" s="12"/>
      <c r="I1044" s="12"/>
      <c r="J1044" s="12"/>
      <c r="K1044" s="12"/>
      <c r="L1044" s="19"/>
      <c r="M1044" s="19"/>
      <c r="N1044" s="19"/>
      <c r="O1044" s="19"/>
      <c r="P1044" s="19"/>
      <c r="Q1044" s="12"/>
      <c r="R1044" s="12"/>
      <c r="S1044" s="12"/>
      <c r="T1044" s="12"/>
      <c r="U1044" s="19"/>
      <c r="V1044" s="12"/>
      <c r="W1044" s="12"/>
      <c r="X1044" s="12"/>
      <c r="Y1044" s="12"/>
      <c r="Z1044" s="12"/>
    </row>
    <row r="1045">
      <c r="A1045" s="18"/>
      <c r="B1045" s="12"/>
      <c r="C1045" s="12"/>
      <c r="D1045" s="12"/>
      <c r="E1045" s="12"/>
      <c r="F1045" s="12"/>
      <c r="G1045" s="12"/>
      <c r="H1045" s="12"/>
      <c r="I1045" s="12"/>
      <c r="J1045" s="12"/>
      <c r="K1045" s="12"/>
      <c r="L1045" s="19"/>
      <c r="M1045" s="19"/>
      <c r="N1045" s="19"/>
      <c r="O1045" s="19"/>
      <c r="P1045" s="19"/>
      <c r="Q1045" s="12"/>
      <c r="R1045" s="12"/>
      <c r="S1045" s="12"/>
      <c r="T1045" s="12"/>
      <c r="U1045" s="19"/>
      <c r="V1045" s="12"/>
      <c r="W1045" s="12"/>
      <c r="X1045" s="12"/>
      <c r="Y1045" s="12"/>
      <c r="Z1045" s="12"/>
    </row>
    <row r="1046">
      <c r="A1046" s="18"/>
      <c r="B1046" s="12"/>
      <c r="C1046" s="12"/>
      <c r="D1046" s="12"/>
      <c r="E1046" s="12"/>
      <c r="F1046" s="12"/>
      <c r="G1046" s="12"/>
      <c r="H1046" s="12"/>
      <c r="I1046" s="12"/>
      <c r="J1046" s="12"/>
      <c r="K1046" s="12"/>
      <c r="L1046" s="19"/>
      <c r="M1046" s="19"/>
      <c r="N1046" s="19"/>
      <c r="O1046" s="19"/>
      <c r="P1046" s="19"/>
      <c r="Q1046" s="12"/>
      <c r="R1046" s="12"/>
      <c r="S1046" s="12"/>
      <c r="T1046" s="12"/>
      <c r="U1046" s="19"/>
      <c r="V1046" s="12"/>
      <c r="W1046" s="12"/>
      <c r="X1046" s="12"/>
      <c r="Y1046" s="12"/>
      <c r="Z1046" s="12"/>
    </row>
    <row r="1047">
      <c r="A1047" s="18"/>
      <c r="B1047" s="12"/>
      <c r="C1047" s="12"/>
      <c r="D1047" s="12"/>
      <c r="E1047" s="12"/>
      <c r="F1047" s="12"/>
      <c r="G1047" s="12"/>
      <c r="H1047" s="12"/>
      <c r="I1047" s="12"/>
      <c r="J1047" s="12"/>
      <c r="K1047" s="12"/>
      <c r="L1047" s="19"/>
      <c r="M1047" s="19"/>
      <c r="N1047" s="19"/>
      <c r="O1047" s="19"/>
      <c r="P1047" s="19"/>
      <c r="Q1047" s="12"/>
      <c r="R1047" s="12"/>
      <c r="S1047" s="12"/>
      <c r="T1047" s="12"/>
      <c r="U1047" s="19"/>
      <c r="V1047" s="12"/>
      <c r="W1047" s="12"/>
      <c r="X1047" s="12"/>
      <c r="Y1047" s="12"/>
      <c r="Z1047" s="12"/>
    </row>
    <row r="1048">
      <c r="A1048" s="18"/>
      <c r="B1048" s="12"/>
      <c r="C1048" s="12"/>
      <c r="D1048" s="12"/>
      <c r="E1048" s="12"/>
      <c r="F1048" s="12"/>
      <c r="G1048" s="12"/>
      <c r="H1048" s="12"/>
      <c r="I1048" s="12"/>
      <c r="J1048" s="12"/>
      <c r="K1048" s="12"/>
      <c r="L1048" s="19"/>
      <c r="M1048" s="19"/>
      <c r="N1048" s="19"/>
      <c r="O1048" s="19"/>
      <c r="P1048" s="19"/>
      <c r="Q1048" s="12"/>
      <c r="R1048" s="12"/>
      <c r="S1048" s="12"/>
      <c r="T1048" s="12"/>
      <c r="U1048" s="19"/>
      <c r="V1048" s="12"/>
      <c r="W1048" s="12"/>
      <c r="X1048" s="12"/>
      <c r="Y1048" s="12"/>
      <c r="Z1048" s="12"/>
    </row>
    <row r="1049">
      <c r="A1049" s="18"/>
      <c r="B1049" s="12"/>
      <c r="C1049" s="12"/>
      <c r="D1049" s="12"/>
      <c r="E1049" s="12"/>
      <c r="F1049" s="12"/>
      <c r="G1049" s="12"/>
      <c r="H1049" s="12"/>
      <c r="I1049" s="12"/>
      <c r="J1049" s="12"/>
      <c r="K1049" s="12"/>
      <c r="L1049" s="19"/>
      <c r="M1049" s="19"/>
      <c r="N1049" s="19"/>
      <c r="O1049" s="19"/>
      <c r="P1049" s="19"/>
      <c r="Q1049" s="12"/>
      <c r="R1049" s="12"/>
      <c r="S1049" s="12"/>
      <c r="T1049" s="12"/>
      <c r="U1049" s="19"/>
      <c r="V1049" s="12"/>
      <c r="W1049" s="12"/>
      <c r="X1049" s="12"/>
      <c r="Y1049" s="12"/>
      <c r="Z1049" s="12"/>
    </row>
    <row r="1050">
      <c r="A1050" s="18"/>
      <c r="B1050" s="12"/>
      <c r="C1050" s="12"/>
      <c r="D1050" s="12"/>
      <c r="E1050" s="12"/>
      <c r="F1050" s="12"/>
      <c r="G1050" s="12"/>
      <c r="H1050" s="12"/>
      <c r="I1050" s="12"/>
      <c r="J1050" s="12"/>
      <c r="K1050" s="12"/>
      <c r="L1050" s="19"/>
      <c r="M1050" s="19"/>
      <c r="N1050" s="19"/>
      <c r="O1050" s="19"/>
      <c r="P1050" s="19"/>
      <c r="Q1050" s="12"/>
      <c r="R1050" s="12"/>
      <c r="S1050" s="12"/>
      <c r="T1050" s="12"/>
      <c r="U1050" s="19"/>
      <c r="V1050" s="12"/>
      <c r="W1050" s="12"/>
      <c r="X1050" s="12"/>
      <c r="Y1050" s="12"/>
      <c r="Z1050" s="12"/>
    </row>
    <row r="1051">
      <c r="A1051" s="18"/>
      <c r="B1051" s="12"/>
      <c r="C1051" s="12"/>
      <c r="D1051" s="12"/>
      <c r="E1051" s="12"/>
      <c r="F1051" s="12"/>
      <c r="G1051" s="12"/>
      <c r="H1051" s="12"/>
      <c r="I1051" s="12"/>
      <c r="J1051" s="12"/>
      <c r="K1051" s="12"/>
      <c r="L1051" s="19"/>
      <c r="M1051" s="19"/>
      <c r="N1051" s="19"/>
      <c r="O1051" s="19"/>
      <c r="P1051" s="19"/>
      <c r="Q1051" s="12"/>
      <c r="R1051" s="12"/>
      <c r="S1051" s="12"/>
      <c r="T1051" s="12"/>
      <c r="U1051" s="19"/>
      <c r="V1051" s="12"/>
      <c r="W1051" s="12"/>
      <c r="X1051" s="12"/>
      <c r="Y1051" s="12"/>
      <c r="Z1051" s="12"/>
    </row>
    <row r="1052">
      <c r="A1052" s="18"/>
      <c r="B1052" s="12"/>
      <c r="C1052" s="12"/>
      <c r="D1052" s="12"/>
      <c r="E1052" s="12"/>
      <c r="F1052" s="12"/>
      <c r="G1052" s="12"/>
      <c r="H1052" s="12"/>
      <c r="I1052" s="12"/>
      <c r="J1052" s="12"/>
      <c r="K1052" s="12"/>
      <c r="L1052" s="19"/>
      <c r="M1052" s="19"/>
      <c r="N1052" s="19"/>
      <c r="O1052" s="19"/>
      <c r="P1052" s="19"/>
      <c r="Q1052" s="12"/>
      <c r="R1052" s="12"/>
      <c r="S1052" s="12"/>
      <c r="T1052" s="12"/>
      <c r="U1052" s="19"/>
      <c r="V1052" s="12"/>
      <c r="W1052" s="12"/>
      <c r="X1052" s="12"/>
      <c r="Y1052" s="12"/>
      <c r="Z1052" s="12"/>
    </row>
    <row r="1053">
      <c r="A1053" s="18"/>
      <c r="B1053" s="12"/>
      <c r="C1053" s="12"/>
      <c r="D1053" s="12"/>
      <c r="E1053" s="12"/>
      <c r="F1053" s="12"/>
      <c r="G1053" s="12"/>
      <c r="H1053" s="12"/>
      <c r="I1053" s="12"/>
      <c r="J1053" s="12"/>
      <c r="K1053" s="12"/>
      <c r="L1053" s="19"/>
      <c r="M1053" s="19"/>
      <c r="N1053" s="19"/>
      <c r="O1053" s="19"/>
      <c r="P1053" s="19"/>
      <c r="Q1053" s="12"/>
      <c r="R1053" s="12"/>
      <c r="S1053" s="12"/>
      <c r="T1053" s="12"/>
      <c r="U1053" s="19"/>
      <c r="V1053" s="12"/>
      <c r="W1053" s="12"/>
      <c r="X1053" s="12"/>
      <c r="Y1053" s="12"/>
      <c r="Z1053" s="12"/>
    </row>
    <row r="1054">
      <c r="A1054" s="18"/>
      <c r="B1054" s="12"/>
      <c r="C1054" s="12"/>
      <c r="D1054" s="12"/>
      <c r="E1054" s="12"/>
      <c r="F1054" s="12"/>
      <c r="G1054" s="12"/>
      <c r="H1054" s="12"/>
      <c r="I1054" s="12"/>
      <c r="J1054" s="12"/>
      <c r="K1054" s="12"/>
      <c r="L1054" s="19"/>
      <c r="M1054" s="19"/>
      <c r="N1054" s="19"/>
      <c r="O1054" s="19"/>
      <c r="P1054" s="19"/>
      <c r="Q1054" s="12"/>
      <c r="R1054" s="12"/>
      <c r="S1054" s="12"/>
      <c r="T1054" s="12"/>
      <c r="U1054" s="19"/>
      <c r="V1054" s="12"/>
      <c r="W1054" s="12"/>
      <c r="X1054" s="12"/>
      <c r="Y1054" s="12"/>
      <c r="Z1054" s="12"/>
    </row>
    <row r="1055">
      <c r="A1055" s="18"/>
      <c r="B1055" s="12"/>
      <c r="C1055" s="12"/>
      <c r="D1055" s="12"/>
      <c r="E1055" s="12"/>
      <c r="F1055" s="12"/>
      <c r="G1055" s="12"/>
      <c r="H1055" s="12"/>
      <c r="I1055" s="12"/>
      <c r="J1055" s="12"/>
      <c r="K1055" s="12"/>
      <c r="L1055" s="19"/>
      <c r="M1055" s="19"/>
      <c r="N1055" s="19"/>
      <c r="O1055" s="19"/>
      <c r="P1055" s="19"/>
      <c r="Q1055" s="12"/>
      <c r="R1055" s="12"/>
      <c r="S1055" s="12"/>
      <c r="T1055" s="12"/>
      <c r="U1055" s="19"/>
      <c r="V1055" s="12"/>
      <c r="W1055" s="12"/>
      <c r="X1055" s="12"/>
      <c r="Y1055" s="12"/>
      <c r="Z1055" s="12"/>
    </row>
    <row r="1056">
      <c r="A1056" s="18"/>
      <c r="B1056" s="12"/>
      <c r="C1056" s="12"/>
      <c r="D1056" s="12"/>
      <c r="E1056" s="12"/>
      <c r="F1056" s="12"/>
      <c r="G1056" s="12"/>
      <c r="H1056" s="12"/>
      <c r="I1056" s="12"/>
      <c r="J1056" s="12"/>
      <c r="K1056" s="12"/>
      <c r="L1056" s="19"/>
      <c r="M1056" s="19"/>
      <c r="N1056" s="19"/>
      <c r="O1056" s="19"/>
      <c r="P1056" s="19"/>
      <c r="Q1056" s="12"/>
      <c r="R1056" s="12"/>
      <c r="S1056" s="12"/>
      <c r="T1056" s="12"/>
      <c r="U1056" s="19"/>
      <c r="V1056" s="12"/>
      <c r="W1056" s="12"/>
      <c r="X1056" s="12"/>
      <c r="Y1056" s="12"/>
      <c r="Z1056" s="12"/>
    </row>
    <row r="1057">
      <c r="A1057" s="18"/>
      <c r="B1057" s="12"/>
      <c r="C1057" s="12"/>
      <c r="D1057" s="12"/>
      <c r="E1057" s="12"/>
      <c r="F1057" s="12"/>
      <c r="G1057" s="12"/>
      <c r="H1057" s="12"/>
      <c r="I1057" s="12"/>
      <c r="J1057" s="12"/>
      <c r="K1057" s="12"/>
      <c r="L1057" s="19"/>
      <c r="M1057" s="19"/>
      <c r="N1057" s="19"/>
      <c r="O1057" s="19"/>
      <c r="P1057" s="19"/>
      <c r="Q1057" s="12"/>
      <c r="R1057" s="12"/>
      <c r="S1057" s="12"/>
      <c r="T1057" s="12"/>
      <c r="U1057" s="19"/>
      <c r="V1057" s="12"/>
      <c r="W1057" s="12"/>
      <c r="X1057" s="12"/>
      <c r="Y1057" s="12"/>
      <c r="Z1057" s="12"/>
    </row>
    <row r="1058">
      <c r="A1058" s="18"/>
      <c r="B1058" s="12"/>
      <c r="C1058" s="12"/>
      <c r="D1058" s="12"/>
      <c r="E1058" s="12"/>
      <c r="F1058" s="12"/>
      <c r="G1058" s="12"/>
      <c r="H1058" s="12"/>
      <c r="I1058" s="12"/>
      <c r="J1058" s="12"/>
      <c r="K1058" s="12"/>
      <c r="L1058" s="19"/>
      <c r="M1058" s="19"/>
      <c r="N1058" s="19"/>
      <c r="O1058" s="19"/>
      <c r="P1058" s="19"/>
      <c r="Q1058" s="12"/>
      <c r="R1058" s="12"/>
      <c r="S1058" s="12"/>
      <c r="T1058" s="12"/>
      <c r="U1058" s="19"/>
      <c r="V1058" s="12"/>
      <c r="W1058" s="12"/>
      <c r="X1058" s="12"/>
      <c r="Y1058" s="12"/>
      <c r="Z1058" s="12"/>
    </row>
    <row r="1059">
      <c r="A1059" s="18"/>
      <c r="B1059" s="12"/>
      <c r="C1059" s="12"/>
      <c r="D1059" s="12"/>
      <c r="E1059" s="12"/>
      <c r="F1059" s="12"/>
      <c r="G1059" s="12"/>
      <c r="H1059" s="12"/>
      <c r="I1059" s="12"/>
      <c r="J1059" s="12"/>
      <c r="K1059" s="12"/>
      <c r="L1059" s="19"/>
      <c r="M1059" s="19"/>
      <c r="N1059" s="19"/>
      <c r="O1059" s="19"/>
      <c r="P1059" s="19"/>
      <c r="Q1059" s="12"/>
      <c r="R1059" s="12"/>
      <c r="S1059" s="12"/>
      <c r="T1059" s="12"/>
      <c r="U1059" s="19"/>
      <c r="V1059" s="12"/>
      <c r="W1059" s="12"/>
      <c r="X1059" s="12"/>
      <c r="Y1059" s="12"/>
      <c r="Z1059" s="12"/>
    </row>
    <row r="1060">
      <c r="A1060" s="18"/>
      <c r="B1060" s="12"/>
      <c r="C1060" s="12"/>
      <c r="D1060" s="12"/>
      <c r="E1060" s="12"/>
      <c r="F1060" s="12"/>
      <c r="G1060" s="12"/>
      <c r="H1060" s="12"/>
      <c r="I1060" s="12"/>
      <c r="J1060" s="12"/>
      <c r="K1060" s="12"/>
      <c r="L1060" s="19"/>
      <c r="M1060" s="19"/>
      <c r="N1060" s="19"/>
      <c r="O1060" s="19"/>
      <c r="P1060" s="19"/>
      <c r="Q1060" s="12"/>
      <c r="R1060" s="12"/>
      <c r="S1060" s="12"/>
      <c r="T1060" s="12"/>
      <c r="U1060" s="19"/>
      <c r="V1060" s="12"/>
      <c r="W1060" s="12"/>
      <c r="X1060" s="12"/>
      <c r="Y1060" s="12"/>
      <c r="Z1060" s="12"/>
    </row>
    <row r="1061">
      <c r="A1061" s="18"/>
      <c r="B1061" s="12"/>
      <c r="C1061" s="12"/>
      <c r="D1061" s="12"/>
      <c r="E1061" s="12"/>
      <c r="F1061" s="12"/>
      <c r="G1061" s="12"/>
      <c r="H1061" s="12"/>
      <c r="I1061" s="12"/>
      <c r="J1061" s="12"/>
      <c r="K1061" s="12"/>
      <c r="L1061" s="19"/>
      <c r="M1061" s="19"/>
      <c r="N1061" s="19"/>
      <c r="O1061" s="19"/>
      <c r="P1061" s="19"/>
      <c r="Q1061" s="12"/>
      <c r="R1061" s="12"/>
      <c r="S1061" s="12"/>
      <c r="T1061" s="12"/>
      <c r="U1061" s="19"/>
      <c r="V1061" s="12"/>
      <c r="W1061" s="12"/>
      <c r="X1061" s="12"/>
      <c r="Y1061" s="12"/>
      <c r="Z1061" s="12"/>
    </row>
    <row r="1062">
      <c r="A1062" s="18"/>
      <c r="B1062" s="12"/>
      <c r="C1062" s="12"/>
      <c r="D1062" s="12"/>
      <c r="E1062" s="12"/>
      <c r="F1062" s="12"/>
      <c r="G1062" s="12"/>
      <c r="H1062" s="12"/>
      <c r="I1062" s="12"/>
      <c r="J1062" s="12"/>
      <c r="K1062" s="12"/>
      <c r="L1062" s="19"/>
      <c r="M1062" s="19"/>
      <c r="N1062" s="19"/>
      <c r="O1062" s="19"/>
      <c r="P1062" s="19"/>
      <c r="Q1062" s="12"/>
      <c r="R1062" s="12"/>
      <c r="S1062" s="12"/>
      <c r="T1062" s="12"/>
      <c r="U1062" s="19"/>
      <c r="V1062" s="12"/>
      <c r="W1062" s="12"/>
      <c r="X1062" s="12"/>
      <c r="Y1062" s="12"/>
      <c r="Z1062" s="12"/>
    </row>
    <row r="1063">
      <c r="A1063" s="18"/>
      <c r="B1063" s="12"/>
      <c r="C1063" s="12"/>
      <c r="D1063" s="12"/>
      <c r="E1063" s="12"/>
      <c r="F1063" s="12"/>
      <c r="G1063" s="12"/>
      <c r="H1063" s="12"/>
      <c r="I1063" s="12"/>
      <c r="J1063" s="12"/>
      <c r="K1063" s="12"/>
      <c r="L1063" s="19"/>
      <c r="M1063" s="19"/>
      <c r="N1063" s="19"/>
      <c r="O1063" s="19"/>
      <c r="P1063" s="19"/>
      <c r="Q1063" s="12"/>
      <c r="R1063" s="12"/>
      <c r="S1063" s="12"/>
      <c r="T1063" s="12"/>
      <c r="U1063" s="19"/>
      <c r="V1063" s="12"/>
      <c r="W1063" s="12"/>
      <c r="X1063" s="12"/>
      <c r="Y1063" s="12"/>
      <c r="Z1063" s="12"/>
    </row>
    <row r="1064">
      <c r="A1064" s="18"/>
      <c r="B1064" s="12"/>
      <c r="C1064" s="12"/>
      <c r="D1064" s="12"/>
      <c r="E1064" s="12"/>
      <c r="F1064" s="12"/>
      <c r="G1064" s="12"/>
      <c r="H1064" s="12"/>
      <c r="I1064" s="12"/>
      <c r="J1064" s="12"/>
      <c r="K1064" s="12"/>
      <c r="L1064" s="19"/>
      <c r="M1064" s="19"/>
      <c r="N1064" s="19"/>
      <c r="O1064" s="19"/>
      <c r="P1064" s="19"/>
      <c r="Q1064" s="12"/>
      <c r="R1064" s="12"/>
      <c r="S1064" s="12"/>
      <c r="T1064" s="12"/>
      <c r="U1064" s="19"/>
      <c r="V1064" s="12"/>
      <c r="W1064" s="12"/>
      <c r="X1064" s="12"/>
      <c r="Y1064" s="12"/>
      <c r="Z1064" s="12"/>
    </row>
    <row r="1065">
      <c r="A1065" s="18"/>
      <c r="B1065" s="12"/>
      <c r="C1065" s="12"/>
      <c r="D1065" s="12"/>
      <c r="E1065" s="12"/>
      <c r="F1065" s="12"/>
      <c r="G1065" s="12"/>
      <c r="H1065" s="12"/>
      <c r="I1065" s="12"/>
      <c r="J1065" s="12"/>
      <c r="K1065" s="12"/>
      <c r="L1065" s="19"/>
      <c r="M1065" s="19"/>
      <c r="N1065" s="19"/>
      <c r="O1065" s="19"/>
      <c r="P1065" s="19"/>
      <c r="Q1065" s="12"/>
      <c r="R1065" s="12"/>
      <c r="S1065" s="12"/>
      <c r="T1065" s="12"/>
      <c r="U1065" s="19"/>
      <c r="V1065" s="12"/>
      <c r="W1065" s="12"/>
      <c r="X1065" s="12"/>
      <c r="Y1065" s="12"/>
      <c r="Z1065" s="12"/>
    </row>
    <row r="1066">
      <c r="A1066" s="18"/>
      <c r="B1066" s="12"/>
      <c r="C1066" s="12"/>
      <c r="D1066" s="12"/>
      <c r="E1066" s="12"/>
      <c r="F1066" s="12"/>
      <c r="G1066" s="12"/>
      <c r="H1066" s="12"/>
      <c r="I1066" s="12"/>
      <c r="J1066" s="12"/>
      <c r="K1066" s="12"/>
      <c r="L1066" s="19"/>
      <c r="M1066" s="19"/>
      <c r="N1066" s="19"/>
      <c r="O1066" s="19"/>
      <c r="P1066" s="19"/>
      <c r="Q1066" s="12"/>
      <c r="R1066" s="12"/>
      <c r="S1066" s="12"/>
      <c r="T1066" s="12"/>
      <c r="U1066" s="19"/>
      <c r="V1066" s="12"/>
      <c r="W1066" s="12"/>
      <c r="X1066" s="12"/>
      <c r="Y1066" s="12"/>
      <c r="Z1066" s="12"/>
    </row>
    <row r="1067">
      <c r="A1067" s="18"/>
      <c r="B1067" s="12"/>
      <c r="C1067" s="12"/>
      <c r="D1067" s="12"/>
      <c r="E1067" s="12"/>
      <c r="F1067" s="12"/>
      <c r="G1067" s="12"/>
      <c r="H1067" s="12"/>
      <c r="I1067" s="12"/>
      <c r="J1067" s="12"/>
      <c r="K1067" s="12"/>
      <c r="L1067" s="19"/>
      <c r="M1067" s="19"/>
      <c r="N1067" s="19"/>
      <c r="O1067" s="19"/>
      <c r="P1067" s="19"/>
      <c r="Q1067" s="12"/>
      <c r="R1067" s="12"/>
      <c r="S1067" s="12"/>
      <c r="T1067" s="12"/>
      <c r="U1067" s="19"/>
      <c r="V1067" s="12"/>
      <c r="W1067" s="12"/>
      <c r="X1067" s="12"/>
      <c r="Y1067" s="12"/>
      <c r="Z1067" s="12"/>
    </row>
    <row r="1068">
      <c r="A1068" s="18"/>
      <c r="B1068" s="12"/>
      <c r="C1068" s="12"/>
      <c r="D1068" s="12"/>
      <c r="E1068" s="12"/>
      <c r="F1068" s="12"/>
      <c r="G1068" s="12"/>
      <c r="H1068" s="12"/>
      <c r="I1068" s="12"/>
      <c r="J1068" s="12"/>
      <c r="K1068" s="12"/>
      <c r="L1068" s="19"/>
      <c r="M1068" s="19"/>
      <c r="N1068" s="19"/>
      <c r="O1068" s="19"/>
      <c r="P1068" s="19"/>
      <c r="Q1068" s="12"/>
      <c r="R1068" s="12"/>
      <c r="S1068" s="12"/>
      <c r="T1068" s="12"/>
      <c r="U1068" s="19"/>
      <c r="V1068" s="12"/>
      <c r="W1068" s="12"/>
      <c r="X1068" s="12"/>
      <c r="Y1068" s="12"/>
      <c r="Z1068" s="12"/>
    </row>
    <row r="1069">
      <c r="A1069" s="18"/>
      <c r="B1069" s="12"/>
      <c r="C1069" s="12"/>
      <c r="D1069" s="12"/>
      <c r="E1069" s="12"/>
      <c r="F1069" s="12"/>
      <c r="G1069" s="12"/>
      <c r="H1069" s="12"/>
      <c r="I1069" s="12"/>
      <c r="J1069" s="12"/>
      <c r="K1069" s="12"/>
      <c r="L1069" s="19"/>
      <c r="M1069" s="19"/>
      <c r="N1069" s="19"/>
      <c r="O1069" s="19"/>
      <c r="P1069" s="19"/>
      <c r="Q1069" s="12"/>
      <c r="R1069" s="12"/>
      <c r="S1069" s="12"/>
      <c r="T1069" s="12"/>
      <c r="U1069" s="19"/>
      <c r="V1069" s="12"/>
      <c r="W1069" s="12"/>
      <c r="X1069" s="12"/>
      <c r="Y1069" s="12"/>
      <c r="Z1069" s="12"/>
    </row>
    <row r="1070">
      <c r="A1070" s="18"/>
      <c r="B1070" s="12"/>
      <c r="C1070" s="12"/>
      <c r="D1070" s="12"/>
      <c r="E1070" s="12"/>
      <c r="F1070" s="12"/>
      <c r="G1070" s="12"/>
      <c r="H1070" s="12"/>
      <c r="I1070" s="12"/>
      <c r="J1070" s="12"/>
      <c r="K1070" s="12"/>
      <c r="L1070" s="19"/>
      <c r="M1070" s="19"/>
      <c r="N1070" s="19"/>
      <c r="O1070" s="19"/>
      <c r="P1070" s="19"/>
      <c r="Q1070" s="12"/>
      <c r="R1070" s="12"/>
      <c r="S1070" s="12"/>
      <c r="T1070" s="12"/>
      <c r="U1070" s="19"/>
      <c r="V1070" s="12"/>
      <c r="W1070" s="12"/>
      <c r="X1070" s="12"/>
      <c r="Y1070" s="12"/>
      <c r="Z1070" s="12"/>
    </row>
    <row r="1071">
      <c r="A1071" s="18"/>
      <c r="B1071" s="12"/>
      <c r="C1071" s="12"/>
      <c r="D1071" s="12"/>
      <c r="E1071" s="12"/>
      <c r="F1071" s="12"/>
      <c r="G1071" s="12"/>
      <c r="H1071" s="12"/>
      <c r="I1071" s="12"/>
      <c r="J1071" s="12"/>
      <c r="K1071" s="12"/>
      <c r="L1071" s="19"/>
      <c r="M1071" s="19"/>
      <c r="N1071" s="19"/>
      <c r="O1071" s="19"/>
      <c r="P1071" s="19"/>
      <c r="Q1071" s="12"/>
      <c r="R1071" s="12"/>
      <c r="S1071" s="12"/>
      <c r="T1071" s="12"/>
      <c r="U1071" s="19"/>
      <c r="V1071" s="12"/>
      <c r="W1071" s="12"/>
      <c r="X1071" s="12"/>
      <c r="Y1071" s="12"/>
      <c r="Z1071" s="12"/>
    </row>
    <row r="1072">
      <c r="A1072" s="18"/>
      <c r="B1072" s="12"/>
      <c r="C1072" s="12"/>
      <c r="D1072" s="12"/>
      <c r="E1072" s="12"/>
      <c r="F1072" s="12"/>
      <c r="G1072" s="12"/>
      <c r="H1072" s="12"/>
      <c r="I1072" s="12"/>
      <c r="J1072" s="12"/>
      <c r="K1072" s="12"/>
      <c r="L1072" s="19"/>
      <c r="M1072" s="19"/>
      <c r="N1072" s="19"/>
      <c r="O1072" s="19"/>
      <c r="P1072" s="19"/>
      <c r="Q1072" s="12"/>
      <c r="R1072" s="12"/>
      <c r="S1072" s="12"/>
      <c r="T1072" s="12"/>
      <c r="U1072" s="19"/>
      <c r="V1072" s="12"/>
      <c r="W1072" s="12"/>
      <c r="X1072" s="12"/>
      <c r="Y1072" s="12"/>
      <c r="Z1072" s="12"/>
    </row>
    <row r="1073">
      <c r="A1073" s="18"/>
      <c r="B1073" s="12"/>
      <c r="C1073" s="12"/>
      <c r="D1073" s="12"/>
      <c r="E1073" s="12"/>
      <c r="F1073" s="12"/>
      <c r="G1073" s="12"/>
      <c r="H1073" s="12"/>
      <c r="I1073" s="12"/>
      <c r="J1073" s="12"/>
      <c r="K1073" s="12"/>
      <c r="L1073" s="19"/>
      <c r="M1073" s="19"/>
      <c r="N1073" s="19"/>
      <c r="O1073" s="19"/>
      <c r="P1073" s="19"/>
      <c r="Q1073" s="12"/>
      <c r="R1073" s="12"/>
      <c r="S1073" s="12"/>
      <c r="T1073" s="12"/>
      <c r="U1073" s="19"/>
      <c r="V1073" s="12"/>
      <c r="W1073" s="12"/>
      <c r="X1073" s="12"/>
      <c r="Y1073" s="12"/>
      <c r="Z1073" s="12"/>
    </row>
    <row r="1074">
      <c r="A1074" s="18"/>
      <c r="B1074" s="12"/>
      <c r="C1074" s="12"/>
      <c r="D1074" s="12"/>
      <c r="E1074" s="12"/>
      <c r="F1074" s="12"/>
      <c r="G1074" s="12"/>
      <c r="H1074" s="12"/>
      <c r="I1074" s="12"/>
      <c r="J1074" s="12"/>
      <c r="K1074" s="12"/>
      <c r="L1074" s="19"/>
      <c r="M1074" s="19"/>
      <c r="N1074" s="19"/>
      <c r="O1074" s="19"/>
      <c r="P1074" s="19"/>
      <c r="Q1074" s="12"/>
      <c r="R1074" s="12"/>
      <c r="S1074" s="12"/>
      <c r="T1074" s="12"/>
      <c r="U1074" s="19"/>
      <c r="V1074" s="12"/>
      <c r="W1074" s="12"/>
      <c r="X1074" s="12"/>
      <c r="Y1074" s="12"/>
      <c r="Z1074" s="12"/>
    </row>
    <row r="1075">
      <c r="A1075" s="18"/>
      <c r="B1075" s="12"/>
      <c r="C1075" s="12"/>
      <c r="D1075" s="12"/>
      <c r="E1075" s="12"/>
      <c r="F1075" s="12"/>
      <c r="G1075" s="12"/>
      <c r="H1075" s="12"/>
      <c r="I1075" s="12"/>
      <c r="J1075" s="12"/>
      <c r="K1075" s="12"/>
      <c r="L1075" s="19"/>
      <c r="M1075" s="19"/>
      <c r="N1075" s="19"/>
      <c r="O1075" s="19"/>
      <c r="P1075" s="19"/>
      <c r="Q1075" s="12"/>
      <c r="R1075" s="12"/>
      <c r="S1075" s="12"/>
      <c r="T1075" s="12"/>
      <c r="U1075" s="19"/>
      <c r="V1075" s="12"/>
      <c r="W1075" s="12"/>
      <c r="X1075" s="12"/>
      <c r="Y1075" s="12"/>
      <c r="Z1075" s="12"/>
    </row>
    <row r="1076">
      <c r="A1076" s="18"/>
      <c r="B1076" s="12"/>
      <c r="C1076" s="12"/>
      <c r="D1076" s="12"/>
      <c r="E1076" s="12"/>
      <c r="F1076" s="12"/>
      <c r="G1076" s="12"/>
      <c r="H1076" s="12"/>
      <c r="I1076" s="12"/>
      <c r="J1076" s="12"/>
      <c r="K1076" s="12"/>
      <c r="L1076" s="19"/>
      <c r="M1076" s="19"/>
      <c r="N1076" s="19"/>
      <c r="O1076" s="19"/>
      <c r="P1076" s="19"/>
      <c r="Q1076" s="12"/>
      <c r="R1076" s="12"/>
      <c r="S1076" s="12"/>
      <c r="T1076" s="12"/>
      <c r="U1076" s="19"/>
      <c r="V1076" s="12"/>
      <c r="W1076" s="12"/>
      <c r="X1076" s="12"/>
      <c r="Y1076" s="12"/>
      <c r="Z1076" s="12"/>
    </row>
    <row r="1077">
      <c r="A1077" s="18"/>
      <c r="B1077" s="12"/>
      <c r="C1077" s="12"/>
      <c r="D1077" s="12"/>
      <c r="E1077" s="12"/>
      <c r="F1077" s="12"/>
      <c r="G1077" s="12"/>
      <c r="H1077" s="12"/>
      <c r="I1077" s="12"/>
      <c r="J1077" s="12"/>
      <c r="K1077" s="12"/>
      <c r="L1077" s="19"/>
      <c r="M1077" s="19"/>
      <c r="N1077" s="19"/>
      <c r="O1077" s="19"/>
      <c r="P1077" s="19"/>
      <c r="Q1077" s="12"/>
      <c r="R1077" s="12"/>
      <c r="S1077" s="12"/>
      <c r="T1077" s="12"/>
      <c r="U1077" s="19"/>
      <c r="V1077" s="12"/>
      <c r="W1077" s="12"/>
      <c r="X1077" s="12"/>
      <c r="Y1077" s="12"/>
      <c r="Z1077" s="12"/>
    </row>
    <row r="1078">
      <c r="A1078" s="18"/>
      <c r="B1078" s="12"/>
      <c r="C1078" s="12"/>
      <c r="D1078" s="12"/>
      <c r="E1078" s="12"/>
      <c r="F1078" s="12"/>
      <c r="G1078" s="12"/>
      <c r="H1078" s="12"/>
      <c r="I1078" s="12"/>
      <c r="J1078" s="12"/>
      <c r="K1078" s="12"/>
      <c r="L1078" s="19"/>
      <c r="M1078" s="19"/>
      <c r="N1078" s="19"/>
      <c r="O1078" s="19"/>
      <c r="P1078" s="19"/>
      <c r="Q1078" s="12"/>
      <c r="R1078" s="12"/>
      <c r="S1078" s="12"/>
      <c r="T1078" s="12"/>
      <c r="U1078" s="19"/>
      <c r="V1078" s="12"/>
      <c r="W1078" s="12"/>
      <c r="X1078" s="12"/>
      <c r="Y1078" s="12"/>
      <c r="Z1078" s="12"/>
    </row>
    <row r="1079">
      <c r="A1079" s="18"/>
      <c r="B1079" s="12"/>
      <c r="C1079" s="12"/>
      <c r="D1079" s="12"/>
      <c r="E1079" s="12"/>
      <c r="F1079" s="12"/>
      <c r="G1079" s="12"/>
      <c r="H1079" s="12"/>
      <c r="I1079" s="12"/>
      <c r="J1079" s="12"/>
      <c r="K1079" s="12"/>
      <c r="L1079" s="19"/>
      <c r="M1079" s="19"/>
      <c r="N1079" s="19"/>
      <c r="O1079" s="19"/>
      <c r="P1079" s="19"/>
      <c r="Q1079" s="12"/>
      <c r="R1079" s="12"/>
      <c r="S1079" s="12"/>
      <c r="T1079" s="12"/>
      <c r="U1079" s="19"/>
      <c r="V1079" s="12"/>
      <c r="W1079" s="12"/>
      <c r="X1079" s="12"/>
      <c r="Y1079" s="12"/>
      <c r="Z1079" s="12"/>
    </row>
    <row r="1080">
      <c r="A1080" s="18"/>
      <c r="B1080" s="12"/>
      <c r="C1080" s="12"/>
      <c r="D1080" s="12"/>
      <c r="E1080" s="12"/>
      <c r="F1080" s="12"/>
      <c r="G1080" s="12"/>
      <c r="H1080" s="12"/>
      <c r="I1080" s="12"/>
      <c r="J1080" s="12"/>
      <c r="K1080" s="12"/>
      <c r="L1080" s="19"/>
      <c r="M1080" s="19"/>
      <c r="N1080" s="19"/>
      <c r="O1080" s="19"/>
      <c r="P1080" s="19"/>
      <c r="Q1080" s="12"/>
      <c r="R1080" s="12"/>
      <c r="S1080" s="12"/>
      <c r="T1080" s="12"/>
      <c r="U1080" s="19"/>
      <c r="V1080" s="12"/>
      <c r="W1080" s="12"/>
      <c r="X1080" s="12"/>
      <c r="Y1080" s="12"/>
      <c r="Z1080" s="12"/>
    </row>
    <row r="1081">
      <c r="A1081" s="18"/>
      <c r="B1081" s="12"/>
      <c r="C1081" s="12"/>
      <c r="D1081" s="12"/>
      <c r="E1081" s="12"/>
      <c r="F1081" s="12"/>
      <c r="G1081" s="12"/>
      <c r="H1081" s="12"/>
      <c r="I1081" s="12"/>
      <c r="J1081" s="12"/>
      <c r="K1081" s="12"/>
      <c r="L1081" s="19"/>
      <c r="M1081" s="19"/>
      <c r="N1081" s="19"/>
      <c r="O1081" s="19"/>
      <c r="P1081" s="19"/>
      <c r="Q1081" s="12"/>
      <c r="R1081" s="12"/>
      <c r="S1081" s="12"/>
      <c r="T1081" s="12"/>
      <c r="U1081" s="19"/>
      <c r="V1081" s="12"/>
      <c r="W1081" s="12"/>
      <c r="X1081" s="12"/>
      <c r="Y1081" s="12"/>
      <c r="Z1081" s="12"/>
    </row>
    <row r="1082">
      <c r="A1082" s="18"/>
      <c r="B1082" s="12"/>
      <c r="C1082" s="12"/>
      <c r="D1082" s="12"/>
      <c r="E1082" s="12"/>
      <c r="F1082" s="12"/>
      <c r="G1082" s="12"/>
      <c r="H1082" s="12"/>
      <c r="I1082" s="12"/>
      <c r="J1082" s="12"/>
      <c r="K1082" s="12"/>
      <c r="L1082" s="19"/>
      <c r="M1082" s="19"/>
      <c r="N1082" s="19"/>
      <c r="O1082" s="19"/>
      <c r="P1082" s="19"/>
      <c r="Q1082" s="12"/>
      <c r="R1082" s="12"/>
      <c r="S1082" s="12"/>
      <c r="T1082" s="12"/>
      <c r="U1082" s="19"/>
      <c r="V1082" s="12"/>
      <c r="W1082" s="12"/>
      <c r="X1082" s="12"/>
      <c r="Y1082" s="12"/>
      <c r="Z1082" s="12"/>
    </row>
    <row r="1083">
      <c r="A1083" s="18"/>
      <c r="B1083" s="12"/>
      <c r="C1083" s="12"/>
      <c r="D1083" s="12"/>
      <c r="E1083" s="12"/>
      <c r="F1083" s="12"/>
      <c r="G1083" s="12"/>
      <c r="H1083" s="12"/>
      <c r="I1083" s="12"/>
      <c r="J1083" s="12"/>
      <c r="K1083" s="12"/>
      <c r="L1083" s="19"/>
      <c r="M1083" s="19"/>
      <c r="N1083" s="19"/>
      <c r="O1083" s="19"/>
      <c r="P1083" s="19"/>
      <c r="Q1083" s="12"/>
      <c r="R1083" s="12"/>
      <c r="S1083" s="12"/>
      <c r="T1083" s="12"/>
      <c r="U1083" s="19"/>
      <c r="V1083" s="12"/>
      <c r="W1083" s="12"/>
      <c r="X1083" s="12"/>
      <c r="Y1083" s="12"/>
      <c r="Z1083" s="12"/>
    </row>
    <row r="1084">
      <c r="A1084" s="18"/>
      <c r="B1084" s="12"/>
      <c r="C1084" s="12"/>
      <c r="D1084" s="12"/>
      <c r="E1084" s="12"/>
      <c r="F1084" s="12"/>
      <c r="G1084" s="12"/>
      <c r="H1084" s="12"/>
      <c r="I1084" s="12"/>
      <c r="J1084" s="12"/>
      <c r="K1084" s="12"/>
      <c r="L1084" s="19"/>
      <c r="M1084" s="19"/>
      <c r="N1084" s="19"/>
      <c r="O1084" s="19"/>
      <c r="P1084" s="19"/>
      <c r="Q1084" s="12"/>
      <c r="R1084" s="12"/>
      <c r="S1084" s="12"/>
      <c r="T1084" s="12"/>
      <c r="U1084" s="19"/>
      <c r="V1084" s="12"/>
      <c r="W1084" s="12"/>
      <c r="X1084" s="12"/>
      <c r="Y1084" s="12"/>
      <c r="Z1084" s="12"/>
    </row>
    <row r="1085">
      <c r="A1085" s="18"/>
      <c r="B1085" s="12"/>
      <c r="C1085" s="12"/>
      <c r="D1085" s="12"/>
      <c r="E1085" s="12"/>
      <c r="F1085" s="12"/>
      <c r="G1085" s="12"/>
      <c r="H1085" s="12"/>
      <c r="I1085" s="12"/>
      <c r="J1085" s="12"/>
      <c r="K1085" s="12"/>
      <c r="L1085" s="19"/>
      <c r="M1085" s="19"/>
      <c r="N1085" s="19"/>
      <c r="O1085" s="19"/>
      <c r="P1085" s="19"/>
      <c r="Q1085" s="12"/>
      <c r="R1085" s="12"/>
      <c r="S1085" s="12"/>
      <c r="T1085" s="12"/>
      <c r="U1085" s="19"/>
      <c r="V1085" s="12"/>
      <c r="W1085" s="12"/>
      <c r="X1085" s="12"/>
      <c r="Y1085" s="12"/>
      <c r="Z1085" s="12"/>
    </row>
    <row r="1086">
      <c r="A1086" s="18"/>
      <c r="B1086" s="12"/>
      <c r="C1086" s="12"/>
      <c r="D1086" s="12"/>
      <c r="E1086" s="12"/>
      <c r="F1086" s="12"/>
      <c r="G1086" s="12"/>
      <c r="H1086" s="12"/>
      <c r="I1086" s="12"/>
      <c r="J1086" s="12"/>
      <c r="K1086" s="12"/>
      <c r="L1086" s="19"/>
      <c r="M1086" s="19"/>
      <c r="N1086" s="19"/>
      <c r="O1086" s="19"/>
      <c r="P1086" s="19"/>
      <c r="Q1086" s="12"/>
      <c r="R1086" s="12"/>
      <c r="S1086" s="12"/>
      <c r="T1086" s="12"/>
      <c r="U1086" s="19"/>
      <c r="V1086" s="12"/>
      <c r="W1086" s="12"/>
      <c r="X1086" s="12"/>
      <c r="Y1086" s="12"/>
      <c r="Z1086" s="12"/>
    </row>
    <row r="1087">
      <c r="A1087" s="18"/>
      <c r="B1087" s="12"/>
      <c r="C1087" s="12"/>
      <c r="D1087" s="12"/>
      <c r="E1087" s="12"/>
      <c r="F1087" s="12"/>
      <c r="G1087" s="12"/>
      <c r="H1087" s="12"/>
      <c r="I1087" s="12"/>
      <c r="J1087" s="12"/>
      <c r="K1087" s="12"/>
      <c r="L1087" s="19"/>
      <c r="M1087" s="19"/>
      <c r="N1087" s="19"/>
      <c r="O1087" s="19"/>
      <c r="P1087" s="19"/>
      <c r="Q1087" s="12"/>
      <c r="R1087" s="12"/>
      <c r="S1087" s="12"/>
      <c r="T1087" s="12"/>
      <c r="U1087" s="19"/>
      <c r="V1087" s="12"/>
      <c r="W1087" s="12"/>
      <c r="X1087" s="12"/>
      <c r="Y1087" s="12"/>
      <c r="Z1087" s="12"/>
    </row>
    <row r="1088">
      <c r="A1088" s="18"/>
      <c r="B1088" s="12"/>
      <c r="C1088" s="12"/>
      <c r="D1088" s="12"/>
      <c r="E1088" s="12"/>
      <c r="F1088" s="12"/>
      <c r="G1088" s="12"/>
      <c r="H1088" s="12"/>
      <c r="I1088" s="12"/>
      <c r="J1088" s="12"/>
      <c r="K1088" s="12"/>
      <c r="L1088" s="19"/>
      <c r="M1088" s="19"/>
      <c r="N1088" s="19"/>
      <c r="O1088" s="19"/>
      <c r="P1088" s="19"/>
      <c r="Q1088" s="12"/>
      <c r="R1088" s="12"/>
      <c r="S1088" s="12"/>
      <c r="T1088" s="12"/>
      <c r="U1088" s="19"/>
      <c r="V1088" s="12"/>
      <c r="W1088" s="12"/>
      <c r="X1088" s="12"/>
      <c r="Y1088" s="12"/>
      <c r="Z1088" s="12"/>
    </row>
    <row r="1089">
      <c r="A1089" s="18"/>
      <c r="B1089" s="12"/>
      <c r="C1089" s="12"/>
      <c r="D1089" s="12"/>
      <c r="E1089" s="12"/>
      <c r="F1089" s="12"/>
      <c r="G1089" s="12"/>
      <c r="H1089" s="12"/>
      <c r="I1089" s="12"/>
      <c r="J1089" s="12"/>
      <c r="K1089" s="12"/>
      <c r="L1089" s="19"/>
      <c r="M1089" s="19"/>
      <c r="N1089" s="19"/>
      <c r="O1089" s="19"/>
      <c r="P1089" s="19"/>
      <c r="Q1089" s="12"/>
      <c r="R1089" s="12"/>
      <c r="S1089" s="12"/>
      <c r="T1089" s="12"/>
      <c r="U1089" s="19"/>
      <c r="V1089" s="12"/>
      <c r="W1089" s="12"/>
      <c r="X1089" s="12"/>
      <c r="Y1089" s="12"/>
      <c r="Z1089" s="12"/>
    </row>
    <row r="1090">
      <c r="A1090" s="18"/>
      <c r="B1090" s="12"/>
      <c r="C1090" s="12"/>
      <c r="D1090" s="12"/>
      <c r="E1090" s="12"/>
      <c r="F1090" s="12"/>
      <c r="G1090" s="12"/>
      <c r="H1090" s="12"/>
      <c r="I1090" s="12"/>
      <c r="J1090" s="12"/>
      <c r="K1090" s="12"/>
      <c r="L1090" s="19"/>
      <c r="M1090" s="19"/>
      <c r="N1090" s="19"/>
      <c r="O1090" s="19"/>
      <c r="P1090" s="19"/>
      <c r="Q1090" s="12"/>
      <c r="R1090" s="12"/>
      <c r="S1090" s="12"/>
      <c r="T1090" s="12"/>
      <c r="U1090" s="19"/>
      <c r="V1090" s="12"/>
      <c r="W1090" s="12"/>
      <c r="X1090" s="12"/>
      <c r="Y1090" s="12"/>
      <c r="Z1090" s="12"/>
    </row>
    <row r="1091">
      <c r="A1091" s="18"/>
      <c r="B1091" s="12"/>
      <c r="C1091" s="12"/>
      <c r="D1091" s="12"/>
      <c r="E1091" s="12"/>
      <c r="F1091" s="12"/>
      <c r="G1091" s="12"/>
      <c r="H1091" s="12"/>
      <c r="I1091" s="12"/>
      <c r="J1091" s="12"/>
      <c r="K1091" s="12"/>
      <c r="L1091" s="19"/>
      <c r="M1091" s="19"/>
      <c r="N1091" s="19"/>
      <c r="O1091" s="19"/>
      <c r="P1091" s="19"/>
      <c r="Q1091" s="12"/>
      <c r="R1091" s="12"/>
      <c r="S1091" s="12"/>
      <c r="T1091" s="12"/>
      <c r="U1091" s="19"/>
      <c r="V1091" s="12"/>
      <c r="W1091" s="12"/>
      <c r="X1091" s="12"/>
      <c r="Y1091" s="12"/>
      <c r="Z1091" s="12"/>
    </row>
    <row r="1092">
      <c r="A1092" s="18"/>
      <c r="B1092" s="12"/>
      <c r="C1092" s="12"/>
      <c r="D1092" s="12"/>
      <c r="E1092" s="12"/>
      <c r="F1092" s="12"/>
      <c r="G1092" s="12"/>
      <c r="H1092" s="12"/>
      <c r="I1092" s="12"/>
      <c r="J1092" s="12"/>
      <c r="K1092" s="12"/>
      <c r="L1092" s="19"/>
      <c r="M1092" s="19"/>
      <c r="N1092" s="19"/>
      <c r="O1092" s="19"/>
      <c r="P1092" s="19"/>
      <c r="Q1092" s="12"/>
      <c r="R1092" s="12"/>
      <c r="S1092" s="12"/>
      <c r="T1092" s="12"/>
      <c r="U1092" s="19"/>
      <c r="V1092" s="12"/>
      <c r="W1092" s="12"/>
      <c r="X1092" s="12"/>
      <c r="Y1092" s="12"/>
      <c r="Z1092" s="12"/>
    </row>
    <row r="1093">
      <c r="A1093" s="18"/>
      <c r="B1093" s="12"/>
      <c r="C1093" s="12"/>
      <c r="D1093" s="12"/>
      <c r="E1093" s="12"/>
      <c r="F1093" s="12"/>
      <c r="G1093" s="12"/>
      <c r="H1093" s="12"/>
      <c r="I1093" s="12"/>
      <c r="J1093" s="12"/>
      <c r="K1093" s="12"/>
      <c r="L1093" s="19"/>
      <c r="M1093" s="19"/>
      <c r="N1093" s="19"/>
      <c r="O1093" s="19"/>
      <c r="P1093" s="19"/>
      <c r="Q1093" s="12"/>
      <c r="R1093" s="12"/>
      <c r="S1093" s="12"/>
      <c r="T1093" s="12"/>
      <c r="U1093" s="19"/>
      <c r="V1093" s="12"/>
      <c r="W1093" s="12"/>
      <c r="X1093" s="12"/>
      <c r="Y1093" s="12"/>
      <c r="Z1093" s="12"/>
    </row>
    <row r="1094">
      <c r="A1094" s="18"/>
      <c r="B1094" s="12"/>
      <c r="C1094" s="12"/>
      <c r="D1094" s="12"/>
      <c r="E1094" s="12"/>
      <c r="F1094" s="12"/>
      <c r="G1094" s="12"/>
      <c r="H1094" s="12"/>
      <c r="I1094" s="12"/>
      <c r="J1094" s="12"/>
      <c r="K1094" s="12"/>
      <c r="L1094" s="19"/>
      <c r="M1094" s="19"/>
      <c r="N1094" s="19"/>
      <c r="O1094" s="19"/>
      <c r="P1094" s="19"/>
      <c r="Q1094" s="12"/>
      <c r="R1094" s="12"/>
      <c r="S1094" s="12"/>
      <c r="T1094" s="12"/>
      <c r="U1094" s="19"/>
      <c r="V1094" s="12"/>
      <c r="W1094" s="12"/>
      <c r="X1094" s="12"/>
      <c r="Y1094" s="12"/>
      <c r="Z1094" s="12"/>
    </row>
    <row r="1095">
      <c r="A1095" s="18"/>
      <c r="B1095" s="12"/>
      <c r="C1095" s="12"/>
      <c r="D1095" s="12"/>
      <c r="E1095" s="12"/>
      <c r="F1095" s="12"/>
      <c r="G1095" s="12"/>
      <c r="H1095" s="12"/>
      <c r="I1095" s="12"/>
      <c r="J1095" s="12"/>
      <c r="K1095" s="12"/>
      <c r="L1095" s="19"/>
      <c r="M1095" s="19"/>
      <c r="N1095" s="19"/>
      <c r="O1095" s="19"/>
      <c r="P1095" s="19"/>
      <c r="Q1095" s="12"/>
      <c r="R1095" s="12"/>
      <c r="S1095" s="12"/>
      <c r="T1095" s="12"/>
      <c r="U1095" s="19"/>
      <c r="V1095" s="12"/>
      <c r="W1095" s="12"/>
      <c r="X1095" s="12"/>
      <c r="Y1095" s="12"/>
      <c r="Z1095" s="12"/>
    </row>
    <row r="1096">
      <c r="A1096" s="18"/>
      <c r="B1096" s="12"/>
      <c r="C1096" s="12"/>
      <c r="D1096" s="12"/>
      <c r="E1096" s="12"/>
      <c r="F1096" s="12"/>
      <c r="G1096" s="12"/>
      <c r="H1096" s="12"/>
      <c r="I1096" s="12"/>
      <c r="J1096" s="12"/>
      <c r="K1096" s="12"/>
      <c r="L1096" s="19"/>
      <c r="M1096" s="19"/>
      <c r="N1096" s="19"/>
      <c r="O1096" s="19"/>
      <c r="P1096" s="19"/>
      <c r="Q1096" s="12"/>
      <c r="R1096" s="12"/>
      <c r="S1096" s="12"/>
      <c r="T1096" s="12"/>
      <c r="U1096" s="19"/>
      <c r="V1096" s="12"/>
      <c r="W1096" s="12"/>
      <c r="X1096" s="12"/>
      <c r="Y1096" s="12"/>
      <c r="Z1096" s="12"/>
    </row>
    <row r="1097">
      <c r="A1097" s="18"/>
      <c r="B1097" s="12"/>
      <c r="C1097" s="12"/>
      <c r="D1097" s="12"/>
      <c r="E1097" s="12"/>
      <c r="F1097" s="12"/>
      <c r="G1097" s="12"/>
      <c r="H1097" s="12"/>
      <c r="I1097" s="12"/>
      <c r="J1097" s="12"/>
      <c r="K1097" s="12"/>
      <c r="L1097" s="19"/>
      <c r="M1097" s="19"/>
      <c r="N1097" s="19"/>
      <c r="O1097" s="19"/>
      <c r="P1097" s="19"/>
      <c r="Q1097" s="12"/>
      <c r="R1097" s="12"/>
      <c r="S1097" s="12"/>
      <c r="T1097" s="12"/>
      <c r="U1097" s="19"/>
      <c r="V1097" s="12"/>
      <c r="W1097" s="12"/>
      <c r="X1097" s="12"/>
      <c r="Y1097" s="12"/>
      <c r="Z1097" s="12"/>
    </row>
    <row r="1098">
      <c r="A1098" s="18"/>
      <c r="B1098" s="12"/>
      <c r="C1098" s="12"/>
      <c r="D1098" s="12"/>
      <c r="E1098" s="12"/>
      <c r="F1098" s="12"/>
      <c r="G1098" s="12"/>
      <c r="H1098" s="12"/>
      <c r="I1098" s="12"/>
      <c r="J1098" s="12"/>
      <c r="K1098" s="12"/>
      <c r="L1098" s="19"/>
      <c r="M1098" s="19"/>
      <c r="N1098" s="19"/>
      <c r="O1098" s="19"/>
      <c r="P1098" s="19"/>
      <c r="Q1098" s="12"/>
      <c r="R1098" s="12"/>
      <c r="S1098" s="12"/>
      <c r="T1098" s="12"/>
      <c r="U1098" s="19"/>
      <c r="V1098" s="12"/>
      <c r="W1098" s="12"/>
      <c r="X1098" s="12"/>
      <c r="Y1098" s="12"/>
      <c r="Z1098" s="12"/>
    </row>
    <row r="1099">
      <c r="A1099" s="18"/>
      <c r="B1099" s="12"/>
      <c r="C1099" s="12"/>
      <c r="D1099" s="12"/>
      <c r="E1099" s="12"/>
      <c r="F1099" s="12"/>
      <c r="G1099" s="12"/>
      <c r="H1099" s="12"/>
      <c r="I1099" s="12"/>
      <c r="J1099" s="12"/>
      <c r="K1099" s="12"/>
      <c r="L1099" s="19"/>
      <c r="M1099" s="19"/>
      <c r="N1099" s="19"/>
      <c r="O1099" s="19"/>
      <c r="P1099" s="19"/>
      <c r="Q1099" s="12"/>
      <c r="R1099" s="12"/>
      <c r="S1099" s="12"/>
      <c r="T1099" s="12"/>
      <c r="U1099" s="19"/>
      <c r="V1099" s="12"/>
      <c r="W1099" s="12"/>
      <c r="X1099" s="12"/>
      <c r="Y1099" s="12"/>
      <c r="Z1099" s="12"/>
    </row>
    <row r="1100">
      <c r="A1100" s="18"/>
      <c r="B1100" s="12"/>
      <c r="C1100" s="12"/>
      <c r="D1100" s="12"/>
      <c r="E1100" s="12"/>
      <c r="F1100" s="12"/>
      <c r="G1100" s="12"/>
      <c r="H1100" s="12"/>
      <c r="I1100" s="12"/>
      <c r="J1100" s="12"/>
      <c r="K1100" s="12"/>
      <c r="L1100" s="19"/>
      <c r="M1100" s="19"/>
      <c r="N1100" s="19"/>
      <c r="O1100" s="19"/>
      <c r="P1100" s="19"/>
      <c r="Q1100" s="12"/>
      <c r="R1100" s="12"/>
      <c r="S1100" s="12"/>
      <c r="T1100" s="12"/>
      <c r="U1100" s="19"/>
      <c r="V1100" s="12"/>
      <c r="W1100" s="12"/>
      <c r="X1100" s="12"/>
      <c r="Y1100" s="12"/>
      <c r="Z1100" s="12"/>
    </row>
  </sheetData>
  <hyperlinks>
    <hyperlink r:id="rId1" ref="G3"/>
    <hyperlink r:id="rId2" ref="S4"/>
    <hyperlink r:id="rId3" ref="S5"/>
    <hyperlink r:id="rId4" ref="F6"/>
    <hyperlink r:id="rId5" ref="G9"/>
    <hyperlink r:id="rId6" ref="G10"/>
    <hyperlink r:id="rId7" ref="F11"/>
    <hyperlink r:id="rId8" ref="F12"/>
    <hyperlink r:id="rId9" ref="G12"/>
    <hyperlink r:id="rId10" ref="G14"/>
    <hyperlink r:id="rId11" ref="S15"/>
    <hyperlink r:id="rId12" ref="F16"/>
    <hyperlink r:id="rId13" ref="G16"/>
    <hyperlink r:id="rId14" ref="S17"/>
    <hyperlink r:id="rId15" ref="F18"/>
    <hyperlink r:id="rId16" ref="G18"/>
    <hyperlink r:id="rId17" ref="G19"/>
    <hyperlink r:id="rId18" ref="G21"/>
    <hyperlink r:id="rId19" ref="S21"/>
    <hyperlink r:id="rId20" ref="G24"/>
    <hyperlink r:id="rId21" ref="F26"/>
    <hyperlink r:id="rId22" ref="S26"/>
    <hyperlink r:id="rId23" ref="G28"/>
    <hyperlink r:id="rId24" ref="G30"/>
    <hyperlink r:id="rId25" ref="S30"/>
    <hyperlink r:id="rId26" ref="F31"/>
    <hyperlink r:id="rId27" ref="G31"/>
    <hyperlink r:id="rId28" ref="F32"/>
    <hyperlink r:id="rId29" ref="G32"/>
    <hyperlink r:id="rId30" ref="S32"/>
    <hyperlink r:id="rId31" ref="G33"/>
    <hyperlink r:id="rId32" ref="F34"/>
    <hyperlink r:id="rId33" ref="G34"/>
    <hyperlink r:id="rId34" ref="G35"/>
    <hyperlink r:id="rId35" ref="F37"/>
    <hyperlink r:id="rId36" ref="G37"/>
    <hyperlink r:id="rId37" ref="F39"/>
    <hyperlink r:id="rId38" ref="F40"/>
    <hyperlink r:id="rId39" ref="F41"/>
    <hyperlink r:id="rId40" ref="S41"/>
    <hyperlink r:id="rId41" ref="F43"/>
    <hyperlink r:id="rId42" ref="S43"/>
    <hyperlink r:id="rId43" ref="G44"/>
    <hyperlink r:id="rId44" ref="F45"/>
    <hyperlink r:id="rId45" ref="G45"/>
    <hyperlink r:id="rId46" ref="F46"/>
    <hyperlink r:id="rId47" ref="G46"/>
    <hyperlink r:id="rId48" ref="F47"/>
    <hyperlink r:id="rId49" ref="G47"/>
    <hyperlink r:id="rId50" ref="F48"/>
    <hyperlink r:id="rId51" ref="F49"/>
    <hyperlink r:id="rId52" ref="G50"/>
    <hyperlink r:id="rId53" ref="S50"/>
    <hyperlink r:id="rId54" ref="F51"/>
    <hyperlink r:id="rId55" ref="F52"/>
    <hyperlink r:id="rId56" ref="G52"/>
    <hyperlink r:id="rId57" ref="F58"/>
    <hyperlink r:id="rId58" ref="S60"/>
    <hyperlink r:id="rId59" ref="G62"/>
    <hyperlink r:id="rId60" ref="S62"/>
    <hyperlink r:id="rId61" ref="F64"/>
    <hyperlink r:id="rId62" ref="S65"/>
    <hyperlink r:id="rId63" ref="F66"/>
    <hyperlink r:id="rId64" ref="F67"/>
    <hyperlink r:id="rId65" ref="G67"/>
    <hyperlink r:id="rId66" ref="F70"/>
    <hyperlink r:id="rId67" ref="S71"/>
    <hyperlink r:id="rId68" ref="F72"/>
    <hyperlink r:id="rId69" ref="G74"/>
    <hyperlink r:id="rId70" ref="G75"/>
    <hyperlink r:id="rId71" ref="S75"/>
    <hyperlink r:id="rId72" ref="F76"/>
    <hyperlink r:id="rId73" ref="G77"/>
    <hyperlink r:id="rId74" ref="S77"/>
    <hyperlink r:id="rId75" ref="F78"/>
    <hyperlink r:id="rId76" ref="S78"/>
    <hyperlink r:id="rId77" ref="G80"/>
    <hyperlink r:id="rId78" ref="F81"/>
    <hyperlink r:id="rId79" ref="S82"/>
    <hyperlink r:id="rId80" ref="F83"/>
    <hyperlink r:id="rId81" ref="S83"/>
    <hyperlink r:id="rId82" ref="S88"/>
    <hyperlink r:id="rId83" ref="F91"/>
    <hyperlink r:id="rId84" ref="S91"/>
    <hyperlink r:id="rId85" ref="F93"/>
    <hyperlink r:id="rId86" ref="G93"/>
    <hyperlink r:id="rId87" ref="F94"/>
    <hyperlink r:id="rId88" ref="S94"/>
    <hyperlink r:id="rId89" ref="F95"/>
    <hyperlink r:id="rId90" ref="G96"/>
    <hyperlink r:id="rId91" ref="F97"/>
    <hyperlink r:id="rId92" ref="G99"/>
    <hyperlink r:id="rId93" ref="F100"/>
  </hyperlinks>
  <drawing r:id="rId94"/>
  <tableParts count="1">
    <tablePart r:id="rId96"/>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0" t="s">
        <v>1</v>
      </c>
      <c r="B1" s="10" t="s">
        <v>2713</v>
      </c>
      <c r="C1" s="12"/>
      <c r="D1" s="12"/>
      <c r="E1" s="12"/>
      <c r="F1" s="12"/>
      <c r="G1" s="12"/>
      <c r="H1" s="12"/>
      <c r="I1" s="12"/>
      <c r="J1" s="12"/>
      <c r="K1" s="12"/>
      <c r="L1" s="12"/>
      <c r="M1" s="12"/>
      <c r="N1" s="12"/>
      <c r="O1" s="12"/>
      <c r="P1" s="12"/>
      <c r="Q1" s="12"/>
      <c r="R1" s="12"/>
      <c r="S1" s="12"/>
      <c r="T1" s="12"/>
      <c r="U1" s="12"/>
      <c r="V1" s="12"/>
      <c r="W1" s="12"/>
      <c r="X1" s="12"/>
      <c r="Y1" s="12"/>
      <c r="Z1" s="12"/>
    </row>
    <row r="2">
      <c r="A2" s="20">
        <v>44222.571902916665</v>
      </c>
      <c r="B2" s="10" t="s">
        <v>2714</v>
      </c>
      <c r="C2" s="12"/>
      <c r="D2" s="12"/>
      <c r="E2" s="12"/>
      <c r="F2" s="12"/>
      <c r="G2" s="12"/>
      <c r="H2" s="12"/>
      <c r="I2" s="12"/>
      <c r="J2" s="12"/>
      <c r="K2" s="12"/>
      <c r="L2" s="12"/>
      <c r="M2" s="12"/>
      <c r="N2" s="12"/>
      <c r="O2" s="12"/>
      <c r="P2" s="12"/>
      <c r="Q2" s="12"/>
      <c r="R2" s="12"/>
      <c r="S2" s="12"/>
      <c r="T2" s="12"/>
      <c r="U2" s="12"/>
      <c r="V2" s="12"/>
      <c r="W2" s="12"/>
      <c r="X2" s="12"/>
      <c r="Y2" s="12"/>
      <c r="Z2" s="12"/>
    </row>
    <row r="3">
      <c r="A3" s="20">
        <v>44222.586737881946</v>
      </c>
      <c r="B3" s="10" t="s">
        <v>2715</v>
      </c>
      <c r="C3" s="12"/>
      <c r="D3" s="12"/>
      <c r="E3" s="12"/>
      <c r="F3" s="12"/>
      <c r="G3" s="12"/>
      <c r="H3" s="12"/>
      <c r="I3" s="12"/>
      <c r="J3" s="12"/>
      <c r="K3" s="12"/>
      <c r="L3" s="12"/>
      <c r="M3" s="12"/>
      <c r="N3" s="12"/>
      <c r="O3" s="12"/>
      <c r="P3" s="12"/>
      <c r="Q3" s="12"/>
      <c r="R3" s="12"/>
      <c r="S3" s="12"/>
      <c r="T3" s="12"/>
      <c r="U3" s="12"/>
      <c r="V3" s="12"/>
      <c r="W3" s="12"/>
      <c r="X3" s="12"/>
      <c r="Y3" s="12"/>
      <c r="Z3" s="12"/>
    </row>
    <row r="4">
      <c r="A4" s="20">
        <v>44222.59334466435</v>
      </c>
      <c r="B4" s="10" t="s">
        <v>2716</v>
      </c>
      <c r="C4" s="12"/>
      <c r="D4" s="12"/>
      <c r="E4" s="12"/>
      <c r="F4" s="12"/>
      <c r="G4" s="12"/>
      <c r="H4" s="12"/>
      <c r="I4" s="12"/>
      <c r="J4" s="12"/>
      <c r="K4" s="12"/>
      <c r="L4" s="12"/>
      <c r="M4" s="12"/>
      <c r="N4" s="12"/>
      <c r="O4" s="12"/>
      <c r="P4" s="12"/>
      <c r="Q4" s="12"/>
      <c r="R4" s="12"/>
      <c r="S4" s="12"/>
      <c r="T4" s="12"/>
      <c r="U4" s="12"/>
      <c r="V4" s="12"/>
      <c r="W4" s="12"/>
      <c r="X4" s="12"/>
      <c r="Y4" s="12"/>
      <c r="Z4" s="12"/>
    </row>
    <row r="5">
      <c r="A5" s="20">
        <v>44222.59735546296</v>
      </c>
      <c r="B5" s="10" t="s">
        <v>2717</v>
      </c>
      <c r="C5" s="12"/>
      <c r="D5" s="12"/>
      <c r="E5" s="12"/>
      <c r="F5" s="12"/>
      <c r="G5" s="12"/>
      <c r="H5" s="12"/>
      <c r="I5" s="12"/>
      <c r="J5" s="12"/>
      <c r="K5" s="12"/>
      <c r="L5" s="12"/>
      <c r="M5" s="12"/>
      <c r="N5" s="12"/>
      <c r="O5" s="12"/>
      <c r="P5" s="12"/>
      <c r="Q5" s="12"/>
      <c r="R5" s="12"/>
      <c r="S5" s="12"/>
      <c r="T5" s="12"/>
      <c r="U5" s="12"/>
      <c r="V5" s="12"/>
      <c r="W5" s="12"/>
      <c r="X5" s="12"/>
      <c r="Y5" s="12"/>
      <c r="Z5" s="12"/>
    </row>
    <row r="6">
      <c r="A6" s="20">
        <v>44222.60048799768</v>
      </c>
      <c r="B6" s="10" t="s">
        <v>2718</v>
      </c>
      <c r="C6" s="12"/>
      <c r="D6" s="12"/>
      <c r="E6" s="12"/>
      <c r="F6" s="12"/>
      <c r="G6" s="12"/>
      <c r="H6" s="12"/>
      <c r="I6" s="12"/>
      <c r="J6" s="12"/>
      <c r="K6" s="12"/>
      <c r="L6" s="12"/>
      <c r="M6" s="12"/>
      <c r="N6" s="12"/>
      <c r="O6" s="12"/>
      <c r="P6" s="12"/>
      <c r="Q6" s="12"/>
      <c r="R6" s="12"/>
      <c r="S6" s="12"/>
      <c r="T6" s="12"/>
      <c r="U6" s="12"/>
      <c r="V6" s="12"/>
      <c r="W6" s="12"/>
      <c r="X6" s="12"/>
      <c r="Y6" s="12"/>
      <c r="Z6" s="12"/>
    </row>
    <row r="7">
      <c r="A7" s="20">
        <v>44222.602471087965</v>
      </c>
      <c r="B7" s="10" t="s">
        <v>2719</v>
      </c>
      <c r="C7" s="12"/>
      <c r="D7" s="12"/>
      <c r="E7" s="12"/>
      <c r="F7" s="12"/>
      <c r="G7" s="12"/>
      <c r="H7" s="12"/>
      <c r="I7" s="12"/>
      <c r="J7" s="12"/>
      <c r="K7" s="12"/>
      <c r="L7" s="12"/>
      <c r="M7" s="12"/>
      <c r="N7" s="12"/>
      <c r="O7" s="12"/>
      <c r="P7" s="12"/>
      <c r="Q7" s="12"/>
      <c r="R7" s="12"/>
      <c r="S7" s="12"/>
      <c r="T7" s="12"/>
      <c r="U7" s="12"/>
      <c r="V7" s="12"/>
      <c r="W7" s="12"/>
      <c r="X7" s="12"/>
      <c r="Y7" s="12"/>
      <c r="Z7" s="12"/>
    </row>
    <row r="8">
      <c r="A8" s="20">
        <v>44222.606869490744</v>
      </c>
      <c r="B8" s="10" t="s">
        <v>2718</v>
      </c>
      <c r="C8" s="12"/>
      <c r="D8" s="12"/>
      <c r="E8" s="12"/>
      <c r="F8" s="12"/>
      <c r="G8" s="12"/>
      <c r="H8" s="12"/>
      <c r="I8" s="12"/>
      <c r="J8" s="12"/>
      <c r="K8" s="12"/>
      <c r="L8" s="12"/>
      <c r="M8" s="12"/>
      <c r="N8" s="12"/>
      <c r="O8" s="12"/>
      <c r="P8" s="12"/>
      <c r="Q8" s="12"/>
      <c r="R8" s="12"/>
      <c r="S8" s="12"/>
      <c r="T8" s="12"/>
      <c r="U8" s="12"/>
      <c r="V8" s="12"/>
      <c r="W8" s="12"/>
      <c r="X8" s="12"/>
      <c r="Y8" s="12"/>
      <c r="Z8" s="12"/>
    </row>
    <row r="9">
      <c r="A9" s="20">
        <v>44222.60801684028</v>
      </c>
      <c r="B9" s="10" t="s">
        <v>2720</v>
      </c>
      <c r="C9" s="12"/>
      <c r="D9" s="12"/>
      <c r="E9" s="12"/>
      <c r="F9" s="12"/>
      <c r="G9" s="12"/>
      <c r="H9" s="12"/>
      <c r="I9" s="12"/>
      <c r="J9" s="12"/>
      <c r="K9" s="12"/>
      <c r="L9" s="12"/>
      <c r="M9" s="12"/>
      <c r="N9" s="12"/>
      <c r="O9" s="12"/>
      <c r="P9" s="12"/>
      <c r="Q9" s="12"/>
      <c r="R9" s="12"/>
      <c r="S9" s="12"/>
      <c r="T9" s="12"/>
      <c r="U9" s="12"/>
      <c r="V9" s="12"/>
      <c r="W9" s="12"/>
      <c r="X9" s="12"/>
      <c r="Y9" s="12"/>
      <c r="Z9" s="12"/>
    </row>
    <row r="10">
      <c r="A10" s="20">
        <v>44222.611204375</v>
      </c>
      <c r="B10" s="10" t="s">
        <v>2721</v>
      </c>
      <c r="C10" s="12"/>
      <c r="D10" s="12"/>
      <c r="E10" s="12"/>
      <c r="F10" s="12"/>
      <c r="G10" s="12"/>
      <c r="H10" s="12"/>
      <c r="I10" s="12"/>
      <c r="J10" s="12"/>
      <c r="K10" s="12"/>
      <c r="L10" s="12"/>
      <c r="M10" s="12"/>
      <c r="N10" s="12"/>
      <c r="O10" s="12"/>
      <c r="P10" s="12"/>
      <c r="Q10" s="12"/>
      <c r="R10" s="12"/>
      <c r="S10" s="12"/>
      <c r="T10" s="12"/>
      <c r="U10" s="12"/>
      <c r="V10" s="12"/>
      <c r="W10" s="12"/>
      <c r="X10" s="12"/>
      <c r="Y10" s="12"/>
      <c r="Z10" s="12"/>
    </row>
    <row r="11">
      <c r="A11" s="20">
        <v>44222.613147615746</v>
      </c>
      <c r="B11" s="10" t="s">
        <v>2722</v>
      </c>
      <c r="C11" s="12"/>
      <c r="D11" s="12"/>
      <c r="E11" s="12"/>
      <c r="F11" s="12"/>
      <c r="G11" s="12"/>
      <c r="H11" s="12"/>
      <c r="I11" s="12"/>
      <c r="J11" s="12"/>
      <c r="K11" s="12"/>
      <c r="L11" s="12"/>
      <c r="M11" s="12"/>
      <c r="N11" s="12"/>
      <c r="O11" s="12"/>
      <c r="P11" s="12"/>
      <c r="Q11" s="12"/>
      <c r="R11" s="12"/>
      <c r="S11" s="12"/>
      <c r="T11" s="12"/>
      <c r="U11" s="12"/>
      <c r="V11" s="12"/>
      <c r="W11" s="12"/>
      <c r="X11" s="12"/>
      <c r="Y11" s="12"/>
      <c r="Z11" s="12"/>
    </row>
    <row r="12">
      <c r="A12" s="20">
        <v>44222.61365641204</v>
      </c>
      <c r="B12" s="10" t="s">
        <v>2723</v>
      </c>
      <c r="C12" s="12"/>
      <c r="D12" s="12"/>
      <c r="E12" s="12"/>
      <c r="F12" s="12"/>
      <c r="G12" s="12"/>
      <c r="H12" s="12"/>
      <c r="I12" s="12"/>
      <c r="J12" s="12"/>
      <c r="K12" s="12"/>
      <c r="L12" s="12"/>
      <c r="M12" s="12"/>
      <c r="N12" s="12"/>
      <c r="O12" s="12"/>
      <c r="P12" s="12"/>
      <c r="Q12" s="12"/>
      <c r="R12" s="12"/>
      <c r="S12" s="12"/>
      <c r="T12" s="12"/>
      <c r="U12" s="12"/>
      <c r="V12" s="12"/>
      <c r="W12" s="12"/>
      <c r="X12" s="12"/>
      <c r="Y12" s="12"/>
      <c r="Z12" s="12"/>
    </row>
    <row r="13">
      <c r="A13" s="20">
        <v>44222.62067131944</v>
      </c>
      <c r="B13" s="10" t="s">
        <v>2724</v>
      </c>
      <c r="C13" s="12"/>
      <c r="D13" s="12"/>
      <c r="E13" s="12"/>
      <c r="F13" s="12"/>
      <c r="G13" s="12"/>
      <c r="H13" s="12"/>
      <c r="I13" s="12"/>
      <c r="J13" s="12"/>
      <c r="K13" s="12"/>
      <c r="L13" s="12"/>
      <c r="M13" s="12"/>
      <c r="N13" s="12"/>
      <c r="O13" s="12"/>
      <c r="P13" s="12"/>
      <c r="Q13" s="12"/>
      <c r="R13" s="12"/>
      <c r="S13" s="12"/>
      <c r="T13" s="12"/>
      <c r="U13" s="12"/>
      <c r="V13" s="12"/>
      <c r="W13" s="12"/>
      <c r="X13" s="12"/>
      <c r="Y13" s="12"/>
      <c r="Z13" s="12"/>
    </row>
    <row r="14">
      <c r="A14" s="20">
        <v>44222.623087106476</v>
      </c>
      <c r="B14" s="10" t="s">
        <v>2725</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20">
        <v>44222.626568900465</v>
      </c>
      <c r="B15" s="10" t="s">
        <v>2726</v>
      </c>
      <c r="C15" s="12"/>
      <c r="D15" s="12"/>
      <c r="E15" s="12"/>
      <c r="F15" s="12"/>
      <c r="G15" s="12"/>
      <c r="H15" s="12"/>
      <c r="I15" s="12"/>
      <c r="J15" s="12"/>
      <c r="K15" s="12"/>
      <c r="L15" s="12"/>
      <c r="M15" s="12"/>
      <c r="N15" s="12"/>
      <c r="O15" s="12"/>
      <c r="P15" s="12"/>
      <c r="Q15" s="12"/>
      <c r="R15" s="12"/>
      <c r="S15" s="12"/>
      <c r="T15" s="12"/>
      <c r="U15" s="12"/>
      <c r="V15" s="12"/>
      <c r="W15" s="12"/>
      <c r="X15" s="12"/>
      <c r="Y15" s="12"/>
      <c r="Z15" s="12"/>
    </row>
    <row r="16">
      <c r="A16" s="20">
        <v>44222.630291504625</v>
      </c>
      <c r="B16" s="10" t="s">
        <v>2727</v>
      </c>
      <c r="C16" s="12"/>
      <c r="D16" s="12"/>
      <c r="E16" s="12"/>
      <c r="F16" s="12"/>
      <c r="G16" s="12"/>
      <c r="H16" s="12"/>
      <c r="I16" s="12"/>
      <c r="J16" s="12"/>
      <c r="K16" s="12"/>
      <c r="L16" s="12"/>
      <c r="M16" s="12"/>
      <c r="N16" s="12"/>
      <c r="O16" s="12"/>
      <c r="P16" s="12"/>
      <c r="Q16" s="12"/>
      <c r="R16" s="12"/>
      <c r="S16" s="12"/>
      <c r="T16" s="12"/>
      <c r="U16" s="12"/>
      <c r="V16" s="12"/>
      <c r="W16" s="12"/>
      <c r="X16" s="12"/>
      <c r="Y16" s="12"/>
      <c r="Z16" s="12"/>
    </row>
    <row r="17">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